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firstSheet="1" activeTab="1"/>
  </bookViews>
  <sheets>
    <sheet name="kontírozás (2)" sheetId="1" state="hidden" r:id="rId1"/>
    <sheet name="2021" sheetId="2" r:id="rId2"/>
    <sheet name=" működési ktv. 2016.eredeti" sheetId="3" state="hidden" r:id="rId3"/>
    <sheet name="Áthúzodó" sheetId="4" state="hidden" r:id="rId4"/>
    <sheet name="KEHOP" sheetId="5" state="hidden" r:id="rId5"/>
    <sheet name="KEHOP (2)" sheetId="6" state="hidden" r:id="rId6"/>
    <sheet name="2018. évi maradvány" sheetId="7" state="hidden" r:id="rId7"/>
    <sheet name="kontírozás" sheetId="8" state="hidden" r:id="rId8"/>
    <sheet name="kontírozás átcsoporotsítés" sheetId="9" state="hidden" r:id="rId9"/>
    <sheet name="kontírozás2." sheetId="10" state="hidden" r:id="rId10"/>
    <sheet name="felh.ü.kiad." sheetId="11" state="hidden" r:id="rId11"/>
    <sheet name="felh.ü.bevétel" sheetId="12" state="hidden" r:id="rId12"/>
    <sheet name="felh.ü.bev." sheetId="13" state="hidden" r:id="rId13"/>
    <sheet name="KEOP.-1.1.1.-2016.eredeti" sheetId="14" state="hidden" r:id="rId14"/>
    <sheet name="KEOP-1.1.1.C-2016. eredeti" sheetId="15" state="hidden" r:id="rId15"/>
    <sheet name="KEOP-2.3.02F rekulti-2016. e." sheetId="16" state="hidden" r:id="rId16"/>
    <sheet name="1.1.1.-Timi" sheetId="17" state="hidden" r:id="rId17"/>
    <sheet name="ÁFA" sheetId="18" state="hidden" r:id="rId18"/>
    <sheet name="tervezés2015" sheetId="19" state="hidden" r:id="rId19"/>
    <sheet name="ad.kel.ü." sheetId="20" state="hidden" r:id="rId20"/>
    <sheet name="adósságszolgálat" sheetId="21" state="hidden" r:id="rId21"/>
    <sheet name="likvid kamat saját szám." sheetId="22" state="hidden" r:id="rId22"/>
    <sheet name="levezetés2014-hez" sheetId="23" state="hidden" r:id="rId23"/>
    <sheet name="levezetés2014-hez (2)" sheetId="24" state="hidden" r:id="rId24"/>
    <sheet name="levezetés2014-hez (3)" sheetId="25" state="hidden" r:id="rId25"/>
    <sheet name="levezetés2014-hez (4)" sheetId="26" state="hidden" r:id="rId26"/>
    <sheet name="köt.vál." sheetId="27" state="hidden" r:id="rId27"/>
    <sheet name="Kaposmenti" sheetId="28" state="hidden" r:id="rId28"/>
    <sheet name="Rekulti" sheetId="29" state="hidden" r:id="rId29"/>
    <sheet name="EU-s projektek" sheetId="30" state="hidden" r:id="rId30"/>
  </sheets>
  <externalReferences>
    <externalReference r:id="rId33"/>
  </externalReferences>
  <definedNames>
    <definedName name="_xlnm.Print_Titles" localSheetId="16">'1.1.1.-Timi'!$1:$3</definedName>
    <definedName name="_xlnm.Print_Titles" localSheetId="1">'2021'!$3:$3</definedName>
    <definedName name="_xlnm.Print_Titles" localSheetId="13">'KEOP.-1.1.1.-2016.eredeti'!$1:$4</definedName>
    <definedName name="_xlnm.Print_Titles" localSheetId="14">'KEOP-1.1.1.C-2016. eredeti'!$1:$3</definedName>
    <definedName name="_xlnm.Print_Titles" localSheetId="15">'KEOP-2.3.02F rekulti-2016. e.'!$1:$3</definedName>
    <definedName name="_xlnm.Print_Area" localSheetId="2">' működési ktv. 2016.eredeti'!$A$1:$E$35</definedName>
    <definedName name="_xlnm.Print_Area" localSheetId="16">'1.1.1.-Timi'!$A$1:$H$29</definedName>
    <definedName name="_xlnm.Print_Area" localSheetId="1">'2021'!$A$1:$G$48</definedName>
    <definedName name="_xlnm.Print_Area" localSheetId="3">'Áthúzodó'!$A$1:$F$19</definedName>
    <definedName name="_xlnm.Print_Area" localSheetId="29">'EU-s projektek'!$A$1:$F$4</definedName>
    <definedName name="_xlnm.Print_Area" localSheetId="12">'felh.ü.bev.'!$A$1:$N$20</definedName>
    <definedName name="_xlnm.Print_Area" localSheetId="11">'felh.ü.bevétel'!$A$1:$N$16</definedName>
    <definedName name="_xlnm.Print_Area" localSheetId="10">'felh.ü.kiad.'!$A$1:$N$17</definedName>
    <definedName name="_xlnm.Print_Area" localSheetId="27">'Kaposmenti'!$A$1:$G$15</definedName>
    <definedName name="_xlnm.Print_Area" localSheetId="4">'KEHOP'!$A$1:$J$17</definedName>
    <definedName name="_xlnm.Print_Area" localSheetId="5">'KEHOP (2)'!$A$1:$J$18</definedName>
    <definedName name="_xlnm.Print_Area" localSheetId="13">'KEOP.-1.1.1.-2016.eredeti'!$A$1:$G$37</definedName>
    <definedName name="_xlnm.Print_Area" localSheetId="14">'KEOP-1.1.1.C-2016. eredeti'!$A$1:$G$31</definedName>
    <definedName name="_xlnm.Print_Area" localSheetId="15">'KEOP-2.3.02F rekulti-2016. e.'!$A$1:$G$32</definedName>
    <definedName name="_xlnm.Print_Area" localSheetId="7">'kontírozás'!$A$1:$E$35</definedName>
    <definedName name="_xlnm.Print_Area" localSheetId="0">'kontírozás (2)'!$A$1:$E$7</definedName>
    <definedName name="_xlnm.Print_Area" localSheetId="8">'kontírozás átcsoporotsítés'!$A$1:$E$8</definedName>
    <definedName name="_xlnm.Print_Area" localSheetId="9">'kontírozás2.'!$A$1:$E$21</definedName>
    <definedName name="_xlnm.Print_Area" localSheetId="26">'köt.vál.'!$A$1:$F$3</definedName>
    <definedName name="_xlnm.Print_Area" localSheetId="28">'Rekulti'!$A$1:$E$11</definedName>
  </definedNames>
  <calcPr fullCalcOnLoad="1"/>
</workbook>
</file>

<file path=xl/sharedStrings.xml><?xml version="1.0" encoding="utf-8"?>
<sst xmlns="http://schemas.openxmlformats.org/spreadsheetml/2006/main" count="1063" uniqueCount="483">
  <si>
    <t>Bevételek</t>
  </si>
  <si>
    <t>Személyi juttatás</t>
  </si>
  <si>
    <t>Munkaadót terhelő járulékok</t>
  </si>
  <si>
    <t>Dologi jellegű kiadás</t>
  </si>
  <si>
    <t>I.</t>
  </si>
  <si>
    <t>II.</t>
  </si>
  <si>
    <t>III.</t>
  </si>
  <si>
    <t>Megnevezés</t>
  </si>
  <si>
    <t>Sorszám</t>
  </si>
  <si>
    <t xml:space="preserve">Kiadások </t>
  </si>
  <si>
    <t xml:space="preserve"> - Építési munkák</t>
  </si>
  <si>
    <t xml:space="preserve"> - Könyvvizsgálat</t>
  </si>
  <si>
    <t xml:space="preserve"> - Műszaki ellenőr</t>
  </si>
  <si>
    <t xml:space="preserve"> - Nyilvánosság tájékoztatása</t>
  </si>
  <si>
    <t xml:space="preserve"> - Közbeszerzés tanácsadói díj</t>
  </si>
  <si>
    <t xml:space="preserve"> - Projektmenedzsment</t>
  </si>
  <si>
    <t xml:space="preserve"> - FIDIC mérnök</t>
  </si>
  <si>
    <t xml:space="preserve"> - Pénzügyi Tanácsadó</t>
  </si>
  <si>
    <t xml:space="preserve"> - Régészeti munkák</t>
  </si>
  <si>
    <t xml:space="preserve"> - Lőszermentesítés</t>
  </si>
  <si>
    <t xml:space="preserve"> - Kivitelezés</t>
  </si>
  <si>
    <t xml:space="preserve"> - Telefonhasználat</t>
  </si>
  <si>
    <t xml:space="preserve"> - Útiköltség</t>
  </si>
  <si>
    <t>Felhalmozási és tőkejellegű bevétel összesen</t>
  </si>
  <si>
    <t>I.1.</t>
  </si>
  <si>
    <t>Beruházási kiadás</t>
  </si>
  <si>
    <t>Felhalmozásai célú hitel kamata</t>
  </si>
  <si>
    <t>Tárgy évi bevételek öszesen</t>
  </si>
  <si>
    <t>Működési tartalék</t>
  </si>
  <si>
    <t>I.2.</t>
  </si>
  <si>
    <t>I.4.</t>
  </si>
  <si>
    <t xml:space="preserve"> - Alapilletmény és pótlék</t>
  </si>
  <si>
    <t xml:space="preserve"> - Cafeteria</t>
  </si>
  <si>
    <t>Összesen</t>
  </si>
  <si>
    <t xml:space="preserve">2012. </t>
  </si>
  <si>
    <t xml:space="preserve">2013. </t>
  </si>
  <si>
    <t xml:space="preserve">2014. </t>
  </si>
  <si>
    <t xml:space="preserve">2015. </t>
  </si>
  <si>
    <t xml:space="preserve"> - Közbeszerzési tanácsadó, eljárási díj</t>
  </si>
  <si>
    <t xml:space="preserve"> - Eszközbeszerzés</t>
  </si>
  <si>
    <t>Kaposmenti Hulladéklerakók Rekultivációs Program</t>
  </si>
  <si>
    <t>Kiadás</t>
  </si>
  <si>
    <t>Európai Uniós pályázati támogatás</t>
  </si>
  <si>
    <t>2011. évi eredeti ei.</t>
  </si>
  <si>
    <t>2012. évi eredeti ei.</t>
  </si>
  <si>
    <t>1.</t>
  </si>
  <si>
    <t>2.</t>
  </si>
  <si>
    <t>Kaposmenti Hulladékgazdálkodási Program</t>
  </si>
  <si>
    <t>I.+II.</t>
  </si>
  <si>
    <t>Beruházási kiadás ÁFA</t>
  </si>
  <si>
    <t>Működési bevételek összesen</t>
  </si>
  <si>
    <t>Felhalmozási célú támogatás értékű bevétel</t>
  </si>
  <si>
    <t xml:space="preserve">   - Európai Uniós KEOP támogatás</t>
  </si>
  <si>
    <t xml:space="preserve">   - Hulladékgazdálkodási  Program ÁFA megtérülés</t>
  </si>
  <si>
    <t xml:space="preserve">   - BM Önerő Alap támogatás</t>
  </si>
  <si>
    <t xml:space="preserve">   - Hitel igénybevétele Hulladékgazdálkodási Program saját erejére</t>
  </si>
  <si>
    <t xml:space="preserve"> - Társult Önkormányzatok tárgyévi tagdíja </t>
  </si>
  <si>
    <t xml:space="preserve"> - Társult Önkormányzatok korábbi években be nem fizetett tagdíja</t>
  </si>
  <si>
    <t>Működési kiadások összesen</t>
  </si>
  <si>
    <t>Tárgyévi kiadások összesen</t>
  </si>
  <si>
    <t>Tárgy évi kiadások összesen</t>
  </si>
  <si>
    <t>Beruházási kiadások</t>
  </si>
  <si>
    <t xml:space="preserve"> - Jutalom</t>
  </si>
  <si>
    <t xml:space="preserve"> - ÁFA befizetés</t>
  </si>
  <si>
    <t>Kaposmenti Hulladékgazdálkodási Önkormányzati Társulás</t>
  </si>
  <si>
    <t>Áthúzódó</t>
  </si>
  <si>
    <t>Ajánlati biztosíték visszafizetése</t>
  </si>
  <si>
    <t>Működési célú pénzmaradvány</t>
  </si>
  <si>
    <t>Projekt összesen</t>
  </si>
  <si>
    <t>KEOP 1.1.1. Hulladékgazdálkodási Program</t>
  </si>
  <si>
    <t>I.+II.+III.</t>
  </si>
  <si>
    <t>tőketörlesztés</t>
  </si>
  <si>
    <t>kamat</t>
  </si>
  <si>
    <t>projektvizsgálati díj</t>
  </si>
  <si>
    <t>adósságszolgálat összesen</t>
  </si>
  <si>
    <t>∑</t>
  </si>
  <si>
    <t>MFB  hitel az 1.4 hitelcél keretében
( Kaposmenti Hulladékgazdálkodási Program előkészítési szakaszához - el nem számolható költségek  finanszírozására)
teljes hitelkeret:     31.964.650.- Ft
ebből igénybevett: 26.182.200.- Ft</t>
  </si>
  <si>
    <t>MFB  hitel az 8.4 hitelcél keretében
( Kaposmenti Hulladékgazdálkodási Program előkészítési szakaszához - elszámolható költségek  finanszírozására)
teljes hitelkeret:     31.875.000.- Ft
ebből igénybevett: 31.355.478.- Ft</t>
  </si>
  <si>
    <t>II.1.1</t>
  </si>
  <si>
    <t>I. Tárgyévi működési célú kiadások</t>
  </si>
  <si>
    <t xml:space="preserve">   - NFM önerőtámogatás</t>
  </si>
  <si>
    <t>KMJV által nyújtott kölcsön visszafizetése</t>
  </si>
  <si>
    <t>KMJV által nyújtott kölcsön kamata</t>
  </si>
  <si>
    <t>MŰKÖDÉS</t>
  </si>
  <si>
    <t>FELHALMOZÁS</t>
  </si>
  <si>
    <t>kiadás projekt nélkül</t>
  </si>
  <si>
    <t>felh.c.hitel kamata</t>
  </si>
  <si>
    <t>felh.c.hitel pr.vizsg.</t>
  </si>
  <si>
    <t>felh.c.hitel tőketörl.</t>
  </si>
  <si>
    <t>PÉNZMARADVÁNY</t>
  </si>
  <si>
    <t>ÖSSZESEN</t>
  </si>
  <si>
    <t>ebből:</t>
  </si>
  <si>
    <t>felh. célú</t>
  </si>
  <si>
    <t>működési célú</t>
  </si>
  <si>
    <t>KIADÁSOK</t>
  </si>
  <si>
    <t>személyi jutt.</t>
  </si>
  <si>
    <t>ma. Járulék</t>
  </si>
  <si>
    <t>dologi</t>
  </si>
  <si>
    <t>kölcsön kamat+kez.ktg</t>
  </si>
  <si>
    <t>BEVÉTELEK</t>
  </si>
  <si>
    <t>változatlan tagdíj</t>
  </si>
  <si>
    <t>előzö évi tagdíj</t>
  </si>
  <si>
    <t>költségtérítés</t>
  </si>
  <si>
    <t>fedezet</t>
  </si>
  <si>
    <t>elmaradt kamathj</t>
  </si>
  <si>
    <t>fedezete</t>
  </si>
  <si>
    <t>→</t>
  </si>
  <si>
    <t>tagdíj fennmaradó része</t>
  </si>
  <si>
    <t>ajánlati bizt. Vfiz.</t>
  </si>
  <si>
    <t>pénzmaradvány fennmaradó része</t>
  </si>
  <si>
    <t>KÜLÖNBÖZET</t>
  </si>
  <si>
    <t>fedezete a tagdíj</t>
  </si>
  <si>
    <t>fennmaradó pénzmaradvány</t>
  </si>
  <si>
    <t>↓</t>
  </si>
  <si>
    <t>kölcsön visszafizetése</t>
  </si>
  <si>
    <t>Kaposvár által nyújtott kölcsön</t>
  </si>
  <si>
    <t>ált. műk. tartalék</t>
  </si>
  <si>
    <t>I.1.1</t>
  </si>
  <si>
    <t>I.1.2</t>
  </si>
  <si>
    <t>működési célú pénzmaradvány</t>
  </si>
  <si>
    <t>igazg. szolg. díj megtérülése</t>
  </si>
  <si>
    <t>tagdíj emelés nem szükséges</t>
  </si>
  <si>
    <t>pénzmar. felh. aj. bizt-ra</t>
  </si>
  <si>
    <t>pénzmaradványból</t>
  </si>
  <si>
    <t>változatlan mértékű  tagdíj</t>
  </si>
  <si>
    <t>tagdíj emelés szükséges</t>
  </si>
  <si>
    <t>0,33 Ft/fő</t>
  </si>
  <si>
    <t>új tagdíj</t>
  </si>
  <si>
    <t>50,33 Ft/fő</t>
  </si>
  <si>
    <t>7326 eFt</t>
  </si>
  <si>
    <t>TAGDÍJEMELÉS UTÁN</t>
  </si>
  <si>
    <t>(-49)</t>
  </si>
  <si>
    <t>Működési célú átadott pénzeszköz KMJV részére (munkabér és járulék, valamint dologi kiadások megtérítése)
ebből:</t>
  </si>
  <si>
    <t>2015. év</t>
  </si>
  <si>
    <t>2016. év</t>
  </si>
  <si>
    <t>2017. év</t>
  </si>
  <si>
    <t>Saját bevételek 50 %-a</t>
  </si>
  <si>
    <t>( e Ft-ban)</t>
  </si>
  <si>
    <t>megnevezés</t>
  </si>
  <si>
    <t>saját bevételek összege</t>
  </si>
  <si>
    <t>saját bevételek 50%-a</t>
  </si>
  <si>
    <t>adósságot keletkeztető ügyletekből eredő fizetési kötelezettség</t>
  </si>
  <si>
    <t>Saját bevételek:</t>
  </si>
  <si>
    <t>Társulási tagdíjak</t>
  </si>
  <si>
    <t>Felvett hitelek tőketartozása</t>
  </si>
  <si>
    <t>Felvett hitelek kamata</t>
  </si>
  <si>
    <t>Saját bevételek összesen:</t>
  </si>
  <si>
    <t>Adósságot keletkeztető ügyletekből eredő fizetési kötelezettségek összesen</t>
  </si>
  <si>
    <t>Fizetési kötelezettséggel csökkentett saját bevétel</t>
  </si>
  <si>
    <t>teljesítés
2013.12.31-ig</t>
  </si>
  <si>
    <t>2015. évi eredeti előirányzat</t>
  </si>
  <si>
    <t xml:space="preserve"> - tartalék</t>
  </si>
  <si>
    <t>Ajánlati biztosíték / teljesítési biztosítékvisszafizetése</t>
  </si>
  <si>
    <t>2018. év</t>
  </si>
  <si>
    <t>Kaposmenti likvid hitel 2015.</t>
  </si>
  <si>
    <t>felvétel dátuma</t>
  </si>
  <si>
    <t>öszege</t>
  </si>
  <si>
    <t>visszafizetés dátuma</t>
  </si>
  <si>
    <t>összege</t>
  </si>
  <si>
    <t>kez.ktg</t>
  </si>
  <si>
    <t>1 hó</t>
  </si>
  <si>
    <t>3 hó</t>
  </si>
  <si>
    <t>2 hó</t>
  </si>
  <si>
    <t>kiadások:</t>
  </si>
  <si>
    <t>működési kiadások</t>
  </si>
  <si>
    <t>személyi</t>
  </si>
  <si>
    <t>likvid hitel költsége</t>
  </si>
  <si>
    <t>tartalék</t>
  </si>
  <si>
    <t>felhalmozási kiadások
1.1.1 nélkül</t>
  </si>
  <si>
    <t>FC hitel költsége</t>
  </si>
  <si>
    <t>Hulladékkezelő kp. bérleti díja 3 hó</t>
  </si>
  <si>
    <t>bevételek:</t>
  </si>
  <si>
    <t xml:space="preserve"> - egyéb dologi jellegű kiadás</t>
  </si>
  <si>
    <t>M</t>
  </si>
  <si>
    <t>F</t>
  </si>
  <si>
    <t>Működési célú átadott pénzeszköz KMJV részére (munkabér és járulék, valamint dologi kiadások megtérítése) a 2/a sz. melléklet szerint</t>
  </si>
  <si>
    <t>működési hiány/többlet</t>
  </si>
  <si>
    <t>felhalmozási hiány/többlet</t>
  </si>
  <si>
    <t>mc pénzmaradvány</t>
  </si>
  <si>
    <t xml:space="preserve"> - megvalósíthatósági tanulmány</t>
  </si>
  <si>
    <t>KEOP 1.1.1/C Hulladékgazdálkodási Program eszközpark fejlesztés</t>
  </si>
  <si>
    <t>Kaposmenti Hulladékgazdálkodási Önkormányzati Társulás működési költségvetése</t>
  </si>
  <si>
    <t>Kaposmenti Hulladékgazdálkodási Önkormányzati Társulás működési költségevetése</t>
  </si>
  <si>
    <t xml:space="preserve">   - tagok által biztosított önerő</t>
  </si>
  <si>
    <t>tagdíj (55 Ft-tal-147.270 fő)</t>
  </si>
  <si>
    <t>Hulladékkezelő Kp. bérleti díja</t>
  </si>
  <si>
    <t>MFB  hitel az 8.4.1 hitelcél keretében
( Kaposmenti Hulladékgazdálkodási Program megvalósítási szakaszához - elszámolható költségek - elvárt megtérülő önrész finanszírozására)
teljes hitelkeret:     1.241.502.633.- Ft
ebből várhatóan felhasználásra kerül: 160.507.000.-</t>
  </si>
  <si>
    <t>létszám (fő)</t>
  </si>
  <si>
    <t>2015. évi módosított előirányzat</t>
  </si>
  <si>
    <t>módosítás</t>
  </si>
  <si>
    <t>teljesítés
2014.12.31-ig</t>
  </si>
  <si>
    <t>eei</t>
  </si>
  <si>
    <t>mei</t>
  </si>
  <si>
    <t>felhalmozási általános tartalék</t>
  </si>
  <si>
    <t>likvid hitel vfiz áthúzódó</t>
  </si>
  <si>
    <t>ÁFA megtérülés áthúzódó</t>
  </si>
  <si>
    <t>előző évi hátr.</t>
  </si>
  <si>
    <t>kamathj. Hátr.</t>
  </si>
  <si>
    <t>ÁFA</t>
  </si>
  <si>
    <t>I</t>
  </si>
  <si>
    <t>II</t>
  </si>
  <si>
    <t>III</t>
  </si>
  <si>
    <t>IV</t>
  </si>
  <si>
    <t>Σ</t>
  </si>
  <si>
    <t>ÁFA megtér.</t>
  </si>
  <si>
    <t>kül.:</t>
  </si>
  <si>
    <t>felhalmozási célú pénzmaradvány (adott előleg)</t>
  </si>
  <si>
    <t xml:space="preserve">   - felhalmozási célú pénzmaradvány (adott előleg)</t>
  </si>
  <si>
    <t>I.+II+III</t>
  </si>
  <si>
    <t>I.5.</t>
  </si>
  <si>
    <t>KEOP -2.3.0/2F/09-2010-0003 Kaposvári Hulladéklerakó Rekultivációs Program</t>
  </si>
  <si>
    <t>Működési kiadás</t>
  </si>
  <si>
    <t xml:space="preserve"> - műszaki ellenőr</t>
  </si>
  <si>
    <t xml:space="preserve"> - működési ÁFA</t>
  </si>
  <si>
    <t>I:</t>
  </si>
  <si>
    <t>Működési célú támogatás értékű bevétel</t>
  </si>
  <si>
    <t xml:space="preserve"> - müködési ÁFA</t>
  </si>
  <si>
    <t>Felhalmozási bevételek</t>
  </si>
  <si>
    <t>Működési bevételek</t>
  </si>
  <si>
    <t xml:space="preserve">   - NFM önerő támogatás</t>
  </si>
  <si>
    <t xml:space="preserve"> - felhalmozási ÁFA</t>
  </si>
  <si>
    <t xml:space="preserve">I. </t>
  </si>
  <si>
    <t>Működési kiadások</t>
  </si>
  <si>
    <t xml:space="preserve"> - Működési ÁFA</t>
  </si>
  <si>
    <t xml:space="preserve"> - Beruházási ÁFA</t>
  </si>
  <si>
    <t xml:space="preserve"> - Igazgatási szolgáltatási díj megtérülése (KEOP 1.1.1. HG. Program), egyszeri kártalanítás</t>
  </si>
  <si>
    <t xml:space="preserve"> -  hulladéklerakók rekultivációjának II. üteme</t>
  </si>
  <si>
    <t xml:space="preserve">          -   ebből: 37 település hulladéklerakójának rekultivációja</t>
  </si>
  <si>
    <t xml:space="preserve">          - ebből: 16 település hulladéklerakójának rekultivációja</t>
  </si>
  <si>
    <t>Felhalmozási kiadások</t>
  </si>
  <si>
    <t>II:</t>
  </si>
  <si>
    <t xml:space="preserve">Ajánlati biztosíték / teljesítési biztosíték </t>
  </si>
  <si>
    <t xml:space="preserve"> - egyéb felhalmozási célú támogatások államháztartáson belülre            (támogatás- ZALAISPA Konzorciumnak)</t>
  </si>
  <si>
    <t xml:space="preserve"> - egyéb működési célú támogatások államháztartáson belülre     (támogatás- ZALAISPA Konzorciumnak)</t>
  </si>
  <si>
    <t xml:space="preserve">   - ebből ZALAISPA konzorciumi partnert illető</t>
  </si>
  <si>
    <t>2015. módosított új előirányzat</t>
  </si>
  <si>
    <t>Eltérés a módosításhoz</t>
  </si>
  <si>
    <t>Eltérés az eredetihez</t>
  </si>
  <si>
    <t>2016. évi eredeti előirányzat</t>
  </si>
  <si>
    <t>2015. évi módosított új előirányzat</t>
  </si>
  <si>
    <t xml:space="preserve"> - Folyószámlakötségtérítés 4.000 Ft*2fő</t>
  </si>
  <si>
    <t>felügyeleti díj</t>
  </si>
  <si>
    <t>bankköltség, - ügyleti kamat</t>
  </si>
  <si>
    <t xml:space="preserve">Hulladékkezelő Központ bérleti díjának működési célra felhasznált összege </t>
  </si>
  <si>
    <t>0</t>
  </si>
  <si>
    <t xml:space="preserve"> - egyéb dologi jellegű kiadás </t>
  </si>
  <si>
    <t xml:space="preserve"> - ÁFA </t>
  </si>
  <si>
    <t>módosításd</t>
  </si>
  <si>
    <t>Működési költségvetés egyenlege</t>
  </si>
  <si>
    <t>Hulladékkezelő Központ bérleti díjának működési célra felhasznált Áf-ája</t>
  </si>
  <si>
    <t>I.1. Tárgyévi működési célú bevételek</t>
  </si>
  <si>
    <t>I.1. Tárgyévi működési célú bevételek összesen :</t>
  </si>
  <si>
    <t>II.1. Tárgyévi felhalmozási célú bevételek összesen :</t>
  </si>
  <si>
    <t>Bevételek mindösszesen (I.+II.)</t>
  </si>
  <si>
    <t>I.1.3</t>
  </si>
  <si>
    <t>I.1 Tárgyévi működési célú kiadások</t>
  </si>
  <si>
    <t>I.1 Tárgyévi működési célú kiadások összesen</t>
  </si>
  <si>
    <t>Működési kiadás összesen (I.1+I.2)</t>
  </si>
  <si>
    <t>Felhalmozási célú költségvetés egyenlege</t>
  </si>
  <si>
    <t>Számla típus:</t>
  </si>
  <si>
    <t>Előirányzat számla</t>
  </si>
  <si>
    <t>Tervezési alapegység</t>
  </si>
  <si>
    <t>TAE megnevezés</t>
  </si>
  <si>
    <t>Ktgv. fkvi szám</t>
  </si>
  <si>
    <t>Ktgv. fkvi szám név</t>
  </si>
  <si>
    <t>Előirányzat főkönyv</t>
  </si>
  <si>
    <t>711401</t>
  </si>
  <si>
    <t>MŰKÖDÉSI BEVÉTEL</t>
  </si>
  <si>
    <t>094041</t>
  </si>
  <si>
    <t>Tulajdonosi bevételek előirányzata</t>
  </si>
  <si>
    <t>094111</t>
  </si>
  <si>
    <t>Egyéb működési bevételek előirányzata</t>
  </si>
  <si>
    <t>0981311</t>
  </si>
  <si>
    <t>09251</t>
  </si>
  <si>
    <t>Egyéb felh.c.tám.bevétele áht-n belülről előir</t>
  </si>
  <si>
    <t>721413</t>
  </si>
  <si>
    <t>ÁFA VISSZAIGÉNYLÉS</t>
  </si>
  <si>
    <t>094071</t>
  </si>
  <si>
    <t>Általános forgalmi adó visszatérítés előir.</t>
  </si>
  <si>
    <t>KEOP 7.1.1. HULLADÉKGAZD.PR. ÖNERŐ TÁM.</t>
  </si>
  <si>
    <t>Bevétel összesen :</t>
  </si>
  <si>
    <t>053361</t>
  </si>
  <si>
    <t>Szakmai tev. segítő szolgáltatás előirányzata</t>
  </si>
  <si>
    <t>053551</t>
  </si>
  <si>
    <t>055061</t>
  </si>
  <si>
    <t>055131</t>
  </si>
  <si>
    <t>Tartalékok előirányzata</t>
  </si>
  <si>
    <t>Kiadás összesen</t>
  </si>
  <si>
    <t>8/2016 (2016. Május 04.) KHÖTT határozat alapján előirányzat módósítás</t>
  </si>
  <si>
    <t>kiszámlázott álltalános forgalmi adó</t>
  </si>
  <si>
    <t>2017. évi eredeti előirányzat</t>
  </si>
  <si>
    <t>Áthúzodó kiadások</t>
  </si>
  <si>
    <t>II.1.</t>
  </si>
  <si>
    <t>Személyi juttatás:  - jutalom</t>
  </si>
  <si>
    <t>I+II.</t>
  </si>
  <si>
    <t>Munkaadót terhelő járulékok (jutalom után)</t>
  </si>
  <si>
    <t>V</t>
  </si>
  <si>
    <t>Vl</t>
  </si>
  <si>
    <t>Vll</t>
  </si>
  <si>
    <t>Vlll</t>
  </si>
  <si>
    <t>IX</t>
  </si>
  <si>
    <t>X</t>
  </si>
  <si>
    <t>Xl</t>
  </si>
  <si>
    <t>Xll</t>
  </si>
  <si>
    <t>I. Működési célú kiadások</t>
  </si>
  <si>
    <t>Kaposvári Szociális Központ működési bevételei</t>
  </si>
  <si>
    <t>Ebből: *élelmezési bevételek áfá-val</t>
  </si>
  <si>
    <t xml:space="preserve">           *egyéb intézményi működési bevételek</t>
  </si>
  <si>
    <t>Egyéb működési bevételek összesen</t>
  </si>
  <si>
    <t>Támogatásértékű működési bevételek összesen</t>
  </si>
  <si>
    <t xml:space="preserve">           *OEP alapból támogatásértékű működési bevétel</t>
  </si>
  <si>
    <t xml:space="preserve">           *egyéb támogatásértékű működési bevétel</t>
  </si>
  <si>
    <t>Működési c. pénzeszköz átvétel államháztartáson kívülről</t>
  </si>
  <si>
    <t xml:space="preserve">Társulás működési célú bevételei összesen </t>
  </si>
  <si>
    <t xml:space="preserve">Működési bevételek </t>
  </si>
  <si>
    <t>Ebből:</t>
  </si>
  <si>
    <t xml:space="preserve">   * Szociális és Gyermekvédelmi Főigazgatóságtól a jelzőrendszeres házi segítségnyújtás ellátására működési bevétel</t>
  </si>
  <si>
    <t xml:space="preserve">Működési célú tám. értékű bevételek </t>
  </si>
  <si>
    <t>*Kaposvár Megyei Jogú Várostól támogatásértékű   működési bevétel</t>
  </si>
  <si>
    <t>Társulás és a Kaposvári Szociális Központ  működési bevételei összesen (1+2)</t>
  </si>
  <si>
    <t xml:space="preserve">Havi egyenleg  </t>
  </si>
  <si>
    <t>I.Felhalmozási célú kiadások</t>
  </si>
  <si>
    <t>Kiadások mindösszesen (I+II)</t>
  </si>
  <si>
    <t>Működési célú átadott pénzeszköz</t>
  </si>
  <si>
    <t>dologi kiadás</t>
  </si>
  <si>
    <t>Bérleti díj működési kiadásokra eső fizetendő Áfája</t>
  </si>
  <si>
    <t>ajánlattételi biztosíték</t>
  </si>
  <si>
    <t>Felhalmozási tartalék</t>
  </si>
  <si>
    <t>Bérleti díj felhalmozásikiadásokra eső fizetendő Áfája</t>
  </si>
  <si>
    <t>Kaposvári Hulladékgazdálkodási Nonprofit KFt.-ben üzletrész vásárlás</t>
  </si>
  <si>
    <t>Hulladékgazdálkodással kapcsolatos applikáció okostelefonra</t>
  </si>
  <si>
    <t>I. Működési célú bevételek</t>
  </si>
  <si>
    <t>I.Felhalmozási célú bevételek</t>
  </si>
  <si>
    <t>Bevételek mindösszesen (I+II)</t>
  </si>
  <si>
    <t>Hulladékkhezelő központ bérleti díjának működésicélű összege</t>
  </si>
  <si>
    <t>Kapott kamat</t>
  </si>
  <si>
    <t>Működési pénzmaradvány</t>
  </si>
  <si>
    <t>Felhalmozási pénzmaradvány</t>
  </si>
  <si>
    <t>Hulladékkezelő központ és a Közszolgáltató által fizetett bérleti díj</t>
  </si>
  <si>
    <t>Hulladékkezelő központ és a Közszolgáltató által fizetett bérleti díj ÁFA összege</t>
  </si>
  <si>
    <t>Társulási Ön kormányzatok korábbi években be nem fizetett kamathozzájárulása</t>
  </si>
  <si>
    <t xml:space="preserve"> Összesen: Működési célú átadott pénzeszköz KMJV részére (munkabér és járulék, valamint dologi kiadások megtérítése)
</t>
  </si>
  <si>
    <t>2017. évi módosított lőirányzat</t>
  </si>
  <si>
    <t>Támogatást igénylő</t>
  </si>
  <si>
    <t>Tevékenység</t>
  </si>
  <si>
    <t>Költségtípus</t>
  </si>
  <si>
    <t>Költség elem</t>
  </si>
  <si>
    <t xml:space="preserve">Bruttó </t>
  </si>
  <si>
    <t>ÁFA/járulék</t>
  </si>
  <si>
    <t>Elszámolható Költség</t>
  </si>
  <si>
    <t>KEOP támogatás 0,89,873417</t>
  </si>
  <si>
    <t>Nettó</t>
  </si>
  <si>
    <t>Központi költségvetésből támogatás 10,126583</t>
  </si>
  <si>
    <t>KHEOP-3.2.1.-15-2016-00009-Komplex hulladékgazdálkodási rendszer fejlesztése a Kaposmenti Hulladékgazdálkodási Önkormánytzati Társulás területén, különös tekintettel az elkülönített hulladékgyűjtési, szállítási és előkezelő rendszerre</t>
  </si>
  <si>
    <t>NFP Nonprofit KFT</t>
  </si>
  <si>
    <t>Összesen:</t>
  </si>
  <si>
    <t>KHÖ Társulás</t>
  </si>
  <si>
    <t>Mindösszesen:</t>
  </si>
  <si>
    <t>Projekt menedzsment</t>
  </si>
  <si>
    <t>egyéb általános (rezsi) költség</t>
  </si>
  <si>
    <t>Általános rezsi költség</t>
  </si>
  <si>
    <t>Eszközbeszerzés</t>
  </si>
  <si>
    <t>Közbeszerzés</t>
  </si>
  <si>
    <t>Közbeszerzési költségek</t>
  </si>
  <si>
    <t>Projektmenedzsment személyi jelegű ráfordítás</t>
  </si>
  <si>
    <t>projekt-menedzsment</t>
  </si>
  <si>
    <t>Mérnöki feladatok</t>
  </si>
  <si>
    <t>Műszaki ellenőri szolgáltatás költsége</t>
  </si>
  <si>
    <t>FIDIC mérnök</t>
  </si>
  <si>
    <t>Terület előkészítés, Építés</t>
  </si>
  <si>
    <t>Építéshez kapcsolódó költségek</t>
  </si>
  <si>
    <t>Építés</t>
  </si>
  <si>
    <t>Egyéb szolgáltatás</t>
  </si>
  <si>
    <t xml:space="preserve">Marketing kommunikációs szolgáltatások költségei-kötelező nyivánosság </t>
  </si>
  <si>
    <t>PR költség</t>
  </si>
  <si>
    <t xml:space="preserve">Projekt előkészítés </t>
  </si>
  <si>
    <t>Egyéb projektelőkészítéshez kapcsolódó költség</t>
  </si>
  <si>
    <t>Egyéb szolgáltatás költségei</t>
  </si>
  <si>
    <t>Szemléletformálás költsége</t>
  </si>
  <si>
    <t>projekt előkészítés</t>
  </si>
  <si>
    <t>Előirányzat kontírozás a 10/2017. 3 pontja  (2017.május 03. )  KHÖTT határozata alapján</t>
  </si>
  <si>
    <t>Főkönyv</t>
  </si>
  <si>
    <t>összeg</t>
  </si>
  <si>
    <t>09161</t>
  </si>
  <si>
    <t>Működési Európai Uniós KHEOP (89,8734%)- és önerő támogatás(10,1266%)</t>
  </si>
  <si>
    <t>Felhalmozási Európai Uniós KHEOP (89,8734%)- és önerő támogatás(10,1266%)</t>
  </si>
  <si>
    <t>BEVÉTELEK:</t>
  </si>
  <si>
    <t>ÁFA megtérülés</t>
  </si>
  <si>
    <t>Működési bevétel</t>
  </si>
  <si>
    <t>Bevételek összesen:</t>
  </si>
  <si>
    <t>KIADÁSOK:</t>
  </si>
  <si>
    <t>Szakmai tevékenység ( szemléletformálás, PR költség)</t>
  </si>
  <si>
    <t>Működési célú előzetesen felszámított ÁFA</t>
  </si>
  <si>
    <t>053511</t>
  </si>
  <si>
    <t>Ingatlan beszerzés ( Építés)</t>
  </si>
  <si>
    <t>05621</t>
  </si>
  <si>
    <t>Tárgyi eszközök (Eszközbeszerzés)</t>
  </si>
  <si>
    <t>05641</t>
  </si>
  <si>
    <t>05671</t>
  </si>
  <si>
    <t>Beruházási ÁFA</t>
  </si>
  <si>
    <t>053521</t>
  </si>
  <si>
    <t>Fizetendő ÁFA</t>
  </si>
  <si>
    <t>Kiadás összesen:</t>
  </si>
  <si>
    <t>Teljesítés 2017.12.31.</t>
  </si>
  <si>
    <t>Áthúzodó   (módosított ei-teljesítés)</t>
  </si>
  <si>
    <t>Eltérés a eredetihez</t>
  </si>
  <si>
    <t>KEHOP-3.2.1-15-20017-00009 Komplex Hulladékgazd</t>
  </si>
  <si>
    <t>Egyéb műk.c. tám. Bev. ÁHT.- belülről</t>
  </si>
  <si>
    <t>Egyéb. Felh.c.tám.bev. ÁHT.- belülről</t>
  </si>
  <si>
    <t>0940811</t>
  </si>
  <si>
    <t>Befekt.eszk. Szám bevételek ei</t>
  </si>
  <si>
    <t>Egyéb működési célú bevételek előirányzata</t>
  </si>
  <si>
    <t>Előző ávi költségv. Maradv. Igénybevétele</t>
  </si>
  <si>
    <t>Társulási Tagdíjak</t>
  </si>
  <si>
    <t>Felhalmozási c. pénzmaradvány</t>
  </si>
  <si>
    <t>981311</t>
  </si>
  <si>
    <t>Előző évi költségvetési maradv. Igénybev</t>
  </si>
  <si>
    <t>KMJV Önk.-tól fejlesztési Hiel</t>
  </si>
  <si>
    <t>09241</t>
  </si>
  <si>
    <t>Felh.c. visszat. Tám. Kölcs ig. vét. Áht.-n belül</t>
  </si>
  <si>
    <t>Fejlesztési céltartalék</t>
  </si>
  <si>
    <t>094061</t>
  </si>
  <si>
    <t>Kiszámlázott ÁFA</t>
  </si>
  <si>
    <t>Műödési c. előzetesen felsz ÁFA</t>
  </si>
  <si>
    <t>Ingatlanok beszerzése létesítése</t>
  </si>
  <si>
    <t>Egyéb tárgyi eszközök beszerz.</t>
  </si>
  <si>
    <t>Beruh.c. ÁFA</t>
  </si>
  <si>
    <t>Ajánlattételi biztosíték visszaf</t>
  </si>
  <si>
    <t>Egyéb dologi kiadás előirányzata</t>
  </si>
  <si>
    <t>05831</t>
  </si>
  <si>
    <t>Felh.c. visszatér. Tám tam kölcsön Áht.- belülről</t>
  </si>
  <si>
    <t>Fizetendő Áfa</t>
  </si>
  <si>
    <t>05611</t>
  </si>
  <si>
    <t>Immateriális javak beszerzése</t>
  </si>
  <si>
    <t>Beruházási c. előzetesen felsz ÁFA</t>
  </si>
  <si>
    <t>Egyéb műk c. táog Áht.- belülre</t>
  </si>
  <si>
    <t>055031</t>
  </si>
  <si>
    <t>053371</t>
  </si>
  <si>
    <t>Egyéb szolgáltatás ei</t>
  </si>
  <si>
    <t>Szakmai tev segítő szolg ei</t>
  </si>
  <si>
    <t>Kaposmenti Hulladékgazdálkodási Önkormányzati Táruslás 2018. évi költségvetés</t>
  </si>
  <si>
    <t>05631</t>
  </si>
  <si>
    <t>Informatikai eszközök beszerzése</t>
  </si>
  <si>
    <t>I.2.1</t>
  </si>
  <si>
    <t>bevétel:</t>
  </si>
  <si>
    <t>Maradvány</t>
  </si>
  <si>
    <t>Záró pénzkészlet:</t>
  </si>
  <si>
    <t xml:space="preserve">Beruházási előleg </t>
  </si>
  <si>
    <t>Beruházási előleg  áfája</t>
  </si>
  <si>
    <t>letét</t>
  </si>
  <si>
    <t>egyenleg</t>
  </si>
  <si>
    <t>Különbség</t>
  </si>
  <si>
    <t>2018. évi maradvány</t>
  </si>
  <si>
    <t>Kaposmenti Hulladékgazdálkodási Önkormányzati Táruslás 2019. évi költségvetés</t>
  </si>
  <si>
    <t>I.2. Pénzmaradvány</t>
  </si>
  <si>
    <t>Működési célú bevételek összesen (I.1+I.2.)</t>
  </si>
  <si>
    <t>Tárgyévi felhalmozási bevételek</t>
  </si>
  <si>
    <t>Felhalmozási célú pénzmaradvány</t>
  </si>
  <si>
    <t>Tárgyévi működési célú kiadások</t>
  </si>
  <si>
    <t>Állami működési támogatás</t>
  </si>
  <si>
    <t>Önkormányzati működési támogatás</t>
  </si>
  <si>
    <t>Feladatalapú támogatás</t>
  </si>
  <si>
    <t>Tárgyévi felhalmozási kiadások</t>
  </si>
  <si>
    <t>II.1. Tárgyévi felhalmozási bevételek</t>
  </si>
  <si>
    <t>II.2. Pénzmaradvány</t>
  </si>
  <si>
    <t>II.2.1</t>
  </si>
  <si>
    <t>Felhalmozási célú bevételek összesen (II.1+II.2)</t>
  </si>
  <si>
    <t>Kaposvár Megyei Jogú Város Lengyel Nemzetiségi Önkormányzat</t>
  </si>
  <si>
    <t>Hitel, hiány</t>
  </si>
  <si>
    <t>2020. évi eredeti előirányzat</t>
  </si>
  <si>
    <t>I.1.4</t>
  </si>
  <si>
    <t>Egyéb működési bevételek</t>
  </si>
  <si>
    <t>II.1. Támogatások</t>
  </si>
  <si>
    <t>II.1</t>
  </si>
  <si>
    <t>III.1. Tárgyévi felhalmozási kiadások</t>
  </si>
  <si>
    <t>III.1.1</t>
  </si>
  <si>
    <t>Tárgyévi felhalmozási kiadások összesen (III.1)</t>
  </si>
  <si>
    <t>II.1. Támogatások összesen (II.1)</t>
  </si>
  <si>
    <t>Támogatások</t>
  </si>
  <si>
    <t>Felhalmozási kiadás összesen (III.1)</t>
  </si>
  <si>
    <t>Kiadás mindösszesen (I.+II.+III.)</t>
  </si>
  <si>
    <t>2020. évi módosított előirányzat</t>
  </si>
  <si>
    <t>2021. évi eredeti előirányzat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</si>
</sst>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0.000000"/>
    <numFmt numFmtId="183" formatCode="0.0000000"/>
    <numFmt numFmtId="184" formatCode="0.00000"/>
    <numFmt numFmtId="185" formatCode="#,##0\ &quot;Ft&quot;"/>
    <numFmt numFmtId="186" formatCode="#,##0\ _F_t"/>
    <numFmt numFmtId="187" formatCode="###,###,###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0.0"/>
    <numFmt numFmtId="192" formatCode="#,##0.0"/>
    <numFmt numFmtId="193" formatCode="#,##0\ "/>
    <numFmt numFmtId="194" formatCode="#,##0\ \ "/>
    <numFmt numFmtId="195" formatCode="#,##0\ \ \ "/>
    <numFmt numFmtId="196" formatCode="#,##0.0\ _F_t"/>
    <numFmt numFmtId="197" formatCode="#,##0.00\ _F_t"/>
    <numFmt numFmtId="198" formatCode="#,##0.0000"/>
    <numFmt numFmtId="199" formatCode="0.000"/>
    <numFmt numFmtId="200" formatCode="0.0%"/>
    <numFmt numFmtId="201" formatCode="0.0000000000"/>
    <numFmt numFmtId="202" formatCode="&quot;H-&quot;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 CE"/>
      <family val="0"/>
    </font>
    <font>
      <sz val="16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SansSerif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2"/>
      <name val="Times New Roman CE"/>
      <family val="1"/>
    </font>
    <font>
      <sz val="10"/>
      <name val="MS Sans Serif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Times New Roman CE"/>
      <family val="1"/>
    </font>
    <font>
      <sz val="12"/>
      <color indexed="8"/>
      <name val="Times New Roman CE"/>
      <family val="1"/>
    </font>
    <font>
      <b/>
      <sz val="10"/>
      <color indexed="8"/>
      <name val="Times New Roman CE"/>
      <family val="0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2"/>
      <color indexed="10"/>
      <name val="Times New Roman CE"/>
      <family val="0"/>
    </font>
    <font>
      <b/>
      <sz val="12"/>
      <color indexed="10"/>
      <name val="Times New Roman"/>
      <family val="1"/>
    </font>
    <font>
      <b/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2"/>
      <color indexed="8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B05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12"/>
      <color theme="1"/>
      <name val="Times New Roman CE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 CE"/>
      <family val="1"/>
    </font>
    <font>
      <b/>
      <sz val="10"/>
      <color theme="1"/>
      <name val="Times New Roman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b/>
      <sz val="12"/>
      <color rgb="FFFF0000"/>
      <name val="Times New Roman CE"/>
      <family val="0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 CE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14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1" fillId="27" borderId="7" applyNumberFormat="0" applyFont="0" applyAlignment="0" applyProtection="0"/>
    <xf numFmtId="0" fontId="79" fillId="28" borderId="0" applyNumberFormat="0" applyBorder="0" applyAlignment="0" applyProtection="0"/>
    <xf numFmtId="0" fontId="80" fillId="29" borderId="8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8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30" borderId="0" applyNumberFormat="0" applyBorder="0" applyAlignment="0" applyProtection="0"/>
    <xf numFmtId="0" fontId="85" fillId="31" borderId="0" applyNumberFormat="0" applyBorder="0" applyAlignment="0" applyProtection="0"/>
    <xf numFmtId="0" fontId="86" fillId="29" borderId="1" applyNumberFormat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 applyFont="1" applyAlignment="1">
      <alignment/>
    </xf>
    <xf numFmtId="3" fontId="3" fillId="0" borderId="0" xfId="65" applyNumberFormat="1" applyFont="1">
      <alignment/>
      <protection/>
    </xf>
    <xf numFmtId="3" fontId="4" fillId="0" borderId="0" xfId="65" applyNumberFormat="1" applyFont="1">
      <alignment/>
      <protection/>
    </xf>
    <xf numFmtId="3" fontId="5" fillId="0" borderId="0" xfId="65" applyNumberFormat="1" applyFont="1" applyAlignment="1">
      <alignment horizontal="right" vertical="center"/>
      <protection/>
    </xf>
    <xf numFmtId="3" fontId="3" fillId="0" borderId="10" xfId="65" applyNumberFormat="1" applyFont="1" applyBorder="1">
      <alignment/>
      <protection/>
    </xf>
    <xf numFmtId="3" fontId="4" fillId="0" borderId="1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 wrapText="1"/>
      <protection/>
    </xf>
    <xf numFmtId="3" fontId="4" fillId="0" borderId="10" xfId="65" applyNumberFormat="1" applyFont="1" applyBorder="1" applyAlignment="1">
      <alignment horizontal="left"/>
      <protection/>
    </xf>
    <xf numFmtId="3" fontId="4" fillId="0" borderId="0" xfId="65" applyNumberFormat="1" applyFont="1" applyBorder="1" applyAlignment="1">
      <alignment wrapText="1"/>
      <protection/>
    </xf>
    <xf numFmtId="3" fontId="4" fillId="0" borderId="0" xfId="65" applyNumberFormat="1" applyFont="1" applyBorder="1" applyAlignment="1">
      <alignment horizontal="left" wrapText="1"/>
      <protection/>
    </xf>
    <xf numFmtId="3" fontId="4" fillId="0" borderId="0" xfId="65" applyNumberFormat="1" applyFont="1" applyBorder="1" applyAlignment="1">
      <alignment horizontal="center" vertical="center" wrapText="1"/>
      <protection/>
    </xf>
    <xf numFmtId="3" fontId="3" fillId="0" borderId="0" xfId="65" applyNumberFormat="1" applyFont="1" applyBorder="1" applyAlignment="1">
      <alignment wrapText="1"/>
      <protection/>
    </xf>
    <xf numFmtId="3" fontId="3" fillId="0" borderId="0" xfId="65" applyNumberFormat="1" applyFont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center" vertical="center"/>
      <protection/>
    </xf>
    <xf numFmtId="3" fontId="3" fillId="0" borderId="10" xfId="65" applyNumberFormat="1" applyFont="1" applyBorder="1" applyAlignment="1">
      <alignment horizontal="left"/>
      <protection/>
    </xf>
    <xf numFmtId="3" fontId="3" fillId="0" borderId="10" xfId="65" applyNumberFormat="1" applyFont="1" applyBorder="1" applyAlignment="1">
      <alignment wrapText="1"/>
      <protection/>
    </xf>
    <xf numFmtId="3" fontId="3" fillId="0" borderId="0" xfId="65" applyNumberFormat="1" applyFont="1" applyAlignment="1">
      <alignment horizontal="center" vertical="center"/>
      <protection/>
    </xf>
    <xf numFmtId="3" fontId="3" fillId="0" borderId="11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>
      <alignment/>
      <protection/>
    </xf>
    <xf numFmtId="3" fontId="3" fillId="0" borderId="0" xfId="65" applyNumberFormat="1" applyFont="1" applyBorder="1" applyAlignment="1">
      <alignment horizontal="center" vertical="center"/>
      <protection/>
    </xf>
    <xf numFmtId="3" fontId="8" fillId="0" borderId="0" xfId="65" applyNumberFormat="1" applyFont="1">
      <alignment/>
      <protection/>
    </xf>
    <xf numFmtId="3" fontId="9" fillId="0" borderId="10" xfId="65" applyNumberFormat="1" applyFont="1" applyBorder="1" applyAlignment="1">
      <alignment horizontal="center" vertical="center" wrapText="1"/>
      <protection/>
    </xf>
    <xf numFmtId="3" fontId="7" fillId="0" borderId="10" xfId="65" applyNumberFormat="1" applyFont="1" applyBorder="1">
      <alignment/>
      <protection/>
    </xf>
    <xf numFmtId="3" fontId="9" fillId="0" borderId="10" xfId="65" applyNumberFormat="1" applyFont="1" applyBorder="1" applyAlignment="1">
      <alignment horizontal="center" vertical="center"/>
      <protection/>
    </xf>
    <xf numFmtId="3" fontId="7" fillId="0" borderId="10" xfId="65" applyNumberFormat="1" applyFont="1" applyBorder="1" applyAlignment="1">
      <alignment horizontal="center"/>
      <protection/>
    </xf>
    <xf numFmtId="3" fontId="7" fillId="0" borderId="10" xfId="65" applyNumberFormat="1" applyFont="1" applyBorder="1" applyAlignment="1">
      <alignment horizontal="left"/>
      <protection/>
    </xf>
    <xf numFmtId="3" fontId="4" fillId="0" borderId="11" xfId="65" applyNumberFormat="1" applyFont="1" applyBorder="1" applyAlignment="1">
      <alignment horizontal="center" vertical="center" wrapText="1"/>
      <protection/>
    </xf>
    <xf numFmtId="3" fontId="3" fillId="0" borderId="11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12" xfId="65" applyNumberFormat="1" applyFont="1" applyBorder="1" applyAlignment="1">
      <alignment horizontal="center" vertical="center"/>
      <protection/>
    </xf>
    <xf numFmtId="3" fontId="3" fillId="0" borderId="13" xfId="65" applyNumberFormat="1" applyFont="1" applyBorder="1" applyAlignment="1">
      <alignment horizontal="center" vertical="center"/>
      <protection/>
    </xf>
    <xf numFmtId="3" fontId="11" fillId="0" borderId="10" xfId="65" applyNumberFormat="1" applyFont="1" applyBorder="1">
      <alignment/>
      <protection/>
    </xf>
    <xf numFmtId="3" fontId="11" fillId="0" borderId="10" xfId="65" applyNumberFormat="1" applyFont="1" applyBorder="1" applyAlignment="1">
      <alignment horizontal="center" vertical="center"/>
      <protection/>
    </xf>
    <xf numFmtId="3" fontId="13" fillId="0" borderId="10" xfId="65" applyNumberFormat="1" applyFont="1" applyBorder="1" applyAlignment="1">
      <alignment horizontal="center" vertical="center"/>
      <protection/>
    </xf>
    <xf numFmtId="3" fontId="5" fillId="0" borderId="10" xfId="65" applyNumberFormat="1" applyFont="1" applyBorder="1" applyAlignment="1">
      <alignment horizontal="center" vertical="center"/>
      <protection/>
    </xf>
    <xf numFmtId="3" fontId="15" fillId="0" borderId="0" xfId="65" applyNumberFormat="1" applyFont="1" applyAlignment="1">
      <alignment horizontal="center" vertical="center" wrapText="1"/>
      <protection/>
    </xf>
    <xf numFmtId="3" fontId="3" fillId="0" borderId="0" xfId="65" applyNumberFormat="1" applyFont="1" applyAlignment="1">
      <alignment wrapText="1"/>
      <protection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right"/>
    </xf>
    <xf numFmtId="3" fontId="17" fillId="0" borderId="10" xfId="0" applyNumberFormat="1" applyFont="1" applyBorder="1" applyAlignment="1">
      <alignment/>
    </xf>
    <xf numFmtId="0" fontId="17" fillId="0" borderId="14" xfId="0" applyFont="1" applyBorder="1" applyAlignment="1">
      <alignment horizontal="right"/>
    </xf>
    <xf numFmtId="3" fontId="17" fillId="0" borderId="14" xfId="0" applyNumberFormat="1" applyFont="1" applyBorder="1" applyAlignment="1">
      <alignment/>
    </xf>
    <xf numFmtId="0" fontId="16" fillId="0" borderId="15" xfId="0" applyFont="1" applyBorder="1" applyAlignment="1">
      <alignment horizontal="right"/>
    </xf>
    <xf numFmtId="3" fontId="16" fillId="0" borderId="15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3" fontId="16" fillId="0" borderId="16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0" fontId="16" fillId="0" borderId="19" xfId="0" applyFont="1" applyBorder="1" applyAlignment="1">
      <alignment horizontal="center" vertical="center"/>
    </xf>
    <xf numFmtId="3" fontId="1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3" fontId="16" fillId="0" borderId="20" xfId="0" applyNumberFormat="1" applyFont="1" applyBorder="1" applyAlignment="1">
      <alignment/>
    </xf>
    <xf numFmtId="3" fontId="0" fillId="0" borderId="0" xfId="0" applyNumberForma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11" fillId="0" borderId="0" xfId="65" applyNumberFormat="1" applyFont="1" applyBorder="1">
      <alignment/>
      <protection/>
    </xf>
    <xf numFmtId="3" fontId="7" fillId="0" borderId="10" xfId="65" applyNumberFormat="1" applyFont="1" applyBorder="1" applyAlignment="1">
      <alignment wrapText="1"/>
      <protection/>
    </xf>
    <xf numFmtId="3" fontId="4" fillId="0" borderId="11" xfId="65" applyNumberFormat="1" applyFont="1" applyBorder="1" applyAlignment="1">
      <alignment vertical="center"/>
      <protection/>
    </xf>
    <xf numFmtId="3" fontId="22" fillId="0" borderId="11" xfId="65" applyNumberFormat="1" applyFont="1" applyBorder="1" applyAlignment="1">
      <alignment horizontal="center" vertical="center"/>
      <protection/>
    </xf>
    <xf numFmtId="3" fontId="8" fillId="0" borderId="11" xfId="65" applyNumberFormat="1" applyFont="1" applyBorder="1" applyAlignment="1">
      <alignment horizontal="center" vertical="center"/>
      <protection/>
    </xf>
    <xf numFmtId="3" fontId="3" fillId="0" borderId="19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justify"/>
    </xf>
    <xf numFmtId="0" fontId="24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justify" vertical="top"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3" fontId="23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 vertical="center"/>
    </xf>
    <xf numFmtId="3" fontId="11" fillId="0" borderId="0" xfId="65" applyNumberFormat="1" applyFont="1" applyBorder="1" applyAlignment="1">
      <alignment horizontal="right"/>
      <protection/>
    </xf>
    <xf numFmtId="3" fontId="5" fillId="0" borderId="11" xfId="6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83" fillId="0" borderId="0" xfId="0" applyFont="1" applyAlignment="1">
      <alignment/>
    </xf>
    <xf numFmtId="3" fontId="8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83" fillId="0" borderId="0" xfId="0" applyFont="1" applyAlignment="1">
      <alignment horizontal="center"/>
    </xf>
    <xf numFmtId="3" fontId="87" fillId="0" borderId="0" xfId="0" applyNumberFormat="1" applyFont="1" applyAlignment="1">
      <alignment/>
    </xf>
    <xf numFmtId="3" fontId="7" fillId="0" borderId="0" xfId="65" applyNumberFormat="1" applyFont="1" applyAlignment="1">
      <alignment horizontal="center" vertical="center"/>
      <protection/>
    </xf>
    <xf numFmtId="3" fontId="0" fillId="0" borderId="0" xfId="0" applyNumberFormat="1" applyAlignment="1" quotePrefix="1">
      <alignment/>
    </xf>
    <xf numFmtId="0" fontId="88" fillId="0" borderId="0" xfId="0" applyFont="1" applyAlignment="1">
      <alignment/>
    </xf>
    <xf numFmtId="3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3" fontId="55" fillId="0" borderId="0" xfId="0" applyNumberFormat="1" applyFont="1" applyAlignment="1">
      <alignment/>
    </xf>
    <xf numFmtId="0" fontId="83" fillId="0" borderId="0" xfId="0" applyFont="1" applyAlignment="1">
      <alignment horizontal="right"/>
    </xf>
    <xf numFmtId="201" fontId="89" fillId="0" borderId="0" xfId="0" applyNumberFormat="1" applyFont="1" applyAlignment="1">
      <alignment/>
    </xf>
    <xf numFmtId="3" fontId="5" fillId="0" borderId="12" xfId="65" applyNumberFormat="1" applyFont="1" applyBorder="1" applyAlignment="1">
      <alignment horizontal="center" vertical="center"/>
      <protection/>
    </xf>
    <xf numFmtId="3" fontId="5" fillId="0" borderId="0" xfId="65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right"/>
    </xf>
    <xf numFmtId="49" fontId="12" fillId="0" borderId="10" xfId="65" applyNumberFormat="1" applyFont="1" applyBorder="1" applyAlignment="1">
      <alignment horizontal="center" vertical="center"/>
      <protection/>
    </xf>
    <xf numFmtId="3" fontId="4" fillId="0" borderId="0" xfId="65" applyNumberFormat="1" applyFont="1" applyBorder="1" applyAlignment="1">
      <alignment vertical="center"/>
      <protection/>
    </xf>
    <xf numFmtId="3" fontId="90" fillId="0" borderId="10" xfId="65" applyNumberFormat="1" applyFont="1" applyBorder="1" applyAlignment="1">
      <alignment horizontal="center" vertical="center"/>
      <protection/>
    </xf>
    <xf numFmtId="3" fontId="3" fillId="0" borderId="0" xfId="65" applyNumberFormat="1" applyFont="1" applyBorder="1" applyAlignment="1">
      <alignment vertical="center" wrapText="1"/>
      <protection/>
    </xf>
    <xf numFmtId="0" fontId="88" fillId="0" borderId="0" xfId="0" applyFont="1" applyAlignment="1">
      <alignment horizontal="center" wrapText="1"/>
    </xf>
    <xf numFmtId="3" fontId="83" fillId="0" borderId="0" xfId="0" applyNumberFormat="1" applyFont="1" applyAlignment="1">
      <alignment horizontal="right"/>
    </xf>
    <xf numFmtId="3" fontId="88" fillId="0" borderId="0" xfId="0" applyNumberFormat="1" applyFont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horizontal="right" vertical="center" wrapText="1"/>
    </xf>
    <xf numFmtId="17" fontId="0" fillId="0" borderId="0" xfId="0" applyNumberFormat="1" applyAlignment="1">
      <alignment/>
    </xf>
    <xf numFmtId="0" fontId="0" fillId="0" borderId="0" xfId="0" applyFont="1" applyAlignment="1">
      <alignment/>
    </xf>
    <xf numFmtId="3" fontId="7" fillId="0" borderId="0" xfId="65" applyNumberFormat="1" applyFont="1" applyAlignment="1">
      <alignment/>
      <protection/>
    </xf>
    <xf numFmtId="3" fontId="5" fillId="0" borderId="19" xfId="65" applyNumberFormat="1" applyFont="1" applyBorder="1" applyAlignment="1">
      <alignment horizontal="center" vertical="center"/>
      <protection/>
    </xf>
    <xf numFmtId="3" fontId="3" fillId="0" borderId="14" xfId="65" applyNumberFormat="1" applyFont="1" applyBorder="1">
      <alignment/>
      <protection/>
    </xf>
    <xf numFmtId="3" fontId="91" fillId="0" borderId="10" xfId="65" applyNumberFormat="1" applyFont="1" applyBorder="1" applyAlignment="1">
      <alignment horizontal="center" vertical="center"/>
      <protection/>
    </xf>
    <xf numFmtId="4" fontId="91" fillId="0" borderId="10" xfId="0" applyNumberFormat="1" applyFont="1" applyFill="1" applyBorder="1" applyAlignment="1">
      <alignment/>
    </xf>
    <xf numFmtId="3" fontId="9" fillId="0" borderId="10" xfId="65" applyNumberFormat="1" applyFont="1" applyBorder="1">
      <alignment/>
      <protection/>
    </xf>
    <xf numFmtId="3" fontId="11" fillId="0" borderId="11" xfId="65" applyNumberFormat="1" applyFont="1" applyBorder="1" applyAlignment="1">
      <alignment horizontal="center" vertical="center"/>
      <protection/>
    </xf>
    <xf numFmtId="3" fontId="13" fillId="0" borderId="11" xfId="65" applyNumberFormat="1" applyFont="1" applyBorder="1" applyAlignment="1">
      <alignment horizontal="center" vertical="center"/>
      <protection/>
    </xf>
    <xf numFmtId="3" fontId="13" fillId="0" borderId="12" xfId="65" applyNumberFormat="1" applyFont="1" applyBorder="1" applyAlignment="1">
      <alignment horizontal="center" vertical="center"/>
      <protection/>
    </xf>
    <xf numFmtId="3" fontId="11" fillId="0" borderId="13" xfId="65" applyNumberFormat="1" applyFont="1" applyBorder="1" applyAlignment="1">
      <alignment horizontal="center" vertical="center"/>
      <protection/>
    </xf>
    <xf numFmtId="3" fontId="26" fillId="0" borderId="10" xfId="65" applyNumberFormat="1" applyFont="1" applyBorder="1" applyAlignment="1">
      <alignment horizontal="center" vertical="center"/>
      <protection/>
    </xf>
    <xf numFmtId="3" fontId="9" fillId="0" borderId="10" xfId="65" applyNumberFormat="1" applyFont="1" applyBorder="1" applyAlignment="1">
      <alignment horizontal="left"/>
      <protection/>
    </xf>
    <xf numFmtId="3" fontId="7" fillId="0" borderId="11" xfId="65" applyNumberFormat="1" applyFont="1" applyBorder="1">
      <alignment/>
      <protection/>
    </xf>
    <xf numFmtId="3" fontId="7" fillId="0" borderId="12" xfId="65" applyNumberFormat="1" applyFont="1" applyBorder="1">
      <alignment/>
      <protection/>
    </xf>
    <xf numFmtId="3" fontId="10" fillId="0" borderId="10" xfId="65" applyNumberFormat="1" applyFont="1" applyBorder="1">
      <alignment/>
      <protection/>
    </xf>
    <xf numFmtId="3" fontId="10" fillId="0" borderId="10" xfId="65" applyNumberFormat="1" applyFont="1" applyBorder="1" applyAlignment="1">
      <alignment horizontal="left" wrapText="1" indent="3"/>
      <protection/>
    </xf>
    <xf numFmtId="3" fontId="7" fillId="0" borderId="10" xfId="65" applyNumberFormat="1" applyFont="1" applyBorder="1" applyAlignment="1">
      <alignment horizontal="left" wrapText="1"/>
      <protection/>
    </xf>
    <xf numFmtId="3" fontId="7" fillId="0" borderId="10" xfId="65" applyNumberFormat="1" applyFont="1" applyBorder="1" applyAlignment="1">
      <alignment horizontal="left" indent="8"/>
      <protection/>
    </xf>
    <xf numFmtId="3" fontId="7" fillId="0" borderId="14" xfId="65" applyNumberFormat="1" applyFont="1" applyBorder="1">
      <alignment/>
      <protection/>
    </xf>
    <xf numFmtId="3" fontId="92" fillId="0" borderId="10" xfId="65" applyNumberFormat="1" applyFont="1" applyBorder="1" applyAlignment="1">
      <alignment horizontal="center" vertical="center"/>
      <protection/>
    </xf>
    <xf numFmtId="3" fontId="12" fillId="0" borderId="10" xfId="65" applyNumberFormat="1" applyFont="1" applyBorder="1" applyAlignment="1">
      <alignment horizontal="center" vertical="center"/>
      <protection/>
    </xf>
    <xf numFmtId="3" fontId="9" fillId="0" borderId="10" xfId="65" applyNumberFormat="1" applyFont="1" applyBorder="1" applyAlignment="1">
      <alignment horizontal="center"/>
      <protection/>
    </xf>
    <xf numFmtId="0" fontId="28" fillId="0" borderId="10" xfId="63" applyFont="1" applyFill="1" applyBorder="1">
      <alignment/>
      <protection/>
    </xf>
    <xf numFmtId="0" fontId="29" fillId="0" borderId="10" xfId="63" applyFont="1" applyFill="1" applyBorder="1" applyAlignment="1" applyProtection="1">
      <alignment horizontal="left" vertical="top" wrapText="1"/>
      <protection/>
    </xf>
    <xf numFmtId="0" fontId="30" fillId="0" borderId="10" xfId="63" applyFont="1" applyFill="1" applyBorder="1" applyAlignment="1" applyProtection="1">
      <alignment horizontal="left" vertical="top" wrapText="1"/>
      <protection/>
    </xf>
    <xf numFmtId="0" fontId="27" fillId="0" borderId="10" xfId="63" applyFont="1" applyFill="1" applyBorder="1" applyAlignment="1" applyProtection="1">
      <alignment horizontal="left" vertical="top" wrapText="1"/>
      <protection/>
    </xf>
    <xf numFmtId="0" fontId="31" fillId="0" borderId="10" xfId="63" applyFont="1" applyFill="1" applyBorder="1" applyAlignment="1" applyProtection="1">
      <alignment horizontal="center" vertical="center" wrapText="1"/>
      <protection/>
    </xf>
    <xf numFmtId="3" fontId="30" fillId="0" borderId="10" xfId="63" applyNumberFormat="1" applyFont="1" applyFill="1" applyBorder="1" applyAlignment="1" applyProtection="1">
      <alignment horizontal="right" vertical="top" wrapText="1"/>
      <protection/>
    </xf>
    <xf numFmtId="0" fontId="28" fillId="32" borderId="10" xfId="63" applyFont="1" applyFill="1" applyBorder="1">
      <alignment/>
      <protection/>
    </xf>
    <xf numFmtId="0" fontId="93" fillId="0" borderId="10" xfId="63" applyFont="1" applyFill="1" applyBorder="1" applyAlignment="1" applyProtection="1">
      <alignment horizontal="left" vertical="top" wrapText="1"/>
      <protection/>
    </xf>
    <xf numFmtId="3" fontId="93" fillId="0" borderId="10" xfId="63" applyNumberFormat="1" applyFont="1" applyFill="1" applyBorder="1" applyAlignment="1" applyProtection="1">
      <alignment horizontal="right" vertical="top" wrapText="1"/>
      <protection/>
    </xf>
    <xf numFmtId="0" fontId="28" fillId="0" borderId="10" xfId="63" applyFont="1" applyFill="1" applyBorder="1" applyAlignment="1" applyProtection="1">
      <alignment horizontal="left" vertical="top" wrapText="1"/>
      <protection/>
    </xf>
    <xf numFmtId="3" fontId="28" fillId="0" borderId="10" xfId="63" applyNumberFormat="1" applyFont="1" applyFill="1" applyBorder="1" applyAlignment="1" applyProtection="1">
      <alignment horizontal="right" vertical="top" wrapText="1"/>
      <protection/>
    </xf>
    <xf numFmtId="0" fontId="93" fillId="0" borderId="10" xfId="63" applyFont="1" applyFill="1" applyBorder="1">
      <alignment/>
      <protection/>
    </xf>
    <xf numFmtId="3" fontId="93" fillId="0" borderId="10" xfId="63" applyNumberFormat="1" applyFont="1" applyFill="1" applyBorder="1">
      <alignment/>
      <protection/>
    </xf>
    <xf numFmtId="3" fontId="4" fillId="0" borderId="10" xfId="65" applyNumberFormat="1" applyFont="1" applyBorder="1">
      <alignment/>
      <protection/>
    </xf>
    <xf numFmtId="3" fontId="9" fillId="0" borderId="10" xfId="65" applyNumberFormat="1" applyFont="1" applyBorder="1" applyAlignment="1">
      <alignment horizontal="left" indent="8"/>
      <protection/>
    </xf>
    <xf numFmtId="3" fontId="9" fillId="0" borderId="10" xfId="65" applyNumberFormat="1" applyFont="1" applyBorder="1" applyAlignment="1">
      <alignment horizontal="left" wrapText="1"/>
      <protection/>
    </xf>
    <xf numFmtId="0" fontId="94" fillId="33" borderId="10" xfId="64" applyFont="1" applyFill="1" applyBorder="1" applyAlignment="1">
      <alignment/>
      <protection/>
    </xf>
    <xf numFmtId="0" fontId="6" fillId="0" borderId="0" xfId="64">
      <alignment/>
      <protection/>
    </xf>
    <xf numFmtId="3" fontId="95" fillId="33" borderId="10" xfId="64" applyNumberFormat="1" applyFont="1" applyFill="1" applyBorder="1" applyAlignment="1" applyProtection="1">
      <alignment wrapText="1"/>
      <protection locked="0"/>
    </xf>
    <xf numFmtId="186" fontId="32" fillId="0" borderId="0" xfId="64" applyNumberFormat="1" applyFont="1" applyFill="1" applyBorder="1">
      <alignment/>
      <protection/>
    </xf>
    <xf numFmtId="186" fontId="6" fillId="0" borderId="0" xfId="64" applyNumberFormat="1">
      <alignment/>
      <protection/>
    </xf>
    <xf numFmtId="3" fontId="96" fillId="33" borderId="21" xfId="59" applyNumberFormat="1" applyFont="1" applyFill="1" applyBorder="1" applyAlignment="1">
      <alignment/>
      <protection/>
    </xf>
    <xf numFmtId="186" fontId="97" fillId="33" borderId="22" xfId="64" applyNumberFormat="1" applyFont="1" applyFill="1" applyBorder="1" applyAlignment="1">
      <alignment/>
      <protection/>
    </xf>
    <xf numFmtId="3" fontId="96" fillId="33" borderId="22" xfId="59" applyNumberFormat="1" applyFont="1" applyFill="1" applyBorder="1" applyAlignment="1">
      <alignment/>
      <protection/>
    </xf>
    <xf numFmtId="0" fontId="6" fillId="0" borderId="0" xfId="64" applyBorder="1">
      <alignment/>
      <protection/>
    </xf>
    <xf numFmtId="3" fontId="95" fillId="33" borderId="23" xfId="64" applyNumberFormat="1" applyFont="1" applyFill="1" applyBorder="1" applyAlignment="1">
      <alignment horizontal="center"/>
      <protection/>
    </xf>
    <xf numFmtId="0" fontId="97" fillId="33" borderId="19" xfId="64" applyFont="1" applyFill="1" applyBorder="1" applyAlignment="1">
      <alignment/>
      <protection/>
    </xf>
    <xf numFmtId="186" fontId="94" fillId="33" borderId="22" xfId="64" applyNumberFormat="1" applyFont="1" applyFill="1" applyBorder="1" applyAlignment="1">
      <alignment/>
      <protection/>
    </xf>
    <xf numFmtId="0" fontId="6" fillId="0" borderId="0" xfId="64" applyFont="1">
      <alignment/>
      <protection/>
    </xf>
    <xf numFmtId="3" fontId="6" fillId="0" borderId="0" xfId="64" applyNumberFormat="1" applyFont="1">
      <alignment/>
      <protection/>
    </xf>
    <xf numFmtId="3" fontId="6" fillId="0" borderId="0" xfId="64" applyNumberFormat="1">
      <alignment/>
      <protection/>
    </xf>
    <xf numFmtId="3" fontId="34" fillId="0" borderId="0" xfId="64" applyNumberFormat="1" applyFont="1">
      <alignment/>
      <protection/>
    </xf>
    <xf numFmtId="0" fontId="94" fillId="33" borderId="10" xfId="64" applyFont="1" applyFill="1" applyBorder="1" applyAlignment="1">
      <alignment horizontal="center"/>
      <protection/>
    </xf>
    <xf numFmtId="0" fontId="94" fillId="33" borderId="10" xfId="64" applyFont="1" applyFill="1" applyBorder="1" applyAlignment="1">
      <alignment horizontal="left" wrapText="1"/>
      <protection/>
    </xf>
    <xf numFmtId="186" fontId="98" fillId="33" borderId="10" xfId="64" applyNumberFormat="1" applyFont="1" applyFill="1" applyBorder="1" applyAlignment="1">
      <alignment/>
      <protection/>
    </xf>
    <xf numFmtId="186" fontId="98" fillId="33" borderId="10" xfId="64" applyNumberFormat="1" applyFont="1" applyFill="1" applyBorder="1">
      <alignment/>
      <protection/>
    </xf>
    <xf numFmtId="3" fontId="96" fillId="33" borderId="22" xfId="64" applyNumberFormat="1" applyFont="1" applyFill="1" applyBorder="1" applyProtection="1">
      <alignment/>
      <protection locked="0"/>
    </xf>
    <xf numFmtId="186" fontId="99" fillId="33" borderId="21" xfId="64" applyNumberFormat="1" applyFont="1" applyFill="1" applyBorder="1">
      <alignment/>
      <protection/>
    </xf>
    <xf numFmtId="186" fontId="98" fillId="33" borderId="22" xfId="64" applyNumberFormat="1" applyFont="1" applyFill="1" applyBorder="1">
      <alignment/>
      <protection/>
    </xf>
    <xf numFmtId="3" fontId="96" fillId="33" borderId="22" xfId="57" applyNumberFormat="1" applyFont="1" applyFill="1" applyBorder="1" applyProtection="1">
      <alignment/>
      <protection locked="0"/>
    </xf>
    <xf numFmtId="186" fontId="99" fillId="33" borderId="22" xfId="61" applyNumberFormat="1" applyFont="1" applyFill="1" applyBorder="1" applyAlignment="1">
      <alignment/>
      <protection/>
    </xf>
    <xf numFmtId="186" fontId="98" fillId="33" borderId="22" xfId="61" applyNumberFormat="1" applyFont="1" applyFill="1" applyBorder="1" applyAlignment="1">
      <alignment/>
      <protection/>
    </xf>
    <xf numFmtId="186" fontId="35" fillId="0" borderId="0" xfId="64" applyNumberFormat="1" applyFont="1">
      <alignment/>
      <protection/>
    </xf>
    <xf numFmtId="0" fontId="35" fillId="0" borderId="0" xfId="64" applyFont="1">
      <alignment/>
      <protection/>
    </xf>
    <xf numFmtId="3" fontId="96" fillId="33" borderId="22" xfId="58" applyNumberFormat="1" applyFont="1" applyFill="1" applyBorder="1" applyProtection="1">
      <alignment/>
      <protection locked="0"/>
    </xf>
    <xf numFmtId="3" fontId="96" fillId="33" borderId="22" xfId="64" applyNumberFormat="1" applyFont="1" applyFill="1" applyBorder="1" applyAlignment="1" applyProtection="1">
      <alignment wrapText="1"/>
      <protection locked="0"/>
    </xf>
    <xf numFmtId="3" fontId="95" fillId="33" borderId="10" xfId="64" applyNumberFormat="1" applyFont="1" applyFill="1" applyBorder="1" applyAlignment="1">
      <alignment horizontal="left" wrapText="1"/>
      <protection/>
    </xf>
    <xf numFmtId="186" fontId="99" fillId="33" borderId="10" xfId="61" applyNumberFormat="1" applyFont="1" applyFill="1" applyBorder="1" applyAlignment="1">
      <alignment/>
      <protection/>
    </xf>
    <xf numFmtId="186" fontId="98" fillId="33" borderId="10" xfId="61" applyNumberFormat="1" applyFont="1" applyFill="1" applyBorder="1" applyAlignment="1">
      <alignment/>
      <protection/>
    </xf>
    <xf numFmtId="3" fontId="96" fillId="33" borderId="22" xfId="64" applyNumberFormat="1" applyFont="1" applyFill="1" applyBorder="1" applyAlignment="1">
      <alignment horizontal="left" wrapText="1"/>
      <protection/>
    </xf>
    <xf numFmtId="186" fontId="99" fillId="33" borderId="0" xfId="61" applyNumberFormat="1" applyFont="1" applyFill="1" applyBorder="1" applyAlignment="1">
      <alignment/>
      <protection/>
    </xf>
    <xf numFmtId="3" fontId="96" fillId="33" borderId="22" xfId="64" applyNumberFormat="1" applyFont="1" applyFill="1" applyBorder="1" applyAlignment="1" applyProtection="1">
      <alignment horizontal="left" wrapText="1" indent="1"/>
      <protection locked="0"/>
    </xf>
    <xf numFmtId="3" fontId="96" fillId="33" borderId="22" xfId="64" applyNumberFormat="1" applyFont="1" applyFill="1" applyBorder="1" applyAlignment="1" applyProtection="1">
      <alignment/>
      <protection locked="0"/>
    </xf>
    <xf numFmtId="3" fontId="96" fillId="33" borderId="22" xfId="58" applyNumberFormat="1" applyFont="1" applyFill="1" applyBorder="1" applyAlignment="1" applyProtection="1">
      <alignment horizontal="left" wrapText="1" indent="2"/>
      <protection locked="0"/>
    </xf>
    <xf numFmtId="186" fontId="99" fillId="33" borderId="22" xfId="64" applyNumberFormat="1" applyFont="1" applyFill="1" applyBorder="1">
      <alignment/>
      <protection/>
    </xf>
    <xf numFmtId="0" fontId="95" fillId="33" borderId="10" xfId="64" applyFont="1" applyFill="1" applyBorder="1">
      <alignment/>
      <protection/>
    </xf>
    <xf numFmtId="186" fontId="100" fillId="33" borderId="10" xfId="64" applyNumberFormat="1" applyFont="1" applyFill="1" applyBorder="1">
      <alignment/>
      <protection/>
    </xf>
    <xf numFmtId="186" fontId="101" fillId="33" borderId="10" xfId="64" applyNumberFormat="1" applyFont="1" applyFill="1" applyBorder="1" applyAlignment="1">
      <alignment/>
      <protection/>
    </xf>
    <xf numFmtId="186" fontId="101" fillId="33" borderId="22" xfId="64" applyNumberFormat="1" applyFont="1" applyFill="1" applyBorder="1" applyAlignment="1">
      <alignment/>
      <protection/>
    </xf>
    <xf numFmtId="3" fontId="95" fillId="33" borderId="10" xfId="64" applyNumberFormat="1" applyFont="1" applyFill="1" applyBorder="1" applyAlignment="1">
      <alignment/>
      <protection/>
    </xf>
    <xf numFmtId="3" fontId="102" fillId="33" borderId="10" xfId="64" applyNumberFormat="1" applyFont="1" applyFill="1" applyBorder="1" applyAlignment="1">
      <alignment horizontal="center"/>
      <protection/>
    </xf>
    <xf numFmtId="3" fontId="96" fillId="33" borderId="21" xfId="59" applyNumberFormat="1" applyFont="1" applyFill="1" applyBorder="1" applyAlignment="1">
      <alignment wrapText="1"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3" fontId="76" fillId="0" borderId="10" xfId="0" applyNumberFormat="1" applyFont="1" applyBorder="1" applyAlignment="1">
      <alignment/>
    </xf>
    <xf numFmtId="0" fontId="83" fillId="0" borderId="10" xfId="0" applyFont="1" applyBorder="1" applyAlignment="1">
      <alignment/>
    </xf>
    <xf numFmtId="3" fontId="103" fillId="0" borderId="10" xfId="0" applyNumberFormat="1" applyFont="1" applyBorder="1" applyAlignment="1">
      <alignment/>
    </xf>
    <xf numFmtId="3" fontId="11" fillId="0" borderId="10" xfId="65" applyNumberFormat="1" applyFont="1" applyBorder="1" applyAlignment="1">
      <alignment horizontal="right" vertical="center"/>
      <protection/>
    </xf>
    <xf numFmtId="3" fontId="104" fillId="0" borderId="10" xfId="65" applyNumberFormat="1" applyFont="1" applyBorder="1">
      <alignment/>
      <protection/>
    </xf>
    <xf numFmtId="3" fontId="105" fillId="0" borderId="10" xfId="65" applyNumberFormat="1" applyFont="1" applyBorder="1">
      <alignment/>
      <protection/>
    </xf>
    <xf numFmtId="0" fontId="30" fillId="0" borderId="10" xfId="63" applyFont="1" applyFill="1" applyBorder="1" applyAlignment="1" applyProtection="1" quotePrefix="1">
      <alignment horizontal="left" vertical="top" wrapText="1"/>
      <protection/>
    </xf>
    <xf numFmtId="3" fontId="105" fillId="0" borderId="10" xfId="65" applyNumberFormat="1" applyFont="1" applyBorder="1" applyAlignment="1">
      <alignment/>
      <protection/>
    </xf>
    <xf numFmtId="3" fontId="104" fillId="0" borderId="10" xfId="65" applyNumberFormat="1" applyFont="1" applyBorder="1" applyAlignment="1">
      <alignment/>
      <protection/>
    </xf>
    <xf numFmtId="3" fontId="105" fillId="0" borderId="14" xfId="65" applyNumberFormat="1" applyFont="1" applyBorder="1" applyAlignment="1">
      <alignment wrapText="1"/>
      <protection/>
    </xf>
    <xf numFmtId="3" fontId="105" fillId="0" borderId="14" xfId="65" applyNumberFormat="1" applyFont="1" applyBorder="1" applyAlignment="1">
      <alignment/>
      <protection/>
    </xf>
    <xf numFmtId="0" fontId="30" fillId="0" borderId="14" xfId="63" applyFont="1" applyFill="1" applyBorder="1" applyAlignment="1" applyProtection="1">
      <alignment horizontal="left" vertical="top" wrapText="1"/>
      <protection/>
    </xf>
    <xf numFmtId="3" fontId="105" fillId="0" borderId="14" xfId="65" applyNumberFormat="1" applyFont="1" applyBorder="1">
      <alignment/>
      <protection/>
    </xf>
    <xf numFmtId="3" fontId="105" fillId="0" borderId="0" xfId="65" applyNumberFormat="1" applyFont="1" applyBorder="1">
      <alignment/>
      <protection/>
    </xf>
    <xf numFmtId="3" fontId="105" fillId="0" borderId="0" xfId="65" applyNumberFormat="1" applyFont="1" applyBorder="1" applyAlignment="1">
      <alignment/>
      <protection/>
    </xf>
    <xf numFmtId="0" fontId="30" fillId="0" borderId="0" xfId="63" applyFont="1" applyFill="1" applyBorder="1" applyAlignment="1" applyProtection="1">
      <alignment horizontal="left" vertical="top" wrapText="1"/>
      <protection/>
    </xf>
    <xf numFmtId="0" fontId="28" fillId="0" borderId="10" xfId="63" applyFont="1" applyFill="1" applyBorder="1" applyAlignment="1" applyProtection="1" quotePrefix="1">
      <alignment horizontal="left" vertical="top" wrapText="1"/>
      <protection/>
    </xf>
    <xf numFmtId="49" fontId="28" fillId="0" borderId="10" xfId="63" applyNumberFormat="1" applyFont="1" applyFill="1" applyBorder="1" applyAlignment="1" applyProtection="1" quotePrefix="1">
      <alignment horizontal="left" vertical="top" wrapText="1"/>
      <protection/>
    </xf>
    <xf numFmtId="0" fontId="106" fillId="0" borderId="10" xfId="0" applyFont="1" applyBorder="1" applyAlignment="1">
      <alignment/>
    </xf>
    <xf numFmtId="3" fontId="106" fillId="0" borderId="10" xfId="0" applyNumberFormat="1" applyFont="1" applyBorder="1" applyAlignment="1">
      <alignment/>
    </xf>
    <xf numFmtId="3" fontId="106" fillId="0" borderId="0" xfId="0" applyNumberFormat="1" applyFont="1" applyBorder="1" applyAlignment="1">
      <alignment/>
    </xf>
    <xf numFmtId="0" fontId="106" fillId="0" borderId="0" xfId="0" applyFont="1" applyAlignment="1">
      <alignment/>
    </xf>
    <xf numFmtId="3" fontId="106" fillId="0" borderId="0" xfId="0" applyNumberFormat="1" applyFont="1" applyAlignment="1">
      <alignment/>
    </xf>
    <xf numFmtId="0" fontId="106" fillId="0" borderId="0" xfId="0" applyFont="1" applyBorder="1" applyAlignment="1">
      <alignment/>
    </xf>
    <xf numFmtId="3" fontId="11" fillId="0" borderId="10" xfId="65" applyNumberFormat="1" applyFont="1" applyBorder="1" applyAlignment="1">
      <alignment vertical="center"/>
      <protection/>
    </xf>
    <xf numFmtId="3" fontId="4" fillId="0" borderId="10" xfId="65" applyNumberFormat="1" applyFont="1" applyBorder="1" applyAlignment="1">
      <alignment horizontal="right"/>
      <protection/>
    </xf>
    <xf numFmtId="3" fontId="11" fillId="0" borderId="10" xfId="65" applyNumberFormat="1" applyFont="1" applyFill="1" applyBorder="1" applyAlignment="1">
      <alignment horizontal="right" vertical="center"/>
      <protection/>
    </xf>
    <xf numFmtId="3" fontId="3" fillId="0" borderId="10" xfId="65" applyNumberFormat="1" applyFont="1" applyBorder="1" applyAlignment="1">
      <alignment horizontal="right"/>
      <protection/>
    </xf>
    <xf numFmtId="3" fontId="12" fillId="0" borderId="10" xfId="65" applyNumberFormat="1" applyFont="1" applyBorder="1" applyAlignment="1">
      <alignment horizontal="right" vertical="center"/>
      <protection/>
    </xf>
    <xf numFmtId="3" fontId="11" fillId="0" borderId="10" xfId="65" applyNumberFormat="1" applyFont="1" applyBorder="1" applyAlignment="1">
      <alignment horizontal="right"/>
      <protection/>
    </xf>
    <xf numFmtId="4" fontId="11" fillId="0" borderId="10" xfId="0" applyNumberFormat="1" applyFont="1" applyFill="1" applyBorder="1" applyAlignment="1">
      <alignment horizontal="right"/>
    </xf>
    <xf numFmtId="4" fontId="11" fillId="0" borderId="10" xfId="0" applyNumberFormat="1" applyFont="1" applyFill="1" applyBorder="1" applyAlignment="1">
      <alignment/>
    </xf>
    <xf numFmtId="191" fontId="11" fillId="0" borderId="10" xfId="65" applyNumberFormat="1" applyFont="1" applyBorder="1" applyAlignment="1">
      <alignment horizontal="center" vertical="center"/>
      <protection/>
    </xf>
    <xf numFmtId="0" fontId="27" fillId="0" borderId="11" xfId="63" applyFont="1" applyFill="1" applyBorder="1" applyAlignment="1" applyProtection="1">
      <alignment horizontal="center" vertical="top" wrapText="1"/>
      <protection/>
    </xf>
    <xf numFmtId="0" fontId="27" fillId="0" borderId="12" xfId="63" applyFont="1" applyFill="1" applyBorder="1" applyAlignment="1" applyProtection="1">
      <alignment horizontal="center" vertical="top" wrapText="1"/>
      <protection/>
    </xf>
    <xf numFmtId="0" fontId="27" fillId="0" borderId="13" xfId="63" applyFont="1" applyFill="1" applyBorder="1" applyAlignment="1" applyProtection="1">
      <alignment horizontal="center" vertical="top" wrapText="1"/>
      <protection/>
    </xf>
    <xf numFmtId="3" fontId="9" fillId="0" borderId="0" xfId="65" applyNumberFormat="1" applyFont="1" applyAlignment="1">
      <alignment horizontal="center" vertical="center"/>
      <protection/>
    </xf>
    <xf numFmtId="3" fontId="7" fillId="0" borderId="0" xfId="65" applyNumberFormat="1" applyFont="1" applyAlignment="1">
      <alignment horizontal="center" vertical="center"/>
      <protection/>
    </xf>
    <xf numFmtId="0" fontId="83" fillId="0" borderId="0" xfId="0" applyFont="1" applyAlignment="1">
      <alignment wrapText="1"/>
    </xf>
    <xf numFmtId="0" fontId="0" fillId="0" borderId="0" xfId="0" applyAlignment="1">
      <alignment horizontal="center"/>
    </xf>
    <xf numFmtId="3" fontId="7" fillId="0" borderId="0" xfId="65" applyNumberFormat="1" applyFont="1" applyAlignment="1">
      <alignment horizontal="center" wrapText="1"/>
      <protection/>
    </xf>
    <xf numFmtId="3" fontId="7" fillId="0" borderId="24" xfId="65" applyNumberFormat="1" applyFont="1" applyBorder="1" applyAlignment="1">
      <alignment horizontal="center" wrapText="1"/>
      <protection/>
    </xf>
    <xf numFmtId="3" fontId="9" fillId="0" borderId="11" xfId="65" applyNumberFormat="1" applyFont="1" applyBorder="1" applyAlignment="1">
      <alignment horizontal="center" vertical="center" wrapText="1"/>
      <protection/>
    </xf>
    <xf numFmtId="3" fontId="9" fillId="0" borderId="12" xfId="65" applyNumberFormat="1" applyFont="1" applyBorder="1" applyAlignment="1">
      <alignment horizontal="center" vertical="center" wrapText="1"/>
      <protection/>
    </xf>
    <xf numFmtId="3" fontId="9" fillId="0" borderId="13" xfId="65" applyNumberFormat="1" applyFont="1" applyBorder="1" applyAlignment="1">
      <alignment horizontal="center" vertical="center" wrapText="1"/>
      <protection/>
    </xf>
    <xf numFmtId="0" fontId="107" fillId="33" borderId="12" xfId="64" applyFont="1" applyFill="1" applyBorder="1" applyAlignment="1">
      <alignment/>
      <protection/>
    </xf>
    <xf numFmtId="0" fontId="107" fillId="33" borderId="13" xfId="64" applyFont="1" applyFill="1" applyBorder="1" applyAlignment="1">
      <alignment/>
      <protection/>
    </xf>
    <xf numFmtId="3" fontId="3" fillId="0" borderId="0" xfId="65" applyNumberFormat="1" applyFont="1" applyAlignment="1">
      <alignment horizontal="center"/>
      <protection/>
    </xf>
    <xf numFmtId="3" fontId="7" fillId="0" borderId="0" xfId="65" applyNumberFormat="1" applyFont="1" applyAlignment="1">
      <alignment horizontal="center"/>
      <protection/>
    </xf>
    <xf numFmtId="3" fontId="9" fillId="0" borderId="11" xfId="65" applyNumberFormat="1" applyFont="1" applyBorder="1" applyAlignment="1">
      <alignment horizontal="center"/>
      <protection/>
    </xf>
    <xf numFmtId="0" fontId="108" fillId="0" borderId="12" xfId="0" applyFont="1" applyBorder="1" applyAlignment="1">
      <alignment horizontal="center"/>
    </xf>
    <xf numFmtId="0" fontId="108" fillId="0" borderId="13" xfId="0" applyFont="1" applyBorder="1" applyAlignment="1">
      <alignment horizontal="center"/>
    </xf>
    <xf numFmtId="3" fontId="3" fillId="0" borderId="0" xfId="65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3" fontId="3" fillId="0" borderId="10" xfId="65" applyNumberFormat="1" applyFont="1" applyBorder="1" applyAlignment="1">
      <alignment horizontal="center" vertical="center" wrapText="1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10" xfId="57"/>
    <cellStyle name="Normál 11" xfId="58"/>
    <cellStyle name="Normál 12" xfId="59"/>
    <cellStyle name="Normál 13" xfId="60"/>
    <cellStyle name="Normál 2" xfId="61"/>
    <cellStyle name="Normál 3" xfId="62"/>
    <cellStyle name="Normál 4" xfId="63"/>
    <cellStyle name="Normál 5" xfId="64"/>
    <cellStyle name="Normál_kaposmenti2010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ULCSA~1\AppData\Local\Temp\3.%20mell&#233;klet%20El&#337;ir&#225;nyzat%20felhaszn&#225;l&#225;si%20&#252;temterv%20xls.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lh.ü.kiad."/>
      <sheetName val="felh.ü.bev."/>
    </sheetNames>
    <sheetDataSet>
      <sheetData sheetId="0">
        <row r="16">
          <cell r="B16">
            <v>38810</v>
          </cell>
          <cell r="C16">
            <v>38810</v>
          </cell>
          <cell r="D16">
            <v>41210</v>
          </cell>
          <cell r="E16">
            <v>40810</v>
          </cell>
          <cell r="F16">
            <v>42810</v>
          </cell>
          <cell r="G16">
            <v>43844</v>
          </cell>
          <cell r="H16">
            <v>40810</v>
          </cell>
          <cell r="I16">
            <v>40810</v>
          </cell>
          <cell r="J16">
            <v>43311</v>
          </cell>
          <cell r="K16">
            <v>42849</v>
          </cell>
          <cell r="L16">
            <v>40810</v>
          </cell>
          <cell r="M16">
            <v>41240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11.57421875" style="154" customWidth="1"/>
    <col min="4" max="4" width="46.421875" style="154" bestFit="1" customWidth="1"/>
    <col min="5" max="5" width="17.7109375" style="154" customWidth="1"/>
    <col min="6" max="16384" width="9.140625" style="154" customWidth="1"/>
  </cols>
  <sheetData>
    <row r="1" spans="1:5" ht="34.5" customHeight="1">
      <c r="A1" s="254" t="s">
        <v>288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 t="s">
        <v>275</v>
      </c>
      <c r="B4" s="156" t="s">
        <v>276</v>
      </c>
      <c r="C4" s="156" t="s">
        <v>277</v>
      </c>
      <c r="D4" s="156" t="s">
        <v>278</v>
      </c>
      <c r="E4" s="159">
        <v>-24300000</v>
      </c>
    </row>
    <row r="5" spans="1:5" ht="34.5" customHeight="1">
      <c r="A5" s="156" t="s">
        <v>266</v>
      </c>
      <c r="B5" s="156" t="s">
        <v>267</v>
      </c>
      <c r="C5" s="156">
        <v>94061</v>
      </c>
      <c r="D5" s="156" t="s">
        <v>289</v>
      </c>
      <c r="E5" s="159">
        <v>24300000</v>
      </c>
    </row>
    <row r="6" spans="1:5" ht="34.5" customHeight="1">
      <c r="A6" s="156"/>
      <c r="B6" s="156"/>
      <c r="C6" s="156"/>
      <c r="D6" s="161" t="s">
        <v>280</v>
      </c>
      <c r="E6" s="162">
        <f>SUM(E4:E5)</f>
        <v>0</v>
      </c>
    </row>
    <row r="7" spans="1:5" ht="34.5" customHeight="1">
      <c r="A7" s="156"/>
      <c r="B7" s="156"/>
      <c r="C7" s="156"/>
      <c r="D7" s="156"/>
      <c r="E7" s="159"/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E27"/>
  <sheetViews>
    <sheetView view="pageBreakPreview" zoomScale="80" zoomScaleSheetLayoutView="80" zoomScalePageLayoutView="0" workbookViewId="0" topLeftCell="A1">
      <selection activeCell="B21" sqref="B21"/>
    </sheetView>
  </sheetViews>
  <sheetFormatPr defaultColWidth="9.140625" defaultRowHeight="15"/>
  <cols>
    <col min="2" max="2" width="102.140625" style="0" bestFit="1" customWidth="1"/>
    <col min="3" max="3" width="13.7109375" style="0" customWidth="1"/>
    <col min="4" max="4" width="12.7109375" style="0" bestFit="1" customWidth="1"/>
    <col min="5" max="5" width="20.140625" style="0" bestFit="1" customWidth="1"/>
  </cols>
  <sheetData>
    <row r="1" spans="1:5" ht="139.5" customHeight="1">
      <c r="A1" s="261" t="s">
        <v>380</v>
      </c>
      <c r="B1" s="261"/>
      <c r="C1" s="261"/>
      <c r="D1" s="261"/>
      <c r="E1" s="261"/>
    </row>
    <row r="2" spans="1:5" ht="15.75" customHeight="1" hidden="1">
      <c r="A2" s="262"/>
      <c r="B2" s="262"/>
      <c r="C2" s="262"/>
      <c r="D2" s="262"/>
      <c r="E2" s="262"/>
    </row>
    <row r="3" spans="1:5" ht="94.5" customHeight="1">
      <c r="A3" s="69" t="s">
        <v>8</v>
      </c>
      <c r="B3" s="21" t="s">
        <v>7</v>
      </c>
      <c r="C3" s="5" t="s">
        <v>381</v>
      </c>
      <c r="D3" s="5" t="s">
        <v>261</v>
      </c>
      <c r="E3" s="5" t="s">
        <v>382</v>
      </c>
    </row>
    <row r="4" spans="1:5" ht="18.75" customHeight="1">
      <c r="A4" s="69"/>
      <c r="B4" s="263" t="s">
        <v>386</v>
      </c>
      <c r="C4" s="264"/>
      <c r="D4" s="264"/>
      <c r="E4" s="265"/>
    </row>
    <row r="5" spans="1:5" ht="21">
      <c r="A5" s="226"/>
      <c r="B5" s="228" t="s">
        <v>384</v>
      </c>
      <c r="C5" s="227" t="s">
        <v>383</v>
      </c>
      <c r="D5" s="156">
        <v>300001</v>
      </c>
      <c r="E5" s="226">
        <v>86900000</v>
      </c>
    </row>
    <row r="6" spans="1:5" ht="21">
      <c r="A6" s="226"/>
      <c r="B6" s="228" t="s">
        <v>385</v>
      </c>
      <c r="C6" s="227" t="s">
        <v>273</v>
      </c>
      <c r="D6" s="156">
        <v>300001</v>
      </c>
      <c r="E6" s="226">
        <v>1327200000</v>
      </c>
    </row>
    <row r="7" spans="1:5" ht="21">
      <c r="A7" s="226"/>
      <c r="B7" s="228" t="s">
        <v>387</v>
      </c>
      <c r="C7" s="227" t="s">
        <v>277</v>
      </c>
      <c r="D7" s="156">
        <v>300001</v>
      </c>
      <c r="E7" s="226">
        <v>381807000</v>
      </c>
    </row>
    <row r="8" spans="1:5" ht="21">
      <c r="A8" s="226"/>
      <c r="B8" s="228" t="s">
        <v>67</v>
      </c>
      <c r="C8" s="227" t="s">
        <v>272</v>
      </c>
      <c r="D8" s="156">
        <v>711402</v>
      </c>
      <c r="E8" s="226">
        <v>-41942000</v>
      </c>
    </row>
    <row r="9" spans="1:5" ht="21">
      <c r="A9" s="226"/>
      <c r="B9" s="228" t="s">
        <v>388</v>
      </c>
      <c r="C9" s="227" t="s">
        <v>270</v>
      </c>
      <c r="D9" s="156">
        <v>711402</v>
      </c>
      <c r="E9" s="226">
        <v>41942000</v>
      </c>
    </row>
    <row r="10" spans="1:5" ht="21">
      <c r="A10" s="226"/>
      <c r="B10" s="229" t="s">
        <v>389</v>
      </c>
      <c r="C10" s="155"/>
      <c r="D10" s="155"/>
      <c r="E10" s="225">
        <f>SUM(E5:E9)</f>
        <v>1795907000</v>
      </c>
    </row>
    <row r="11" spans="1:5" ht="21">
      <c r="A11" s="226"/>
      <c r="B11" s="228"/>
      <c r="C11" s="156"/>
      <c r="D11" s="156"/>
      <c r="E11" s="226"/>
    </row>
    <row r="12" spans="1:5" ht="21">
      <c r="A12" s="226"/>
      <c r="B12" s="263" t="s">
        <v>390</v>
      </c>
      <c r="C12" s="264"/>
      <c r="D12" s="264"/>
      <c r="E12" s="265"/>
    </row>
    <row r="13" spans="1:5" ht="21">
      <c r="A13" s="226"/>
      <c r="B13" s="228" t="s">
        <v>391</v>
      </c>
      <c r="C13" s="227" t="s">
        <v>281</v>
      </c>
      <c r="D13" s="156">
        <v>300001</v>
      </c>
      <c r="E13" s="226">
        <v>86900000</v>
      </c>
    </row>
    <row r="14" spans="1:5" ht="21">
      <c r="A14" s="226"/>
      <c r="B14" s="228" t="s">
        <v>392</v>
      </c>
      <c r="C14" s="227" t="s">
        <v>393</v>
      </c>
      <c r="D14" s="156">
        <v>300001</v>
      </c>
      <c r="E14" s="226">
        <v>23463000</v>
      </c>
    </row>
    <row r="15" spans="1:5" ht="21">
      <c r="A15" s="226"/>
      <c r="B15" s="228" t="s">
        <v>394</v>
      </c>
      <c r="C15" s="227" t="s">
        <v>395</v>
      </c>
      <c r="D15" s="156">
        <v>300001</v>
      </c>
      <c r="E15" s="226">
        <v>300200000</v>
      </c>
    </row>
    <row r="16" spans="1:5" ht="21">
      <c r="A16" s="226"/>
      <c r="B16" s="228" t="s">
        <v>396</v>
      </c>
      <c r="C16" s="227" t="s">
        <v>397</v>
      </c>
      <c r="D16" s="156">
        <v>300001</v>
      </c>
      <c r="E16" s="226">
        <v>1027000000</v>
      </c>
    </row>
    <row r="17" spans="1:5" ht="21">
      <c r="A17" s="226"/>
      <c r="B17" s="228" t="s">
        <v>399</v>
      </c>
      <c r="C17" s="227" t="s">
        <v>398</v>
      </c>
      <c r="D17" s="156">
        <v>300001</v>
      </c>
      <c r="E17" s="226">
        <v>358344000</v>
      </c>
    </row>
    <row r="18" spans="1:5" ht="21">
      <c r="A18" s="226"/>
      <c r="B18" s="228" t="s">
        <v>392</v>
      </c>
      <c r="C18" s="227" t="s">
        <v>393</v>
      </c>
      <c r="D18" s="156">
        <v>716401</v>
      </c>
      <c r="E18" s="226">
        <v>585000</v>
      </c>
    </row>
    <row r="19" spans="1:5" ht="21">
      <c r="A19" s="226"/>
      <c r="B19" s="228" t="s">
        <v>401</v>
      </c>
      <c r="C19" s="227" t="s">
        <v>400</v>
      </c>
      <c r="D19" s="156">
        <v>716401</v>
      </c>
      <c r="E19" s="226">
        <v>-585000</v>
      </c>
    </row>
    <row r="20" spans="1:5" ht="21">
      <c r="A20" s="226"/>
      <c r="B20" s="229" t="s">
        <v>402</v>
      </c>
      <c r="C20" s="156"/>
      <c r="D20" s="156"/>
      <c r="E20" s="225">
        <f>SUM(E13:E19)</f>
        <v>1795907000</v>
      </c>
    </row>
    <row r="21" spans="1:5" ht="21">
      <c r="A21" s="230"/>
      <c r="B21" s="231"/>
      <c r="C21" s="232"/>
      <c r="D21" s="232"/>
      <c r="E21" s="233"/>
    </row>
    <row r="22" spans="1:5" ht="21">
      <c r="A22" s="234"/>
      <c r="B22" s="235"/>
      <c r="C22" s="236"/>
      <c r="D22" s="236"/>
      <c r="E22" s="234"/>
    </row>
    <row r="23" spans="1:5" ht="21">
      <c r="A23" s="234"/>
      <c r="B23" s="235"/>
      <c r="C23" s="236"/>
      <c r="D23" s="236"/>
      <c r="E23" s="234"/>
    </row>
    <row r="24" spans="1:5" ht="21">
      <c r="A24" s="234"/>
      <c r="B24" s="235"/>
      <c r="C24" s="236"/>
      <c r="D24" s="236"/>
      <c r="E24" s="234"/>
    </row>
    <row r="25" spans="1:5" ht="21">
      <c r="A25" s="234"/>
      <c r="B25" s="235"/>
      <c r="C25" s="236"/>
      <c r="D25" s="236"/>
      <c r="E25" s="234"/>
    </row>
    <row r="26" spans="1:5" ht="21">
      <c r="A26" s="234"/>
      <c r="B26" s="235"/>
      <c r="C26" s="236"/>
      <c r="D26" s="236"/>
      <c r="E26" s="234"/>
    </row>
    <row r="27" spans="1:5" ht="21">
      <c r="A27" s="234"/>
      <c r="B27" s="235"/>
      <c r="C27" s="236"/>
      <c r="D27" s="236"/>
      <c r="E27" s="234"/>
    </row>
  </sheetData>
  <sheetProtection/>
  <mergeCells count="3">
    <mergeCell ref="A1:E2"/>
    <mergeCell ref="B4:E4"/>
    <mergeCell ref="B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Header>&amp;L A Kaposmenti Hulladékgazdálkodási Társulás 2017. évre tervezett bevételei és kiadásai&amp;CElőirányzat kontírozás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A8" sqref="A8:N8"/>
      <selection pane="topRight" activeCell="A8" sqref="A8:N8"/>
      <selection pane="bottomLeft" activeCell="A8" sqref="A8:N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296</v>
      </c>
      <c r="G1" s="170" t="s">
        <v>297</v>
      </c>
      <c r="H1" s="170" t="s">
        <v>298</v>
      </c>
      <c r="I1" s="170" t="s">
        <v>299</v>
      </c>
      <c r="J1" s="170" t="s">
        <v>300</v>
      </c>
      <c r="K1" s="170" t="s">
        <v>301</v>
      </c>
      <c r="L1" s="170" t="s">
        <v>302</v>
      </c>
      <c r="M1" s="170" t="s">
        <v>303</v>
      </c>
      <c r="N1" s="170" t="s">
        <v>33</v>
      </c>
    </row>
    <row r="2" spans="1:14" ht="19.5" customHeight="1">
      <c r="A2" s="266" t="s">
        <v>304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>SUM(B4:B8)</f>
        <v>310</v>
      </c>
      <c r="C3" s="211">
        <f aca="true" t="shared" si="0" ref="C3:M3">SUM(C4:C8)</f>
        <v>310</v>
      </c>
      <c r="D3" s="211">
        <f t="shared" si="0"/>
        <v>8391</v>
      </c>
      <c r="E3" s="211">
        <f t="shared" si="0"/>
        <v>310</v>
      </c>
      <c r="F3" s="211">
        <f t="shared" si="0"/>
        <v>310</v>
      </c>
      <c r="G3" s="211">
        <f t="shared" si="0"/>
        <v>6391</v>
      </c>
      <c r="H3" s="211">
        <f t="shared" si="0"/>
        <v>311</v>
      </c>
      <c r="I3" s="211">
        <f t="shared" si="0"/>
        <v>311</v>
      </c>
      <c r="J3" s="211">
        <f t="shared" si="0"/>
        <v>6392</v>
      </c>
      <c r="K3" s="211">
        <f t="shared" si="0"/>
        <v>311</v>
      </c>
      <c r="L3" s="211">
        <f t="shared" si="0"/>
        <v>3838</v>
      </c>
      <c r="M3" s="211">
        <f t="shared" si="0"/>
        <v>119863</v>
      </c>
      <c r="N3" s="211">
        <f aca="true" t="shared" si="1" ref="N3:N8">SUM(B3:M3)</f>
        <v>147048</v>
      </c>
      <c r="O3" s="173"/>
      <c r="P3" s="174"/>
    </row>
    <row r="4" spans="1:16" ht="18" customHeight="1">
      <c r="A4" s="175" t="s">
        <v>323</v>
      </c>
      <c r="B4" s="176"/>
      <c r="C4" s="176"/>
      <c r="D4" s="176">
        <v>2554</v>
      </c>
      <c r="E4" s="176"/>
      <c r="F4" s="176"/>
      <c r="G4" s="176">
        <v>2554</v>
      </c>
      <c r="H4" s="176"/>
      <c r="I4" s="176"/>
      <c r="J4" s="176">
        <v>2554</v>
      </c>
      <c r="K4" s="176"/>
      <c r="L4" s="176"/>
      <c r="M4" s="176">
        <v>2555</v>
      </c>
      <c r="N4" s="212">
        <f t="shared" si="1"/>
        <v>10217</v>
      </c>
      <c r="O4" s="173"/>
      <c r="P4" s="174"/>
    </row>
    <row r="5" spans="1:16" ht="18" customHeight="1">
      <c r="A5" s="175" t="s">
        <v>324</v>
      </c>
      <c r="B5" s="176">
        <v>87</v>
      </c>
      <c r="C5" s="176">
        <v>87</v>
      </c>
      <c r="D5" s="176">
        <v>2087</v>
      </c>
      <c r="E5" s="176">
        <v>87</v>
      </c>
      <c r="F5" s="176">
        <v>87</v>
      </c>
      <c r="G5" s="176">
        <v>87</v>
      </c>
      <c r="H5" s="176">
        <v>88</v>
      </c>
      <c r="I5" s="176">
        <v>88</v>
      </c>
      <c r="J5" s="176">
        <v>88</v>
      </c>
      <c r="K5" s="176">
        <v>88</v>
      </c>
      <c r="L5" s="176">
        <v>88</v>
      </c>
      <c r="M5" s="176">
        <v>88</v>
      </c>
      <c r="N5" s="212">
        <f t="shared" si="1"/>
        <v>3050</v>
      </c>
      <c r="O5" s="173"/>
      <c r="P5" s="174"/>
    </row>
    <row r="6" spans="1:16" ht="18" customHeight="1">
      <c r="A6" s="175" t="s">
        <v>325</v>
      </c>
      <c r="B6" s="176">
        <v>223</v>
      </c>
      <c r="C6" s="176">
        <v>223</v>
      </c>
      <c r="D6" s="176">
        <v>223</v>
      </c>
      <c r="E6" s="176">
        <v>223</v>
      </c>
      <c r="F6" s="176">
        <v>223</v>
      </c>
      <c r="G6" s="176">
        <v>223</v>
      </c>
      <c r="H6" s="176">
        <v>223</v>
      </c>
      <c r="I6" s="176">
        <v>223</v>
      </c>
      <c r="J6" s="176">
        <v>223</v>
      </c>
      <c r="K6" s="176">
        <v>223</v>
      </c>
      <c r="L6" s="176">
        <v>223</v>
      </c>
      <c r="M6" s="176">
        <v>224</v>
      </c>
      <c r="N6" s="212">
        <f t="shared" si="1"/>
        <v>2677</v>
      </c>
      <c r="O6" s="173"/>
      <c r="P6" s="174"/>
    </row>
    <row r="7" spans="1:16" ht="18" customHeight="1">
      <c r="A7" s="175" t="s">
        <v>326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>
        <v>116996</v>
      </c>
      <c r="N7" s="212">
        <f t="shared" si="1"/>
        <v>116996</v>
      </c>
      <c r="O7" s="173"/>
      <c r="P7" s="174"/>
    </row>
    <row r="8" spans="1:16" ht="18" customHeight="1">
      <c r="A8" s="175" t="s">
        <v>28</v>
      </c>
      <c r="B8" s="176"/>
      <c r="C8" s="176"/>
      <c r="D8" s="176">
        <v>3527</v>
      </c>
      <c r="E8" s="176"/>
      <c r="F8" s="176"/>
      <c r="G8" s="176">
        <v>3527</v>
      </c>
      <c r="H8" s="176"/>
      <c r="I8" s="176"/>
      <c r="J8" s="176">
        <v>3527</v>
      </c>
      <c r="K8" s="176"/>
      <c r="L8" s="176">
        <v>3527</v>
      </c>
      <c r="M8" s="176"/>
      <c r="N8" s="212">
        <f t="shared" si="1"/>
        <v>14108</v>
      </c>
      <c r="O8" s="173"/>
      <c r="P8" s="174"/>
    </row>
    <row r="9" spans="1:16" ht="31.5" customHeight="1">
      <c r="A9" s="266" t="s">
        <v>321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7"/>
      <c r="O9" s="173"/>
      <c r="P9" s="174"/>
    </row>
    <row r="10" spans="1:16" ht="36" customHeight="1">
      <c r="A10" s="172" t="s">
        <v>64</v>
      </c>
      <c r="B10" s="211">
        <f>SUM(B11:B14)</f>
        <v>2008</v>
      </c>
      <c r="C10" s="211">
        <f aca="true" t="shared" si="2" ref="C10:M10">SUM(C11:C14)</f>
        <v>2008</v>
      </c>
      <c r="D10" s="211">
        <f t="shared" si="2"/>
        <v>59916</v>
      </c>
      <c r="E10" s="211">
        <f t="shared" si="2"/>
        <v>2008</v>
      </c>
      <c r="F10" s="211">
        <f t="shared" si="2"/>
        <v>2008</v>
      </c>
      <c r="G10" s="211">
        <f t="shared" si="2"/>
        <v>49766</v>
      </c>
      <c r="H10" s="211">
        <f t="shared" si="2"/>
        <v>2008</v>
      </c>
      <c r="I10" s="211">
        <f t="shared" si="2"/>
        <v>2008</v>
      </c>
      <c r="J10" s="211">
        <f t="shared" si="2"/>
        <v>49766</v>
      </c>
      <c r="K10" s="211">
        <f t="shared" si="2"/>
        <v>2008</v>
      </c>
      <c r="L10" s="211">
        <f t="shared" si="2"/>
        <v>2009</v>
      </c>
      <c r="M10" s="211">
        <f t="shared" si="2"/>
        <v>49768</v>
      </c>
      <c r="N10" s="211">
        <f>SUM(B10:M10)</f>
        <v>225281</v>
      </c>
      <c r="O10" s="173"/>
      <c r="P10" s="174"/>
    </row>
    <row r="11" spans="1:16" ht="33" customHeight="1">
      <c r="A11" s="215" t="s">
        <v>329</v>
      </c>
      <c r="B11" s="176"/>
      <c r="C11" s="176"/>
      <c r="D11" s="176">
        <v>3650</v>
      </c>
      <c r="E11" s="176"/>
      <c r="F11" s="176"/>
      <c r="G11" s="176"/>
      <c r="H11" s="176"/>
      <c r="I11" s="176"/>
      <c r="J11" s="176"/>
      <c r="K11" s="176"/>
      <c r="L11" s="176"/>
      <c r="M11" s="176"/>
      <c r="N11" s="212">
        <f>SUM(B11:M11)</f>
        <v>3650</v>
      </c>
      <c r="O11" s="173"/>
      <c r="P11" s="174"/>
    </row>
    <row r="12" spans="1:16" ht="38.25" customHeight="1">
      <c r="A12" s="215" t="s">
        <v>330</v>
      </c>
      <c r="B12" s="176"/>
      <c r="C12" s="176"/>
      <c r="D12" s="176">
        <v>6500</v>
      </c>
      <c r="E12" s="176"/>
      <c r="F12" s="176"/>
      <c r="G12" s="176"/>
      <c r="H12" s="176"/>
      <c r="I12" s="176"/>
      <c r="J12" s="176"/>
      <c r="K12" s="176"/>
      <c r="L12" s="176"/>
      <c r="M12" s="176"/>
      <c r="N12" s="212">
        <f>SUM(B12:M12)</f>
        <v>6500</v>
      </c>
      <c r="O12" s="173"/>
      <c r="P12" s="174"/>
    </row>
    <row r="13" spans="1:16" ht="18" customHeight="1">
      <c r="A13" s="175" t="s">
        <v>328</v>
      </c>
      <c r="B13" s="176">
        <v>2008</v>
      </c>
      <c r="C13" s="176">
        <v>2008</v>
      </c>
      <c r="D13" s="176">
        <v>2008</v>
      </c>
      <c r="E13" s="176">
        <v>2008</v>
      </c>
      <c r="F13" s="176">
        <v>2008</v>
      </c>
      <c r="G13" s="176">
        <v>2008</v>
      </c>
      <c r="H13" s="176">
        <v>2008</v>
      </c>
      <c r="I13" s="176">
        <v>2008</v>
      </c>
      <c r="J13" s="176">
        <v>2008</v>
      </c>
      <c r="K13" s="176">
        <v>2008</v>
      </c>
      <c r="L13" s="176">
        <v>2009</v>
      </c>
      <c r="M13" s="176">
        <v>2009</v>
      </c>
      <c r="N13" s="212">
        <f>SUM(B13:M13)</f>
        <v>24098</v>
      </c>
      <c r="O13" s="173"/>
      <c r="P13" s="174"/>
    </row>
    <row r="14" spans="1:16" ht="30" customHeight="1">
      <c r="A14" s="177" t="s">
        <v>327</v>
      </c>
      <c r="B14" s="176"/>
      <c r="C14" s="176"/>
      <c r="D14" s="176">
        <v>47758</v>
      </c>
      <c r="E14" s="176"/>
      <c r="F14" s="176"/>
      <c r="G14" s="176">
        <v>47758</v>
      </c>
      <c r="H14" s="176"/>
      <c r="I14" s="176"/>
      <c r="J14" s="176">
        <v>47758</v>
      </c>
      <c r="K14" s="176"/>
      <c r="L14" s="176"/>
      <c r="M14" s="176">
        <v>47759</v>
      </c>
      <c r="N14" s="212">
        <f>SUM(B14:M14)</f>
        <v>191033</v>
      </c>
      <c r="O14" s="173"/>
      <c r="P14" s="174"/>
    </row>
    <row r="15" spans="1:16" ht="18" customHeight="1">
      <c r="A15" s="213" t="s">
        <v>322</v>
      </c>
      <c r="B15" s="214">
        <f>B10+B3</f>
        <v>2318</v>
      </c>
      <c r="C15" s="214">
        <f aca="true" t="shared" si="3" ref="C15:N15">C10+C3</f>
        <v>2318</v>
      </c>
      <c r="D15" s="214">
        <f t="shared" si="3"/>
        <v>68307</v>
      </c>
      <c r="E15" s="214">
        <f t="shared" si="3"/>
        <v>2318</v>
      </c>
      <c r="F15" s="214">
        <f t="shared" si="3"/>
        <v>2318</v>
      </c>
      <c r="G15" s="214">
        <f t="shared" si="3"/>
        <v>56157</v>
      </c>
      <c r="H15" s="214">
        <f t="shared" si="3"/>
        <v>2319</v>
      </c>
      <c r="I15" s="214">
        <f t="shared" si="3"/>
        <v>2319</v>
      </c>
      <c r="J15" s="214">
        <f t="shared" si="3"/>
        <v>56158</v>
      </c>
      <c r="K15" s="214">
        <f t="shared" si="3"/>
        <v>2319</v>
      </c>
      <c r="L15" s="214">
        <f t="shared" si="3"/>
        <v>5847</v>
      </c>
      <c r="M15" s="214">
        <f t="shared" si="3"/>
        <v>169631</v>
      </c>
      <c r="N15" s="214">
        <f t="shared" si="3"/>
        <v>372329</v>
      </c>
      <c r="O15" s="179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1:16" ht="18" customHeight="1">
      <c r="A17" s="180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  <c r="O17" s="173"/>
      <c r="P17" s="174"/>
    </row>
    <row r="18" spans="2:14" ht="12.75">
      <c r="B18" s="182"/>
      <c r="C18" s="182"/>
      <c r="D18" s="182"/>
      <c r="E18" s="182"/>
      <c r="F18" s="182"/>
      <c r="G18" s="183"/>
      <c r="H18" s="183"/>
      <c r="I18" s="183"/>
      <c r="J18" s="183"/>
      <c r="K18" s="183"/>
      <c r="L18" s="183"/>
      <c r="M18" s="183"/>
      <c r="N18" s="182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7:13" ht="12.75">
      <c r="G46" s="184"/>
      <c r="H46" s="184"/>
      <c r="I46" s="184"/>
      <c r="J46" s="184"/>
      <c r="K46" s="184"/>
      <c r="L46" s="184"/>
      <c r="M46" s="184"/>
    </row>
    <row r="47" spans="4:13" ht="12.75">
      <c r="D47" s="185">
        <f aca="true" t="shared" si="4" ref="D47:M47">SUM(D18:D46)</f>
        <v>0</v>
      </c>
      <c r="E47" s="185">
        <f t="shared" si="4"/>
        <v>0</v>
      </c>
      <c r="F47" s="185">
        <f t="shared" si="4"/>
        <v>0</v>
      </c>
      <c r="G47" s="185">
        <f t="shared" si="4"/>
        <v>0</v>
      </c>
      <c r="H47" s="185">
        <f t="shared" si="4"/>
        <v>0</v>
      </c>
      <c r="I47" s="185">
        <f t="shared" si="4"/>
        <v>0</v>
      </c>
      <c r="J47" s="185">
        <f t="shared" si="4"/>
        <v>0</v>
      </c>
      <c r="K47" s="185">
        <f t="shared" si="4"/>
        <v>0</v>
      </c>
      <c r="L47" s="185">
        <f t="shared" si="4"/>
        <v>0</v>
      </c>
      <c r="M47" s="185">
        <f t="shared" si="4"/>
        <v>0</v>
      </c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  <row r="54" spans="7:13" ht="12.75">
      <c r="G54" s="184"/>
      <c r="H54" s="184"/>
      <c r="I54" s="184"/>
      <c r="J54" s="184"/>
      <c r="K54" s="184"/>
      <c r="L54" s="184"/>
      <c r="M54" s="184"/>
    </row>
  </sheetData>
  <sheetProtection/>
  <mergeCells count="2">
    <mergeCell ref="A2:N2"/>
    <mergeCell ref="A9:N9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view="pageBreakPreview" zoomScale="80" zoomScaleNormal="80" zoomScaleSheetLayoutView="80" zoomScalePageLayoutView="0" workbookViewId="0" topLeftCell="A1">
      <pane xSplit="1" ySplit="1" topLeftCell="F2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8" sqref="A8:N8"/>
    </sheetView>
  </sheetViews>
  <sheetFormatPr defaultColWidth="9.140625" defaultRowHeight="15"/>
  <cols>
    <col min="1" max="1" width="56.28125" style="171" customWidth="1"/>
    <col min="2" max="7" width="14.140625" style="171" bestFit="1" customWidth="1"/>
    <col min="8" max="8" width="14.57421875" style="171" customWidth="1"/>
    <col min="9" max="9" width="14.140625" style="171" bestFit="1" customWidth="1"/>
    <col min="10" max="10" width="14.28125" style="171" bestFit="1" customWidth="1"/>
    <col min="11" max="11" width="13.57421875" style="171" customWidth="1"/>
    <col min="12" max="12" width="13.8515625" style="171" customWidth="1"/>
    <col min="13" max="13" width="14.28125" style="171" bestFit="1" customWidth="1"/>
    <col min="14" max="14" width="16.140625" style="171" customWidth="1"/>
    <col min="15" max="15" width="18.28125" style="171" customWidth="1"/>
    <col min="16" max="16" width="13.7109375" style="171" customWidth="1"/>
    <col min="17" max="17" width="11.7109375" style="171" customWidth="1"/>
    <col min="18" max="16384" width="9.140625" style="171" customWidth="1"/>
  </cols>
  <sheetData>
    <row r="1" spans="1:14" ht="24.75" customHeight="1">
      <c r="A1" s="170" t="s">
        <v>7</v>
      </c>
      <c r="B1" s="170" t="s">
        <v>199</v>
      </c>
      <c r="C1" s="170" t="s">
        <v>200</v>
      </c>
      <c r="D1" s="170" t="s">
        <v>201</v>
      </c>
      <c r="E1" s="170" t="s">
        <v>202</v>
      </c>
      <c r="F1" s="170" t="s">
        <v>296</v>
      </c>
      <c r="G1" s="170" t="s">
        <v>297</v>
      </c>
      <c r="H1" s="170" t="s">
        <v>298</v>
      </c>
      <c r="I1" s="170" t="s">
        <v>299</v>
      </c>
      <c r="J1" s="170" t="s">
        <v>300</v>
      </c>
      <c r="K1" s="170" t="s">
        <v>301</v>
      </c>
      <c r="L1" s="170" t="s">
        <v>302</v>
      </c>
      <c r="M1" s="170" t="s">
        <v>303</v>
      </c>
      <c r="N1" s="170" t="s">
        <v>33</v>
      </c>
    </row>
    <row r="2" spans="1:14" ht="19.5" customHeight="1">
      <c r="A2" s="266" t="s">
        <v>331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</row>
    <row r="3" spans="1:16" ht="39" customHeight="1">
      <c r="A3" s="172" t="s">
        <v>64</v>
      </c>
      <c r="B3" s="211">
        <f aca="true" t="shared" si="0" ref="B3:M3">SUM(B4:B7)</f>
        <v>125765</v>
      </c>
      <c r="C3" s="211">
        <f t="shared" si="0"/>
        <v>0</v>
      </c>
      <c r="D3" s="211">
        <f t="shared" si="0"/>
        <v>5317</v>
      </c>
      <c r="E3" s="211">
        <f t="shared" si="0"/>
        <v>500</v>
      </c>
      <c r="F3" s="211">
        <f t="shared" si="0"/>
        <v>675</v>
      </c>
      <c r="G3" s="211">
        <f t="shared" si="0"/>
        <v>4150</v>
      </c>
      <c r="H3" s="211">
        <f t="shared" si="0"/>
        <v>1000</v>
      </c>
      <c r="I3" s="211">
        <f t="shared" si="0"/>
        <v>200</v>
      </c>
      <c r="J3" s="211">
        <f t="shared" si="0"/>
        <v>4117</v>
      </c>
      <c r="K3" s="211">
        <f t="shared" si="0"/>
        <v>0</v>
      </c>
      <c r="L3" s="211">
        <f t="shared" si="0"/>
        <v>7</v>
      </c>
      <c r="M3" s="211">
        <f t="shared" si="0"/>
        <v>5317</v>
      </c>
      <c r="N3" s="211">
        <f>SUM(B3:M3)</f>
        <v>147048</v>
      </c>
      <c r="O3" s="173"/>
      <c r="P3" s="174"/>
    </row>
    <row r="4" spans="1:16" ht="18" customHeight="1">
      <c r="A4" s="175" t="s">
        <v>143</v>
      </c>
      <c r="B4" s="176"/>
      <c r="C4" s="176"/>
      <c r="D4" s="176">
        <v>2142</v>
      </c>
      <c r="E4" s="176">
        <v>500</v>
      </c>
      <c r="F4" s="176">
        <v>675</v>
      </c>
      <c r="G4" s="176">
        <f>2142-500-675</f>
        <v>967</v>
      </c>
      <c r="H4" s="176">
        <v>1000</v>
      </c>
      <c r="I4" s="176">
        <v>200</v>
      </c>
      <c r="J4" s="176">
        <f>2142-1200</f>
        <v>942</v>
      </c>
      <c r="K4" s="176"/>
      <c r="L4" s="176"/>
      <c r="M4" s="176">
        <v>2142</v>
      </c>
      <c r="N4" s="212">
        <f>SUM(B4:M4)</f>
        <v>8568</v>
      </c>
      <c r="O4" s="173"/>
      <c r="P4" s="174"/>
    </row>
    <row r="5" spans="1:16" ht="41.25" customHeight="1">
      <c r="A5" s="215" t="s">
        <v>334</v>
      </c>
      <c r="B5" s="176"/>
      <c r="C5" s="176"/>
      <c r="D5" s="176">
        <v>3175</v>
      </c>
      <c r="E5" s="176"/>
      <c r="F5" s="176"/>
      <c r="G5" s="176">
        <v>3175</v>
      </c>
      <c r="H5" s="176"/>
      <c r="I5" s="176"/>
      <c r="J5" s="176">
        <v>3175</v>
      </c>
      <c r="K5" s="176"/>
      <c r="L5" s="176"/>
      <c r="M5" s="176">
        <v>3175</v>
      </c>
      <c r="N5" s="212">
        <f>SUM(B5:M5)</f>
        <v>12700</v>
      </c>
      <c r="O5" s="173"/>
      <c r="P5" s="174"/>
    </row>
    <row r="6" spans="1:16" ht="18" customHeight="1">
      <c r="A6" s="175" t="s">
        <v>335</v>
      </c>
      <c r="B6" s="176"/>
      <c r="C6" s="176"/>
      <c r="D6" s="176"/>
      <c r="E6" s="176"/>
      <c r="F6" s="176"/>
      <c r="G6" s="176">
        <v>8</v>
      </c>
      <c r="H6" s="176"/>
      <c r="I6" s="176"/>
      <c r="J6" s="176"/>
      <c r="K6" s="176"/>
      <c r="L6" s="176">
        <v>7</v>
      </c>
      <c r="M6" s="176"/>
      <c r="N6" s="212">
        <f>SUM(B6:M6)</f>
        <v>15</v>
      </c>
      <c r="O6" s="173"/>
      <c r="P6" s="174"/>
    </row>
    <row r="7" spans="1:16" ht="18" customHeight="1">
      <c r="A7" s="175" t="s">
        <v>336</v>
      </c>
      <c r="B7" s="176">
        <v>125765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212">
        <f>SUM(B7:M7)</f>
        <v>125765</v>
      </c>
      <c r="O7" s="173"/>
      <c r="P7" s="174"/>
    </row>
    <row r="8" spans="1:16" ht="31.5" customHeight="1">
      <c r="A8" s="266" t="s">
        <v>332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7"/>
      <c r="O8" s="173"/>
      <c r="P8" s="174"/>
    </row>
    <row r="9" spans="1:16" ht="36" customHeight="1">
      <c r="A9" s="172" t="s">
        <v>64</v>
      </c>
      <c r="B9" s="211">
        <f aca="true" t="shared" si="1" ref="B9:M9">SUM(B10:B13)</f>
        <v>119099</v>
      </c>
      <c r="C9" s="211">
        <f t="shared" si="1"/>
        <v>9640</v>
      </c>
      <c r="D9" s="211">
        <f t="shared" si="1"/>
        <v>9640</v>
      </c>
      <c r="E9" s="211">
        <f t="shared" si="1"/>
        <v>9640</v>
      </c>
      <c r="F9" s="211">
        <f t="shared" si="1"/>
        <v>9640</v>
      </c>
      <c r="G9" s="211">
        <f t="shared" si="1"/>
        <v>9640</v>
      </c>
      <c r="H9" s="211">
        <f t="shared" si="1"/>
        <v>9640</v>
      </c>
      <c r="I9" s="211">
        <f t="shared" si="1"/>
        <v>9780</v>
      </c>
      <c r="J9" s="211">
        <f t="shared" si="1"/>
        <v>9640</v>
      </c>
      <c r="K9" s="211">
        <f t="shared" si="1"/>
        <v>9640</v>
      </c>
      <c r="L9" s="211">
        <f t="shared" si="1"/>
        <v>9641</v>
      </c>
      <c r="M9" s="211">
        <f t="shared" si="1"/>
        <v>9641</v>
      </c>
      <c r="N9" s="211">
        <f>SUM(B9:M9)</f>
        <v>225281</v>
      </c>
      <c r="O9" s="173"/>
      <c r="P9" s="174"/>
    </row>
    <row r="10" spans="1:16" ht="33" customHeight="1">
      <c r="A10" s="215" t="s">
        <v>338</v>
      </c>
      <c r="B10" s="176">
        <v>7500</v>
      </c>
      <c r="C10" s="176">
        <v>7500</v>
      </c>
      <c r="D10" s="176">
        <v>7500</v>
      </c>
      <c r="E10" s="176">
        <v>7500</v>
      </c>
      <c r="F10" s="176">
        <v>7500</v>
      </c>
      <c r="G10" s="176">
        <v>7500</v>
      </c>
      <c r="H10" s="176">
        <v>7500</v>
      </c>
      <c r="I10" s="176">
        <v>7500</v>
      </c>
      <c r="J10" s="176">
        <v>7500</v>
      </c>
      <c r="K10" s="176">
        <v>7500</v>
      </c>
      <c r="L10" s="176">
        <v>7500</v>
      </c>
      <c r="M10" s="176">
        <v>7500</v>
      </c>
      <c r="N10" s="212">
        <f>SUM(B10:M10)</f>
        <v>90000</v>
      </c>
      <c r="O10" s="173"/>
      <c r="P10" s="174"/>
    </row>
    <row r="11" spans="1:16" ht="38.25" customHeight="1">
      <c r="A11" s="215" t="s">
        <v>339</v>
      </c>
      <c r="B11" s="176">
        <v>2140</v>
      </c>
      <c r="C11" s="176">
        <v>2140</v>
      </c>
      <c r="D11" s="176">
        <v>2140</v>
      </c>
      <c r="E11" s="176">
        <v>2140</v>
      </c>
      <c r="F11" s="176">
        <v>2140</v>
      </c>
      <c r="G11" s="176">
        <v>2140</v>
      </c>
      <c r="H11" s="176">
        <v>2140</v>
      </c>
      <c r="I11" s="176">
        <v>2140</v>
      </c>
      <c r="J11" s="176">
        <v>2140</v>
      </c>
      <c r="K11" s="176">
        <v>2140</v>
      </c>
      <c r="L11" s="176">
        <v>2141</v>
      </c>
      <c r="M11" s="176">
        <v>2141</v>
      </c>
      <c r="N11" s="212">
        <f>SUM(B11:M11)</f>
        <v>25682</v>
      </c>
      <c r="O11" s="173"/>
      <c r="P11" s="174"/>
    </row>
    <row r="12" spans="1:16" ht="38.25" customHeight="1">
      <c r="A12" s="215" t="s">
        <v>340</v>
      </c>
      <c r="B12" s="176"/>
      <c r="C12" s="176"/>
      <c r="D12" s="176"/>
      <c r="E12" s="176"/>
      <c r="F12" s="176"/>
      <c r="G12" s="176"/>
      <c r="H12" s="176"/>
      <c r="I12" s="176">
        <v>140</v>
      </c>
      <c r="J12" s="176"/>
      <c r="K12" s="176"/>
      <c r="L12" s="176"/>
      <c r="M12" s="176"/>
      <c r="N12" s="212">
        <f>SUM(B12:M12)</f>
        <v>140</v>
      </c>
      <c r="O12" s="173"/>
      <c r="P12" s="174"/>
    </row>
    <row r="13" spans="1:16" ht="30" customHeight="1">
      <c r="A13" s="177" t="s">
        <v>337</v>
      </c>
      <c r="B13" s="176">
        <v>109459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212">
        <f>SUM(B13:M13)</f>
        <v>109459</v>
      </c>
      <c r="O13" s="173"/>
      <c r="P13" s="174"/>
    </row>
    <row r="14" spans="1:16" ht="18" customHeight="1">
      <c r="A14" s="213" t="s">
        <v>333</v>
      </c>
      <c r="B14" s="214">
        <f aca="true" t="shared" si="2" ref="B14:N14">B9+B3</f>
        <v>244864</v>
      </c>
      <c r="C14" s="214">
        <f t="shared" si="2"/>
        <v>9640</v>
      </c>
      <c r="D14" s="214">
        <f t="shared" si="2"/>
        <v>14957</v>
      </c>
      <c r="E14" s="214">
        <f t="shared" si="2"/>
        <v>10140</v>
      </c>
      <c r="F14" s="214">
        <f t="shared" si="2"/>
        <v>10315</v>
      </c>
      <c r="G14" s="214">
        <f t="shared" si="2"/>
        <v>13790</v>
      </c>
      <c r="H14" s="214">
        <f t="shared" si="2"/>
        <v>10640</v>
      </c>
      <c r="I14" s="214">
        <f t="shared" si="2"/>
        <v>9980</v>
      </c>
      <c r="J14" s="214">
        <f t="shared" si="2"/>
        <v>13757</v>
      </c>
      <c r="K14" s="214">
        <f t="shared" si="2"/>
        <v>9640</v>
      </c>
      <c r="L14" s="214">
        <f t="shared" si="2"/>
        <v>9648</v>
      </c>
      <c r="M14" s="214">
        <f t="shared" si="2"/>
        <v>14958</v>
      </c>
      <c r="N14" s="214">
        <f t="shared" si="2"/>
        <v>372329</v>
      </c>
      <c r="O14" s="179"/>
      <c r="P14" s="174"/>
    </row>
    <row r="15" spans="1:16" ht="18" customHeight="1">
      <c r="A15" s="180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  <c r="O15" s="173"/>
      <c r="P15" s="174"/>
    </row>
    <row r="16" spans="1:16" ht="18" customHeight="1">
      <c r="A16" s="180"/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  <c r="O16" s="173"/>
      <c r="P16" s="174"/>
    </row>
    <row r="17" spans="2:14" ht="12.75">
      <c r="B17" s="182"/>
      <c r="C17" s="182"/>
      <c r="D17" s="182"/>
      <c r="E17" s="182"/>
      <c r="F17" s="182"/>
      <c r="G17" s="183"/>
      <c r="H17" s="183"/>
      <c r="I17" s="183"/>
      <c r="J17" s="183"/>
      <c r="K17" s="183"/>
      <c r="L17" s="183"/>
      <c r="M17" s="183"/>
      <c r="N17" s="182"/>
    </row>
    <row r="18" spans="7:13" ht="12.75">
      <c r="G18" s="184"/>
      <c r="H18" s="184"/>
      <c r="I18" s="184"/>
      <c r="J18" s="184"/>
      <c r="K18" s="184"/>
      <c r="L18" s="184"/>
      <c r="M18" s="184"/>
    </row>
    <row r="19" spans="7:13" ht="12.75">
      <c r="G19" s="184"/>
      <c r="H19" s="184"/>
      <c r="I19" s="184"/>
      <c r="J19" s="184"/>
      <c r="K19" s="184"/>
      <c r="L19" s="184"/>
      <c r="M19" s="184"/>
    </row>
    <row r="20" spans="7:13" ht="12.75">
      <c r="G20" s="184"/>
      <c r="H20" s="184"/>
      <c r="I20" s="184"/>
      <c r="J20" s="184"/>
      <c r="K20" s="184"/>
      <c r="L20" s="184"/>
      <c r="M20" s="184"/>
    </row>
    <row r="21" spans="7:13" ht="12.75">
      <c r="G21" s="184"/>
      <c r="H21" s="184"/>
      <c r="I21" s="184"/>
      <c r="J21" s="184"/>
      <c r="K21" s="184"/>
      <c r="L21" s="184"/>
      <c r="M21" s="184"/>
    </row>
    <row r="22" spans="7:13" ht="12.75">
      <c r="G22" s="184"/>
      <c r="H22" s="184"/>
      <c r="I22" s="184"/>
      <c r="J22" s="184"/>
      <c r="K22" s="184"/>
      <c r="L22" s="184"/>
      <c r="M22" s="184"/>
    </row>
    <row r="23" spans="7:13" ht="12.75">
      <c r="G23" s="184"/>
      <c r="H23" s="184"/>
      <c r="I23" s="184"/>
      <c r="J23" s="184"/>
      <c r="K23" s="184"/>
      <c r="L23" s="184"/>
      <c r="M23" s="184"/>
    </row>
    <row r="24" spans="7:13" ht="12.75">
      <c r="G24" s="184"/>
      <c r="H24" s="184"/>
      <c r="I24" s="184"/>
      <c r="J24" s="184"/>
      <c r="K24" s="184"/>
      <c r="L24" s="184"/>
      <c r="M24" s="184"/>
    </row>
    <row r="25" spans="7:13" ht="12.75">
      <c r="G25" s="184"/>
      <c r="H25" s="184"/>
      <c r="I25" s="184"/>
      <c r="J25" s="184"/>
      <c r="K25" s="184"/>
      <c r="L25" s="184"/>
      <c r="M25" s="184"/>
    </row>
    <row r="26" spans="7:13" ht="12.75">
      <c r="G26" s="184"/>
      <c r="H26" s="184"/>
      <c r="I26" s="184"/>
      <c r="J26" s="184"/>
      <c r="K26" s="184"/>
      <c r="L26" s="184"/>
      <c r="M26" s="184"/>
    </row>
    <row r="27" spans="7:13" ht="12.75">
      <c r="G27" s="184"/>
      <c r="H27" s="184"/>
      <c r="I27" s="184"/>
      <c r="J27" s="184"/>
      <c r="K27" s="184"/>
      <c r="L27" s="184"/>
      <c r="M27" s="184"/>
    </row>
    <row r="28" spans="7:13" ht="12.75">
      <c r="G28" s="184"/>
      <c r="H28" s="184"/>
      <c r="I28" s="184"/>
      <c r="J28" s="184"/>
      <c r="K28" s="184"/>
      <c r="L28" s="184"/>
      <c r="M28" s="184"/>
    </row>
    <row r="29" spans="7:13" ht="12.75">
      <c r="G29" s="184"/>
      <c r="H29" s="184"/>
      <c r="I29" s="184"/>
      <c r="J29" s="184"/>
      <c r="K29" s="184"/>
      <c r="L29" s="184"/>
      <c r="M29" s="184"/>
    </row>
    <row r="30" spans="7:13" ht="12.75">
      <c r="G30" s="184"/>
      <c r="H30" s="184"/>
      <c r="I30" s="184"/>
      <c r="J30" s="184"/>
      <c r="K30" s="184"/>
      <c r="L30" s="184"/>
      <c r="M30" s="184"/>
    </row>
    <row r="31" spans="7:13" ht="12.75">
      <c r="G31" s="184"/>
      <c r="H31" s="184"/>
      <c r="I31" s="184"/>
      <c r="J31" s="184"/>
      <c r="K31" s="184"/>
      <c r="L31" s="184"/>
      <c r="M31" s="184"/>
    </row>
    <row r="32" spans="7:13" ht="12.75">
      <c r="G32" s="184"/>
      <c r="H32" s="184"/>
      <c r="I32" s="184"/>
      <c r="J32" s="184"/>
      <c r="K32" s="184"/>
      <c r="L32" s="184"/>
      <c r="M32" s="184"/>
    </row>
    <row r="33" spans="7:13" ht="12.75">
      <c r="G33" s="184"/>
      <c r="H33" s="184"/>
      <c r="I33" s="184"/>
      <c r="J33" s="184"/>
      <c r="K33" s="184"/>
      <c r="L33" s="184"/>
      <c r="M33" s="184"/>
    </row>
    <row r="34" spans="7:13" ht="12.75">
      <c r="G34" s="184"/>
      <c r="H34" s="184"/>
      <c r="I34" s="184"/>
      <c r="J34" s="184"/>
      <c r="K34" s="184"/>
      <c r="L34" s="184"/>
      <c r="M34" s="184"/>
    </row>
    <row r="35" spans="7:13" ht="12.75">
      <c r="G35" s="184"/>
      <c r="H35" s="184"/>
      <c r="I35" s="184"/>
      <c r="J35" s="184"/>
      <c r="K35" s="184"/>
      <c r="L35" s="184"/>
      <c r="M35" s="184"/>
    </row>
    <row r="36" spans="7:13" ht="12.75">
      <c r="G36" s="184"/>
      <c r="H36" s="184"/>
      <c r="I36" s="184"/>
      <c r="J36" s="184"/>
      <c r="K36" s="184"/>
      <c r="L36" s="184"/>
      <c r="M36" s="184"/>
    </row>
    <row r="37" spans="7:13" ht="12.75">
      <c r="G37" s="184"/>
      <c r="H37" s="184"/>
      <c r="I37" s="184"/>
      <c r="J37" s="184"/>
      <c r="K37" s="184"/>
      <c r="L37" s="184"/>
      <c r="M37" s="184"/>
    </row>
    <row r="38" spans="7:13" ht="12.75">
      <c r="G38" s="184"/>
      <c r="H38" s="184"/>
      <c r="I38" s="184"/>
      <c r="J38" s="184"/>
      <c r="K38" s="184"/>
      <c r="L38" s="184"/>
      <c r="M38" s="184"/>
    </row>
    <row r="39" spans="7:13" ht="12.75">
      <c r="G39" s="184"/>
      <c r="H39" s="184"/>
      <c r="I39" s="184"/>
      <c r="J39" s="184"/>
      <c r="K39" s="184"/>
      <c r="L39" s="184"/>
      <c r="M39" s="184"/>
    </row>
    <row r="40" spans="7:13" ht="12.75">
      <c r="G40" s="184"/>
      <c r="H40" s="184"/>
      <c r="I40" s="184"/>
      <c r="J40" s="184"/>
      <c r="K40" s="184"/>
      <c r="L40" s="184"/>
      <c r="M40" s="184"/>
    </row>
    <row r="41" spans="7:13" ht="12.75">
      <c r="G41" s="184"/>
      <c r="H41" s="184"/>
      <c r="I41" s="184"/>
      <c r="J41" s="184"/>
      <c r="K41" s="184"/>
      <c r="L41" s="184"/>
      <c r="M41" s="184"/>
    </row>
    <row r="42" spans="7:13" ht="12.75">
      <c r="G42" s="184"/>
      <c r="H42" s="184"/>
      <c r="I42" s="184"/>
      <c r="J42" s="184"/>
      <c r="K42" s="184"/>
      <c r="L42" s="184"/>
      <c r="M42" s="184"/>
    </row>
    <row r="43" spans="7:13" ht="12.75">
      <c r="G43" s="184"/>
      <c r="H43" s="184"/>
      <c r="I43" s="184"/>
      <c r="J43" s="184"/>
      <c r="K43" s="184"/>
      <c r="L43" s="184"/>
      <c r="M43" s="184"/>
    </row>
    <row r="44" spans="7:13" ht="12.75">
      <c r="G44" s="184"/>
      <c r="H44" s="184"/>
      <c r="I44" s="184"/>
      <c r="J44" s="184"/>
      <c r="K44" s="184"/>
      <c r="L44" s="184"/>
      <c r="M44" s="184"/>
    </row>
    <row r="45" spans="7:13" ht="12.75">
      <c r="G45" s="184"/>
      <c r="H45" s="184"/>
      <c r="I45" s="184"/>
      <c r="J45" s="184"/>
      <c r="K45" s="184"/>
      <c r="L45" s="184"/>
      <c r="M45" s="184"/>
    </row>
    <row r="46" spans="4:13" ht="12.75">
      <c r="D46" s="185">
        <f aca="true" t="shared" si="3" ref="D46:M46">SUM(D17:D45)</f>
        <v>0</v>
      </c>
      <c r="E46" s="185">
        <f t="shared" si="3"/>
        <v>0</v>
      </c>
      <c r="F46" s="185">
        <f t="shared" si="3"/>
        <v>0</v>
      </c>
      <c r="G46" s="185">
        <f t="shared" si="3"/>
        <v>0</v>
      </c>
      <c r="H46" s="185">
        <f t="shared" si="3"/>
        <v>0</v>
      </c>
      <c r="I46" s="185">
        <f t="shared" si="3"/>
        <v>0</v>
      </c>
      <c r="J46" s="185">
        <f t="shared" si="3"/>
        <v>0</v>
      </c>
      <c r="K46" s="185">
        <f t="shared" si="3"/>
        <v>0</v>
      </c>
      <c r="L46" s="185">
        <f t="shared" si="3"/>
        <v>0</v>
      </c>
      <c r="M46" s="185">
        <f t="shared" si="3"/>
        <v>0</v>
      </c>
    </row>
    <row r="47" spans="7:13" ht="12.75">
      <c r="G47" s="184"/>
      <c r="H47" s="184"/>
      <c r="I47" s="184"/>
      <c r="J47" s="184"/>
      <c r="K47" s="184"/>
      <c r="L47" s="184"/>
      <c r="M47" s="184"/>
    </row>
    <row r="48" spans="7:13" ht="12.75">
      <c r="G48" s="184"/>
      <c r="H48" s="184"/>
      <c r="I48" s="184"/>
      <c r="J48" s="184"/>
      <c r="K48" s="184"/>
      <c r="L48" s="184"/>
      <c r="M48" s="184"/>
    </row>
    <row r="49" spans="7:13" ht="12.75">
      <c r="G49" s="184"/>
      <c r="H49" s="184"/>
      <c r="I49" s="184"/>
      <c r="J49" s="184"/>
      <c r="K49" s="184"/>
      <c r="L49" s="184"/>
      <c r="M49" s="184"/>
    </row>
    <row r="50" spans="7:13" ht="12.75">
      <c r="G50" s="184"/>
      <c r="H50" s="184"/>
      <c r="I50" s="184"/>
      <c r="J50" s="184"/>
      <c r="K50" s="184"/>
      <c r="L50" s="184"/>
      <c r="M50" s="184"/>
    </row>
    <row r="51" spans="7:13" ht="12.75">
      <c r="G51" s="184"/>
      <c r="H51" s="184"/>
      <c r="I51" s="184"/>
      <c r="J51" s="184"/>
      <c r="K51" s="184"/>
      <c r="L51" s="184"/>
      <c r="M51" s="184"/>
    </row>
    <row r="52" spans="7:13" ht="12.75">
      <c r="G52" s="184"/>
      <c r="H52" s="184"/>
      <c r="I52" s="184"/>
      <c r="J52" s="184"/>
      <c r="K52" s="184"/>
      <c r="L52" s="184"/>
      <c r="M52" s="184"/>
    </row>
    <row r="53" spans="7:13" ht="12.75">
      <c r="G53" s="184"/>
      <c r="H53" s="184"/>
      <c r="I53" s="184"/>
      <c r="J53" s="184"/>
      <c r="K53" s="184"/>
      <c r="L53" s="184"/>
      <c r="M53" s="184"/>
    </row>
  </sheetData>
  <sheetProtection/>
  <mergeCells count="2">
    <mergeCell ref="A2:N2"/>
    <mergeCell ref="A8:N8"/>
  </mergeCells>
  <printOptions gridLines="1" headings="1" horizontalCentered="1" verticalCentered="1"/>
  <pageMargins left="0.1968503937007874" right="0.1968503937007874" top="0.984251968503937" bottom="0.5905511811023623" header="0.2755905511811024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Kiadások
2017. év&amp;R&amp;"Times New Roman CE,Normál"&amp;12 3.sz. melléklet
a  /2017.(     )sz.társulási határozathoz 
(ezer Ft)</oddHeader>
    <oddFooter>&amp;L&amp;"Times New Roman CE,Normál"&amp;8&amp;D/&amp;T&amp;C&amp;"Times New Roman CE,Normál"&amp;8&amp;F/&amp;A/  Garamvölgyi Attiláné&amp;R&amp;"Times New Roman CE,Normál"&amp;12 2/2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80" zoomScaleSheetLayoutView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6" sqref="A16"/>
    </sheetView>
  </sheetViews>
  <sheetFormatPr defaultColWidth="9.140625" defaultRowHeight="15"/>
  <cols>
    <col min="1" max="1" width="60.57421875" style="171" customWidth="1"/>
    <col min="2" max="13" width="13.8515625" style="171" bestFit="1" customWidth="1"/>
    <col min="14" max="14" width="15.140625" style="171" bestFit="1" customWidth="1"/>
    <col min="15" max="15" width="13.00390625" style="171" customWidth="1"/>
    <col min="16" max="16384" width="9.140625" style="171" customWidth="1"/>
  </cols>
  <sheetData>
    <row r="1" spans="1:14" ht="24.75" customHeight="1">
      <c r="A1" s="186" t="s">
        <v>7</v>
      </c>
      <c r="B1" s="186" t="s">
        <v>199</v>
      </c>
      <c r="C1" s="186" t="s">
        <v>200</v>
      </c>
      <c r="D1" s="186" t="s">
        <v>201</v>
      </c>
      <c r="E1" s="186" t="s">
        <v>202</v>
      </c>
      <c r="F1" s="186" t="s">
        <v>296</v>
      </c>
      <c r="G1" s="186" t="s">
        <v>297</v>
      </c>
      <c r="H1" s="186" t="s">
        <v>298</v>
      </c>
      <c r="I1" s="186" t="s">
        <v>299</v>
      </c>
      <c r="J1" s="186" t="s">
        <v>300</v>
      </c>
      <c r="K1" s="186" t="s">
        <v>301</v>
      </c>
      <c r="L1" s="186" t="s">
        <v>302</v>
      </c>
      <c r="M1" s="186" t="s">
        <v>303</v>
      </c>
      <c r="N1" s="186" t="s">
        <v>33</v>
      </c>
    </row>
    <row r="2" spans="1:14" ht="44.25" customHeight="1">
      <c r="A2" s="187" t="s">
        <v>305</v>
      </c>
      <c r="B2" s="188">
        <f>SUM(B3,B6,)</f>
        <v>12015</v>
      </c>
      <c r="C2" s="188">
        <f aca="true" t="shared" si="0" ref="C2:M2">SUM(C3,C6,)</f>
        <v>12015</v>
      </c>
      <c r="D2" s="188">
        <f t="shared" si="0"/>
        <v>12015</v>
      </c>
      <c r="E2" s="188">
        <f t="shared" si="0"/>
        <v>12015</v>
      </c>
      <c r="F2" s="188">
        <f t="shared" si="0"/>
        <v>12015</v>
      </c>
      <c r="G2" s="188">
        <f t="shared" si="0"/>
        <v>12015</v>
      </c>
      <c r="H2" s="188">
        <f t="shared" si="0"/>
        <v>12015</v>
      </c>
      <c r="I2" s="188">
        <f t="shared" si="0"/>
        <v>12015</v>
      </c>
      <c r="J2" s="188">
        <f t="shared" si="0"/>
        <v>12015</v>
      </c>
      <c r="K2" s="188">
        <f t="shared" si="0"/>
        <v>12133</v>
      </c>
      <c r="L2" s="188">
        <f t="shared" si="0"/>
        <v>12015</v>
      </c>
      <c r="M2" s="188">
        <f t="shared" si="0"/>
        <v>12018</v>
      </c>
      <c r="N2" s="189">
        <f>SUM(B2:M2)</f>
        <v>144301</v>
      </c>
    </row>
    <row r="3" spans="1:15" ht="15.75" customHeight="1">
      <c r="A3" s="190" t="s">
        <v>50</v>
      </c>
      <c r="B3" s="191">
        <f aca="true" t="shared" si="1" ref="B3:M3">SUM(B4:B5)</f>
        <v>11023</v>
      </c>
      <c r="C3" s="191">
        <f t="shared" si="1"/>
        <v>11023</v>
      </c>
      <c r="D3" s="191">
        <f t="shared" si="1"/>
        <v>11023</v>
      </c>
      <c r="E3" s="191">
        <f t="shared" si="1"/>
        <v>11023</v>
      </c>
      <c r="F3" s="191">
        <f t="shared" si="1"/>
        <v>11023</v>
      </c>
      <c r="G3" s="191">
        <f t="shared" si="1"/>
        <v>11023</v>
      </c>
      <c r="H3" s="191">
        <f t="shared" si="1"/>
        <v>11023</v>
      </c>
      <c r="I3" s="191">
        <f t="shared" si="1"/>
        <v>11023</v>
      </c>
      <c r="J3" s="191">
        <f t="shared" si="1"/>
        <v>11023</v>
      </c>
      <c r="K3" s="191">
        <f t="shared" si="1"/>
        <v>11141</v>
      </c>
      <c r="L3" s="191">
        <f t="shared" si="1"/>
        <v>11023</v>
      </c>
      <c r="M3" s="191">
        <f t="shared" si="1"/>
        <v>11020</v>
      </c>
      <c r="N3" s="192">
        <f>SUM(B3:M3)</f>
        <v>132391</v>
      </c>
      <c r="O3" s="174"/>
    </row>
    <row r="4" spans="1:15" ht="15.75" customHeight="1">
      <c r="A4" s="193" t="s">
        <v>306</v>
      </c>
      <c r="B4" s="194">
        <v>4500</v>
      </c>
      <c r="C4" s="194">
        <v>4500</v>
      </c>
      <c r="D4" s="194">
        <v>4500</v>
      </c>
      <c r="E4" s="194">
        <v>4500</v>
      </c>
      <c r="F4" s="194">
        <v>4500</v>
      </c>
      <c r="G4" s="194">
        <v>4500</v>
      </c>
      <c r="H4" s="194">
        <v>4500</v>
      </c>
      <c r="I4" s="194">
        <v>4500</v>
      </c>
      <c r="J4" s="194">
        <v>4500</v>
      </c>
      <c r="K4" s="194">
        <v>4618</v>
      </c>
      <c r="L4" s="194">
        <v>4500</v>
      </c>
      <c r="M4" s="194">
        <v>4500</v>
      </c>
      <c r="N4" s="195">
        <f>SUM(B4:M4)</f>
        <v>54118</v>
      </c>
      <c r="O4" s="174"/>
    </row>
    <row r="5" spans="1:15" s="197" customFormat="1" ht="15.75" customHeight="1">
      <c r="A5" s="193" t="s">
        <v>307</v>
      </c>
      <c r="B5" s="194">
        <v>6523</v>
      </c>
      <c r="C5" s="194">
        <v>6523</v>
      </c>
      <c r="D5" s="194">
        <v>6523</v>
      </c>
      <c r="E5" s="194">
        <v>6523</v>
      </c>
      <c r="F5" s="194">
        <v>6523</v>
      </c>
      <c r="G5" s="194">
        <v>6523</v>
      </c>
      <c r="H5" s="194">
        <v>6523</v>
      </c>
      <c r="I5" s="194">
        <v>6523</v>
      </c>
      <c r="J5" s="194">
        <v>6523</v>
      </c>
      <c r="K5" s="194">
        <v>6523</v>
      </c>
      <c r="L5" s="194">
        <v>6523</v>
      </c>
      <c r="M5" s="194">
        <v>6520</v>
      </c>
      <c r="N5" s="195">
        <f aca="true" t="shared" si="2" ref="N5:N19">SUM(B5:M5)</f>
        <v>78273</v>
      </c>
      <c r="O5" s="196"/>
    </row>
    <row r="6" spans="1:15" ht="15.75" customHeight="1">
      <c r="A6" s="190" t="s">
        <v>308</v>
      </c>
      <c r="B6" s="194">
        <f>SUM(B7,)</f>
        <v>992</v>
      </c>
      <c r="C6" s="194">
        <f aca="true" t="shared" si="3" ref="C6:M6">SUM(C7,)</f>
        <v>992</v>
      </c>
      <c r="D6" s="194">
        <f t="shared" si="3"/>
        <v>992</v>
      </c>
      <c r="E6" s="194">
        <f t="shared" si="3"/>
        <v>992</v>
      </c>
      <c r="F6" s="194">
        <f t="shared" si="3"/>
        <v>992</v>
      </c>
      <c r="G6" s="194">
        <f t="shared" si="3"/>
        <v>992</v>
      </c>
      <c r="H6" s="194">
        <f t="shared" si="3"/>
        <v>992</v>
      </c>
      <c r="I6" s="194">
        <f t="shared" si="3"/>
        <v>992</v>
      </c>
      <c r="J6" s="194">
        <f t="shared" si="3"/>
        <v>992</v>
      </c>
      <c r="K6" s="194">
        <f t="shared" si="3"/>
        <v>992</v>
      </c>
      <c r="L6" s="194">
        <f t="shared" si="3"/>
        <v>992</v>
      </c>
      <c r="M6" s="194">
        <f t="shared" si="3"/>
        <v>998</v>
      </c>
      <c r="N6" s="195">
        <f t="shared" si="2"/>
        <v>11910</v>
      </c>
      <c r="O6" s="174"/>
    </row>
    <row r="7" spans="1:15" ht="15.75" customHeight="1">
      <c r="A7" s="190" t="s">
        <v>309</v>
      </c>
      <c r="B7" s="194">
        <f aca="true" t="shared" si="4" ref="B7:M7">SUM(B8:B9)</f>
        <v>992</v>
      </c>
      <c r="C7" s="194">
        <f t="shared" si="4"/>
        <v>992</v>
      </c>
      <c r="D7" s="194">
        <f t="shared" si="4"/>
        <v>992</v>
      </c>
      <c r="E7" s="194">
        <f t="shared" si="4"/>
        <v>992</v>
      </c>
      <c r="F7" s="194">
        <f t="shared" si="4"/>
        <v>992</v>
      </c>
      <c r="G7" s="194">
        <f t="shared" si="4"/>
        <v>992</v>
      </c>
      <c r="H7" s="194">
        <f t="shared" si="4"/>
        <v>992</v>
      </c>
      <c r="I7" s="194">
        <f t="shared" si="4"/>
        <v>992</v>
      </c>
      <c r="J7" s="194">
        <f t="shared" si="4"/>
        <v>992</v>
      </c>
      <c r="K7" s="194">
        <f t="shared" si="4"/>
        <v>992</v>
      </c>
      <c r="L7" s="194">
        <f t="shared" si="4"/>
        <v>992</v>
      </c>
      <c r="M7" s="194">
        <f t="shared" si="4"/>
        <v>998</v>
      </c>
      <c r="N7" s="195">
        <f t="shared" si="2"/>
        <v>11910</v>
      </c>
      <c r="O7" s="174"/>
    </row>
    <row r="8" spans="1:15" ht="15.75" customHeight="1">
      <c r="A8" s="198" t="s">
        <v>310</v>
      </c>
      <c r="B8" s="194">
        <v>992</v>
      </c>
      <c r="C8" s="194">
        <v>992</v>
      </c>
      <c r="D8" s="194">
        <v>992</v>
      </c>
      <c r="E8" s="194">
        <v>992</v>
      </c>
      <c r="F8" s="194">
        <v>992</v>
      </c>
      <c r="G8" s="194">
        <v>992</v>
      </c>
      <c r="H8" s="194">
        <v>992</v>
      </c>
      <c r="I8" s="194">
        <v>992</v>
      </c>
      <c r="J8" s="194">
        <v>992</v>
      </c>
      <c r="K8" s="194">
        <v>992</v>
      </c>
      <c r="L8" s="194">
        <v>992</v>
      </c>
      <c r="M8" s="194">
        <v>998</v>
      </c>
      <c r="N8" s="195">
        <f t="shared" si="2"/>
        <v>11910</v>
      </c>
      <c r="O8" s="174"/>
    </row>
    <row r="9" spans="1:15" ht="15.75" customHeight="1">
      <c r="A9" s="198" t="s">
        <v>311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5">
        <f t="shared" si="2"/>
        <v>0</v>
      </c>
      <c r="O9" s="174"/>
    </row>
    <row r="10" spans="1:15" ht="15.75" customHeight="1">
      <c r="A10" s="199" t="s">
        <v>312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5">
        <f t="shared" si="2"/>
        <v>0</v>
      </c>
      <c r="O10" s="174"/>
    </row>
    <row r="11" spans="1:15" ht="15.75" customHeight="1">
      <c r="A11" s="200" t="s">
        <v>313</v>
      </c>
      <c r="B11" s="201">
        <f>B14+B18</f>
        <v>29150</v>
      </c>
      <c r="C11" s="201">
        <f aca="true" t="shared" si="5" ref="C11:M11">C14+C18</f>
        <v>29150</v>
      </c>
      <c r="D11" s="201">
        <f t="shared" si="5"/>
        <v>29150</v>
      </c>
      <c r="E11" s="201">
        <f t="shared" si="5"/>
        <v>29150</v>
      </c>
      <c r="F11" s="201">
        <f t="shared" si="5"/>
        <v>29250</v>
      </c>
      <c r="G11" s="201">
        <f t="shared" si="5"/>
        <v>29150</v>
      </c>
      <c r="H11" s="201">
        <f t="shared" si="5"/>
        <v>30880</v>
      </c>
      <c r="I11" s="201">
        <f t="shared" si="5"/>
        <v>29150</v>
      </c>
      <c r="J11" s="201">
        <f t="shared" si="5"/>
        <v>29343</v>
      </c>
      <c r="K11" s="201">
        <f t="shared" si="5"/>
        <v>29150</v>
      </c>
      <c r="L11" s="201">
        <f t="shared" si="5"/>
        <v>29150</v>
      </c>
      <c r="M11" s="201">
        <f t="shared" si="5"/>
        <v>29150</v>
      </c>
      <c r="N11" s="202">
        <f t="shared" si="2"/>
        <v>351823</v>
      </c>
      <c r="O11" s="174"/>
    </row>
    <row r="12" spans="1:15" ht="15.75" customHeight="1">
      <c r="A12" s="203" t="s">
        <v>314</v>
      </c>
      <c r="B12" s="194"/>
      <c r="C12" s="194"/>
      <c r="D12" s="194"/>
      <c r="E12" s="194"/>
      <c r="F12" s="194"/>
      <c r="G12" s="194"/>
      <c r="H12" s="204"/>
      <c r="I12" s="194"/>
      <c r="J12" s="194"/>
      <c r="K12" s="194"/>
      <c r="L12" s="194"/>
      <c r="M12" s="194"/>
      <c r="N12" s="195">
        <f t="shared" si="2"/>
        <v>0</v>
      </c>
      <c r="O12" s="174"/>
    </row>
    <row r="13" spans="1:15" ht="15.75" customHeight="1">
      <c r="A13" s="203" t="s">
        <v>315</v>
      </c>
      <c r="B13" s="194"/>
      <c r="C13" s="194"/>
      <c r="D13" s="194"/>
      <c r="E13" s="194"/>
      <c r="F13" s="194"/>
      <c r="G13" s="194"/>
      <c r="H13" s="204"/>
      <c r="I13" s="194"/>
      <c r="J13" s="194"/>
      <c r="K13" s="194"/>
      <c r="L13" s="194"/>
      <c r="M13" s="194"/>
      <c r="N13" s="195">
        <f t="shared" si="2"/>
        <v>0</v>
      </c>
      <c r="O13" s="174"/>
    </row>
    <row r="14" spans="1:15" ht="48" customHeight="1">
      <c r="A14" s="205" t="s">
        <v>316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4">
        <v>0</v>
      </c>
      <c r="H14" s="204">
        <v>1730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5">
        <f t="shared" si="2"/>
        <v>1730</v>
      </c>
      <c r="O14" s="174"/>
    </row>
    <row r="15" spans="1:15" ht="15.75" customHeight="1">
      <c r="A15" s="206" t="s">
        <v>308</v>
      </c>
      <c r="B15" s="194">
        <f>B17</f>
        <v>0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>
        <f t="shared" si="2"/>
        <v>0</v>
      </c>
      <c r="O15" s="174"/>
    </row>
    <row r="16" spans="1:15" ht="15.75" customHeight="1">
      <c r="A16" s="206" t="s">
        <v>317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5">
        <f t="shared" si="2"/>
        <v>0</v>
      </c>
      <c r="O16" s="174"/>
    </row>
    <row r="17" spans="1:15" ht="15.75" customHeight="1">
      <c r="A17" s="206" t="s">
        <v>315</v>
      </c>
      <c r="B17" s="194"/>
      <c r="C17" s="194"/>
      <c r="D17" s="194"/>
      <c r="E17" s="194"/>
      <c r="F17" s="194"/>
      <c r="G17" s="194"/>
      <c r="H17" s="204"/>
      <c r="I17" s="194"/>
      <c r="J17" s="194"/>
      <c r="K17" s="194"/>
      <c r="L17" s="194"/>
      <c r="M17" s="194"/>
      <c r="N17" s="195">
        <f t="shared" si="2"/>
        <v>0</v>
      </c>
      <c r="O17" s="174"/>
    </row>
    <row r="18" spans="1:15" ht="30.75" customHeight="1">
      <c r="A18" s="207" t="s">
        <v>318</v>
      </c>
      <c r="B18" s="208">
        <v>29150</v>
      </c>
      <c r="C18" s="208">
        <v>29150</v>
      </c>
      <c r="D18" s="208">
        <v>29150</v>
      </c>
      <c r="E18" s="208">
        <v>29150</v>
      </c>
      <c r="F18" s="208">
        <v>29250</v>
      </c>
      <c r="G18" s="208">
        <v>29150</v>
      </c>
      <c r="H18" s="208">
        <v>29150</v>
      </c>
      <c r="I18" s="208">
        <v>29150</v>
      </c>
      <c r="J18" s="208">
        <v>29343</v>
      </c>
      <c r="K18" s="208">
        <v>29150</v>
      </c>
      <c r="L18" s="208">
        <v>29150</v>
      </c>
      <c r="M18" s="208">
        <v>29150</v>
      </c>
      <c r="N18" s="195">
        <f t="shared" si="2"/>
        <v>350093</v>
      </c>
      <c r="O18" s="174"/>
    </row>
    <row r="19" spans="1:16" ht="39" customHeight="1">
      <c r="A19" s="200" t="s">
        <v>319</v>
      </c>
      <c r="B19" s="189">
        <f>B2+B11</f>
        <v>41165</v>
      </c>
      <c r="C19" s="189">
        <f aca="true" t="shared" si="6" ref="C19:M19">C2+C11</f>
        <v>41165</v>
      </c>
      <c r="D19" s="189">
        <f t="shared" si="6"/>
        <v>41165</v>
      </c>
      <c r="E19" s="189">
        <f t="shared" si="6"/>
        <v>41165</v>
      </c>
      <c r="F19" s="189">
        <f t="shared" si="6"/>
        <v>41265</v>
      </c>
      <c r="G19" s="189">
        <f t="shared" si="6"/>
        <v>41165</v>
      </c>
      <c r="H19" s="189">
        <f t="shared" si="6"/>
        <v>42895</v>
      </c>
      <c r="I19" s="189">
        <f t="shared" si="6"/>
        <v>41165</v>
      </c>
      <c r="J19" s="189">
        <f t="shared" si="6"/>
        <v>41358</v>
      </c>
      <c r="K19" s="189">
        <f t="shared" si="6"/>
        <v>41283</v>
      </c>
      <c r="L19" s="189">
        <f t="shared" si="6"/>
        <v>41165</v>
      </c>
      <c r="M19" s="189">
        <f t="shared" si="6"/>
        <v>41168</v>
      </c>
      <c r="N19" s="202">
        <f t="shared" si="2"/>
        <v>496124</v>
      </c>
      <c r="O19" s="174"/>
      <c r="P19" s="178"/>
    </row>
    <row r="20" spans="1:14" ht="15">
      <c r="A20" s="209" t="s">
        <v>320</v>
      </c>
      <c r="B20" s="210">
        <f>B19-'[1]felh.ü.kiad.'!B16</f>
        <v>2355</v>
      </c>
      <c r="C20" s="210">
        <f>C19-'[1]felh.ü.kiad.'!C16</f>
        <v>2355</v>
      </c>
      <c r="D20" s="210">
        <f>D19-'[1]felh.ü.kiad.'!D16</f>
        <v>-45</v>
      </c>
      <c r="E20" s="210">
        <f>E19-'[1]felh.ü.kiad.'!E16</f>
        <v>355</v>
      </c>
      <c r="F20" s="210">
        <f>F19-'[1]felh.ü.kiad.'!F16</f>
        <v>-1545</v>
      </c>
      <c r="G20" s="210">
        <f>G19-'[1]felh.ü.kiad.'!G16</f>
        <v>-2679</v>
      </c>
      <c r="H20" s="210">
        <f>H19-'[1]felh.ü.kiad.'!H16</f>
        <v>2085</v>
      </c>
      <c r="I20" s="210">
        <f>I19-'[1]felh.ü.kiad.'!I16</f>
        <v>355</v>
      </c>
      <c r="J20" s="210">
        <f>J19-'[1]felh.ü.kiad.'!J16</f>
        <v>-1953</v>
      </c>
      <c r="K20" s="210">
        <f>K19-'[1]felh.ü.kiad.'!K16</f>
        <v>-1566</v>
      </c>
      <c r="L20" s="210">
        <f>L19-'[1]felh.ü.kiad.'!L16</f>
        <v>355</v>
      </c>
      <c r="M20" s="210">
        <f>M19-'[1]felh.ü.kiad.'!M16</f>
        <v>-72</v>
      </c>
      <c r="N20" s="210">
        <v>-0.029999999329447746</v>
      </c>
    </row>
  </sheetData>
  <sheetProtection selectLockedCells="1" selectUnlockedCells="1"/>
  <printOptions gridLines="1" headings="1" horizontalCentered="1" verticalCentered="1"/>
  <pageMargins left="0.1968503937007874" right="0.1968503937007874" top="0.8267716535433072" bottom="0.1968503937007874" header="0.2362204724409449" footer="0.11811023622047245"/>
  <pageSetup blackAndWhite="1" horizontalDpi="600" verticalDpi="600" orientation="landscape" paperSize="9" scale="58" r:id="rId1"/>
  <headerFooter alignWithMargins="0">
    <oddHeader>&amp;C&amp;"Times New Roman CE,Félkövér"&amp;14Előirányzat felhasználási ütemterv
Bevételek
2017. év&amp;R&amp;"Times New Roman CE,Normál"&amp;12 3. sz. melléklet
a  /2017.(      )sz. társulási határozathoz 
(ezer Ft)</oddHeader>
    <oddFooter>&amp;L&amp;"Times New Roman CE,Normál"&amp;8&amp;D/&amp;T&amp;C&amp;"Times New Roman CE,Normál"&amp;8&amp;F/&amp;A/   Garamvölgyi Attiláné&amp;R&amp;"Times New Roman CE,Normál"&amp;12 1/2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41"/>
  <sheetViews>
    <sheetView view="pageBreakPreview" zoomScale="75" zoomScaleNormal="75" zoomScaleSheetLayoutView="75" zoomScalePageLayoutView="0" workbookViewId="0" topLeftCell="A1">
      <pane xSplit="2" ySplit="3" topLeftCell="C26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5" sqref="C25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15">
      <c r="A1" s="268"/>
      <c r="B1" s="268"/>
      <c r="C1" s="268"/>
      <c r="D1" s="268"/>
      <c r="E1" s="268"/>
    </row>
    <row r="2" spans="1:5" ht="36.75" customHeight="1">
      <c r="A2" s="132" t="s">
        <v>69</v>
      </c>
      <c r="B2" s="132"/>
      <c r="C2" s="269"/>
      <c r="D2" s="269"/>
      <c r="E2" s="269"/>
    </row>
    <row r="3" spans="1:2" ht="31.5" customHeight="1">
      <c r="A3" s="11"/>
      <c r="B3" s="10"/>
    </row>
    <row r="4" spans="1:7" ht="46.5">
      <c r="A4" s="5" t="s">
        <v>8</v>
      </c>
      <c r="B4" s="5" t="s">
        <v>7</v>
      </c>
      <c r="C4" s="5" t="s">
        <v>150</v>
      </c>
      <c r="D4" s="5" t="s">
        <v>239</v>
      </c>
      <c r="E4" s="5" t="s">
        <v>238</v>
      </c>
      <c r="F4" s="5" t="s">
        <v>236</v>
      </c>
      <c r="G4" s="5" t="s">
        <v>237</v>
      </c>
    </row>
    <row r="5" spans="1:7" ht="31.5" customHeight="1">
      <c r="A5" s="22"/>
      <c r="B5" s="143" t="s">
        <v>0</v>
      </c>
      <c r="C5" s="70"/>
      <c r="D5" s="70"/>
      <c r="E5" s="4"/>
      <c r="F5" s="70"/>
      <c r="G5" s="70"/>
    </row>
    <row r="6" spans="1:7" ht="31.5" customHeight="1">
      <c r="A6" s="22" t="s">
        <v>4</v>
      </c>
      <c r="B6" s="22" t="s">
        <v>218</v>
      </c>
      <c r="C6" s="33">
        <f>SUM(C7:C8)</f>
        <v>963069</v>
      </c>
      <c r="D6" s="33">
        <f>SUM(D7:D8)</f>
        <v>560887</v>
      </c>
      <c r="E6" s="33">
        <f>SUM(E7:E8)</f>
        <v>0</v>
      </c>
      <c r="F6" s="33">
        <f>SUM(F7:F8)</f>
        <v>-560887</v>
      </c>
      <c r="G6" s="33">
        <f>SUM(G7:G8)</f>
        <v>-963069</v>
      </c>
    </row>
    <row r="7" spans="1:7" ht="31.5" customHeight="1">
      <c r="A7" s="22"/>
      <c r="B7" s="22" t="s">
        <v>53</v>
      </c>
      <c r="C7" s="32">
        <v>963069</v>
      </c>
      <c r="D7" s="32">
        <v>473151</v>
      </c>
      <c r="E7" s="32">
        <v>0</v>
      </c>
      <c r="F7" s="32">
        <f>E7-D7</f>
        <v>-473151</v>
      </c>
      <c r="G7" s="32">
        <f>E7-C7</f>
        <v>-963069</v>
      </c>
    </row>
    <row r="8" spans="1:7" ht="31.5" customHeight="1">
      <c r="A8" s="22"/>
      <c r="B8" s="22" t="s">
        <v>52</v>
      </c>
      <c r="C8" s="32">
        <v>0</v>
      </c>
      <c r="D8" s="32">
        <v>87736</v>
      </c>
      <c r="E8" s="32">
        <v>0</v>
      </c>
      <c r="F8" s="32">
        <f>E8-D8</f>
        <v>-87736</v>
      </c>
      <c r="G8" s="32">
        <f>E8-C8</f>
        <v>0</v>
      </c>
    </row>
    <row r="9" spans="1:7" s="2" customFormat="1" ht="31.5" customHeight="1">
      <c r="A9" s="22" t="s">
        <v>5</v>
      </c>
      <c r="B9" s="22" t="s">
        <v>51</v>
      </c>
      <c r="C9" s="33">
        <f>C10+C11+C12+C14+C15</f>
        <v>3566924</v>
      </c>
      <c r="D9" s="33">
        <f>D10+D11+D12+D14+D15</f>
        <v>5489096</v>
      </c>
      <c r="E9" s="33">
        <f>E10+E11+E12+E14+E15</f>
        <v>0</v>
      </c>
      <c r="F9" s="33">
        <f>F10+F11+F12+F14+F15</f>
        <v>-5489096</v>
      </c>
      <c r="G9" s="33">
        <f>G10+G11+G12+G14+G15</f>
        <v>-3566924</v>
      </c>
    </row>
    <row r="10" spans="1:7" s="2" customFormat="1" ht="31.5" customHeight="1">
      <c r="A10" s="22"/>
      <c r="B10" s="22" t="s">
        <v>52</v>
      </c>
      <c r="C10" s="32">
        <v>3210241</v>
      </c>
      <c r="D10" s="32">
        <v>3951014</v>
      </c>
      <c r="E10" s="32">
        <v>0</v>
      </c>
      <c r="F10" s="32">
        <f aca="true" t="shared" si="0" ref="F10:F15">E10-D10</f>
        <v>-3951014</v>
      </c>
      <c r="G10" s="32">
        <f aca="true" t="shared" si="1" ref="G10:G15">E10-C10</f>
        <v>-3210241</v>
      </c>
    </row>
    <row r="11" spans="1:7" s="2" customFormat="1" ht="31.5" customHeight="1">
      <c r="A11" s="22"/>
      <c r="B11" s="22" t="s">
        <v>54</v>
      </c>
      <c r="C11" s="32">
        <v>196176</v>
      </c>
      <c r="D11" s="32">
        <v>212484</v>
      </c>
      <c r="E11" s="32">
        <v>0</v>
      </c>
      <c r="F11" s="32">
        <f t="shared" si="0"/>
        <v>-212484</v>
      </c>
      <c r="G11" s="32">
        <f t="shared" si="1"/>
        <v>-196176</v>
      </c>
    </row>
    <row r="12" spans="1:7" s="2" customFormat="1" ht="29.25" customHeight="1">
      <c r="A12" s="22"/>
      <c r="B12" s="22" t="s">
        <v>55</v>
      </c>
      <c r="C12" s="32">
        <v>160507</v>
      </c>
      <c r="D12" s="32">
        <v>0</v>
      </c>
      <c r="E12" s="32">
        <v>0</v>
      </c>
      <c r="F12" s="32">
        <f t="shared" si="0"/>
        <v>0</v>
      </c>
      <c r="G12" s="32">
        <f t="shared" si="1"/>
        <v>-160507</v>
      </c>
    </row>
    <row r="13" spans="1:7" s="2" customFormat="1" ht="31.5" customHeight="1" hidden="1">
      <c r="A13" s="22" t="s">
        <v>6</v>
      </c>
      <c r="B13" s="22" t="s">
        <v>55</v>
      </c>
      <c r="C13" s="32"/>
      <c r="D13" s="32"/>
      <c r="E13" s="32"/>
      <c r="F13" s="32">
        <f t="shared" si="0"/>
        <v>0</v>
      </c>
      <c r="G13" s="32">
        <f t="shared" si="1"/>
        <v>0</v>
      </c>
    </row>
    <row r="14" spans="1:7" s="2" customFormat="1" ht="31.5" customHeight="1">
      <c r="A14" s="22"/>
      <c r="B14" s="22" t="s">
        <v>80</v>
      </c>
      <c r="C14" s="32">
        <v>0</v>
      </c>
      <c r="D14" s="32">
        <v>174265</v>
      </c>
      <c r="E14" s="32">
        <v>0</v>
      </c>
      <c r="F14" s="32">
        <f t="shared" si="0"/>
        <v>-174265</v>
      </c>
      <c r="G14" s="32">
        <f t="shared" si="1"/>
        <v>0</v>
      </c>
    </row>
    <row r="15" spans="1:7" s="2" customFormat="1" ht="31.5" customHeight="1">
      <c r="A15" s="22" t="s">
        <v>6</v>
      </c>
      <c r="B15" s="22" t="s">
        <v>206</v>
      </c>
      <c r="C15" s="138">
        <v>0</v>
      </c>
      <c r="D15" s="32">
        <v>1151333</v>
      </c>
      <c r="E15" s="32">
        <v>0</v>
      </c>
      <c r="F15" s="32">
        <f t="shared" si="0"/>
        <v>-1151333</v>
      </c>
      <c r="G15" s="32">
        <f t="shared" si="1"/>
        <v>0</v>
      </c>
    </row>
    <row r="16" spans="1:7" ht="31.5" customHeight="1">
      <c r="A16" s="22" t="s">
        <v>208</v>
      </c>
      <c r="B16" s="22" t="s">
        <v>27</v>
      </c>
      <c r="C16" s="139">
        <f>SUM(C6,C9)</f>
        <v>4529993</v>
      </c>
      <c r="D16" s="139">
        <f>SUM(D6,D9)</f>
        <v>6049983</v>
      </c>
      <c r="E16" s="139">
        <f>SUM(E6,E9)</f>
        <v>0</v>
      </c>
      <c r="F16" s="139">
        <f>SUM(F6,F9)</f>
        <v>-6049983</v>
      </c>
      <c r="G16" s="139">
        <f>SUM(G6,G9)</f>
        <v>-4529993</v>
      </c>
    </row>
    <row r="17" spans="1:7" ht="31.5" customHeight="1">
      <c r="A17" s="144"/>
      <c r="B17" s="145"/>
      <c r="C17" s="140"/>
      <c r="D17" s="140"/>
      <c r="E17" s="141"/>
      <c r="F17" s="140"/>
      <c r="G17" s="140"/>
    </row>
    <row r="18" spans="1:7" ht="31.5" customHeight="1">
      <c r="A18" s="22"/>
      <c r="B18" s="143" t="s">
        <v>9</v>
      </c>
      <c r="C18" s="33"/>
      <c r="D18" s="33"/>
      <c r="E18" s="32"/>
      <c r="F18" s="33"/>
      <c r="G18" s="33"/>
    </row>
    <row r="19" spans="1:7" ht="31.5" customHeight="1">
      <c r="A19" s="137" t="s">
        <v>221</v>
      </c>
      <c r="B19" s="143" t="s">
        <v>222</v>
      </c>
      <c r="C19" s="142">
        <f>C20+C21+C22+C23+C24</f>
        <v>0</v>
      </c>
      <c r="D19" s="142">
        <f>D20+D21+D22+D23+D24</f>
        <v>126719</v>
      </c>
      <c r="E19" s="142">
        <f>E20+E21+E22+E23+E24</f>
        <v>0</v>
      </c>
      <c r="F19" s="142">
        <f>F20+F21+F22+F23+F24</f>
        <v>-126719</v>
      </c>
      <c r="G19" s="142">
        <f>G20+G21+G22+G23+G24</f>
        <v>0</v>
      </c>
    </row>
    <row r="20" spans="1:7" ht="31.5" customHeight="1">
      <c r="A20" s="22"/>
      <c r="B20" s="22" t="s">
        <v>13</v>
      </c>
      <c r="C20" s="32">
        <v>0</v>
      </c>
      <c r="D20" s="32">
        <v>60857</v>
      </c>
      <c r="E20" s="32">
        <v>0</v>
      </c>
      <c r="F20" s="32">
        <f>E20-D20</f>
        <v>-60857</v>
      </c>
      <c r="G20" s="32">
        <f>E20-C20</f>
        <v>0</v>
      </c>
    </row>
    <row r="21" spans="1:7" ht="31.5" customHeight="1">
      <c r="A21" s="22"/>
      <c r="B21" s="22" t="s">
        <v>14</v>
      </c>
      <c r="C21" s="32">
        <v>0</v>
      </c>
      <c r="D21" s="32">
        <v>34000</v>
      </c>
      <c r="E21" s="32">
        <v>0</v>
      </c>
      <c r="F21" s="32">
        <f>E21-D21</f>
        <v>-34000</v>
      </c>
      <c r="G21" s="32">
        <f>E21-C21</f>
        <v>0</v>
      </c>
    </row>
    <row r="22" spans="1:7" ht="31.5" customHeight="1">
      <c r="A22" s="22"/>
      <c r="B22" s="22" t="s">
        <v>15</v>
      </c>
      <c r="C22" s="32">
        <v>0</v>
      </c>
      <c r="D22" s="32">
        <v>3421</v>
      </c>
      <c r="E22" s="32">
        <v>0</v>
      </c>
      <c r="F22" s="32">
        <f>E22-D22</f>
        <v>-3421</v>
      </c>
      <c r="G22" s="32">
        <f>E22-C22</f>
        <v>0</v>
      </c>
    </row>
    <row r="23" spans="1:7" ht="31.5" customHeight="1">
      <c r="A23" s="22"/>
      <c r="B23" s="22" t="s">
        <v>17</v>
      </c>
      <c r="C23" s="32">
        <v>0</v>
      </c>
      <c r="D23" s="32">
        <v>1500</v>
      </c>
      <c r="E23" s="32">
        <v>0</v>
      </c>
      <c r="F23" s="32">
        <f>E23-D23</f>
        <v>-1500</v>
      </c>
      <c r="G23" s="32">
        <f>E23-C23</f>
        <v>0</v>
      </c>
    </row>
    <row r="24" spans="1:7" ht="31.5" customHeight="1">
      <c r="A24" s="22"/>
      <c r="B24" s="22" t="s">
        <v>223</v>
      </c>
      <c r="C24" s="32">
        <v>0</v>
      </c>
      <c r="D24" s="32">
        <v>26941</v>
      </c>
      <c r="E24" s="32">
        <v>0</v>
      </c>
      <c r="F24" s="32">
        <f>E24-D24</f>
        <v>-26941</v>
      </c>
      <c r="G24" s="32">
        <f>E24-C24</f>
        <v>0</v>
      </c>
    </row>
    <row r="25" spans="1:7" ht="31.5" customHeight="1">
      <c r="A25" s="137" t="s">
        <v>5</v>
      </c>
      <c r="B25" s="137" t="s">
        <v>25</v>
      </c>
      <c r="C25" s="142">
        <f>SUM(C26:C36)</f>
        <v>4529993</v>
      </c>
      <c r="D25" s="142">
        <f>SUM(D26:D36)</f>
        <v>5923264</v>
      </c>
      <c r="E25" s="142">
        <f>SUM(E26:E36)</f>
        <v>0</v>
      </c>
      <c r="F25" s="142">
        <f>SUM(F26:F36)</f>
        <v>-5923264</v>
      </c>
      <c r="G25" s="142">
        <f>SUM(G26:G36)</f>
        <v>-4529993</v>
      </c>
    </row>
    <row r="26" spans="1:7" ht="31.5" customHeight="1">
      <c r="A26" s="22"/>
      <c r="B26" s="22" t="s">
        <v>13</v>
      </c>
      <c r="C26" s="32">
        <v>60857</v>
      </c>
      <c r="D26" s="32">
        <v>0</v>
      </c>
      <c r="E26" s="32">
        <v>0</v>
      </c>
      <c r="F26" s="32">
        <f aca="true" t="shared" si="2" ref="F26:F36">E26-D26</f>
        <v>0</v>
      </c>
      <c r="G26" s="32">
        <f aca="true" t="shared" si="3" ref="G26:G36">E26-C26</f>
        <v>-60857</v>
      </c>
    </row>
    <row r="27" spans="1:7" ht="31.5" customHeight="1">
      <c r="A27" s="22"/>
      <c r="B27" s="22" t="s">
        <v>14</v>
      </c>
      <c r="C27" s="32">
        <v>34000</v>
      </c>
      <c r="D27" s="32">
        <v>0</v>
      </c>
      <c r="E27" s="32">
        <v>0</v>
      </c>
      <c r="F27" s="32">
        <f t="shared" si="2"/>
        <v>0</v>
      </c>
      <c r="G27" s="32">
        <f t="shared" si="3"/>
        <v>-34000</v>
      </c>
    </row>
    <row r="28" spans="1:7" ht="31.5" customHeight="1">
      <c r="A28" s="22"/>
      <c r="B28" s="22" t="s">
        <v>15</v>
      </c>
      <c r="C28" s="32">
        <v>3421</v>
      </c>
      <c r="D28" s="32">
        <v>0</v>
      </c>
      <c r="E28" s="32">
        <v>0</v>
      </c>
      <c r="F28" s="32">
        <f t="shared" si="2"/>
        <v>0</v>
      </c>
      <c r="G28" s="32">
        <f t="shared" si="3"/>
        <v>-3421</v>
      </c>
    </row>
    <row r="29" spans="1:7" ht="31.5" customHeight="1">
      <c r="A29" s="22"/>
      <c r="B29" s="22" t="s">
        <v>16</v>
      </c>
      <c r="C29" s="32">
        <v>49102</v>
      </c>
      <c r="D29" s="32">
        <v>68067</v>
      </c>
      <c r="E29" s="32">
        <v>0</v>
      </c>
      <c r="F29" s="32">
        <f t="shared" si="2"/>
        <v>-68067</v>
      </c>
      <c r="G29" s="32">
        <f t="shared" si="3"/>
        <v>-49102</v>
      </c>
    </row>
    <row r="30" spans="1:7" ht="31.5" customHeight="1">
      <c r="A30" s="22"/>
      <c r="B30" s="22" t="s">
        <v>17</v>
      </c>
      <c r="C30" s="32">
        <v>1500</v>
      </c>
      <c r="D30" s="32">
        <v>0</v>
      </c>
      <c r="E30" s="32">
        <v>0</v>
      </c>
      <c r="F30" s="32">
        <f t="shared" si="2"/>
        <v>0</v>
      </c>
      <c r="G30" s="32">
        <f t="shared" si="3"/>
        <v>-1500</v>
      </c>
    </row>
    <row r="31" spans="1:7" ht="31.5" customHeight="1">
      <c r="A31" s="22"/>
      <c r="B31" s="22" t="s">
        <v>18</v>
      </c>
      <c r="C31" s="32">
        <v>0</v>
      </c>
      <c r="D31" s="32">
        <v>0</v>
      </c>
      <c r="E31" s="32">
        <v>0</v>
      </c>
      <c r="F31" s="32">
        <f t="shared" si="2"/>
        <v>0</v>
      </c>
      <c r="G31" s="32">
        <f t="shared" si="3"/>
        <v>0</v>
      </c>
    </row>
    <row r="32" spans="1:7" ht="30.75" customHeight="1">
      <c r="A32" s="22"/>
      <c r="B32" s="22" t="s">
        <v>19</v>
      </c>
      <c r="C32" s="32">
        <v>0</v>
      </c>
      <c r="D32" s="32">
        <v>0</v>
      </c>
      <c r="E32" s="32">
        <v>0</v>
      </c>
      <c r="F32" s="32">
        <f t="shared" si="2"/>
        <v>0</v>
      </c>
      <c r="G32" s="32">
        <f t="shared" si="3"/>
        <v>0</v>
      </c>
    </row>
    <row r="33" spans="1:7" ht="30.75" customHeight="1">
      <c r="A33" s="22"/>
      <c r="B33" s="22" t="s">
        <v>39</v>
      </c>
      <c r="C33" s="32">
        <v>1316269</v>
      </c>
      <c r="D33" s="32">
        <v>1468799</v>
      </c>
      <c r="E33" s="32">
        <v>0</v>
      </c>
      <c r="F33" s="32">
        <f t="shared" si="2"/>
        <v>-1468799</v>
      </c>
      <c r="G33" s="32">
        <f t="shared" si="3"/>
        <v>-1316269</v>
      </c>
    </row>
    <row r="34" spans="1:7" ht="31.5" customHeight="1">
      <c r="A34" s="22"/>
      <c r="B34" s="22" t="s">
        <v>20</v>
      </c>
      <c r="C34" s="32">
        <v>2101775</v>
      </c>
      <c r="D34" s="32">
        <v>3941291</v>
      </c>
      <c r="E34" s="32">
        <v>0</v>
      </c>
      <c r="F34" s="32">
        <f t="shared" si="2"/>
        <v>-3941291</v>
      </c>
      <c r="G34" s="32">
        <f t="shared" si="3"/>
        <v>-2101775</v>
      </c>
    </row>
    <row r="35" spans="1:7" ht="31.5" customHeight="1">
      <c r="A35" s="22"/>
      <c r="B35" s="22" t="s">
        <v>151</v>
      </c>
      <c r="C35" s="32">
        <v>0</v>
      </c>
      <c r="D35" s="32">
        <v>0</v>
      </c>
      <c r="E35" s="32">
        <v>0</v>
      </c>
      <c r="F35" s="32">
        <f t="shared" si="2"/>
        <v>0</v>
      </c>
      <c r="G35" s="32">
        <f t="shared" si="3"/>
        <v>0</v>
      </c>
    </row>
    <row r="36" spans="1:7" ht="31.5" customHeight="1">
      <c r="A36" s="22"/>
      <c r="B36" s="22" t="s">
        <v>224</v>
      </c>
      <c r="C36" s="32">
        <v>963069</v>
      </c>
      <c r="D36" s="32">
        <v>445107</v>
      </c>
      <c r="E36" s="32">
        <v>0</v>
      </c>
      <c r="F36" s="32">
        <f t="shared" si="2"/>
        <v>-445107</v>
      </c>
      <c r="G36" s="32">
        <f t="shared" si="3"/>
        <v>-963069</v>
      </c>
    </row>
    <row r="37" spans="1:7" ht="31.5" customHeight="1">
      <c r="A37" s="137" t="s">
        <v>48</v>
      </c>
      <c r="B37" s="137" t="s">
        <v>60</v>
      </c>
      <c r="C37" s="142">
        <f>C25+C19</f>
        <v>4529993</v>
      </c>
      <c r="D37" s="142">
        <f>D25+D19</f>
        <v>6049983</v>
      </c>
      <c r="E37" s="142">
        <f>E25+E19</f>
        <v>0</v>
      </c>
      <c r="F37" s="142">
        <f>F25+F19</f>
        <v>-6049983</v>
      </c>
      <c r="G37" s="142">
        <f>G25+G19</f>
        <v>-4529993</v>
      </c>
    </row>
    <row r="38" spans="3:5" ht="15">
      <c r="C38" s="16"/>
      <c r="D38" s="16"/>
      <c r="E38" s="16"/>
    </row>
    <row r="40" spans="3:5" ht="15">
      <c r="C40" s="16"/>
      <c r="D40" s="16"/>
      <c r="E40" s="16"/>
    </row>
    <row r="41" spans="3:5" ht="15">
      <c r="C41" s="16"/>
      <c r="D41" s="16"/>
      <c r="E41" s="16"/>
    </row>
  </sheetData>
  <sheetProtection/>
  <mergeCells count="2">
    <mergeCell ref="A1:E1"/>
    <mergeCell ref="C2:E2"/>
  </mergeCells>
  <printOptions/>
  <pageMargins left="0.2755905511811024" right="0.2755905511811024" top="0.984251968503937" bottom="0.4330708661417323" header="0.5118110236220472" footer="0.1968503937007874"/>
  <pageSetup fitToHeight="2" horizontalDpi="600" verticalDpi="600" orientation="landscape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3. sz. melléklet a .../2016.(...) sz. határozathoz
</oddHeader>
    <oddFooter xml:space="preserve">&amp;L&amp;"Times New Roman,Normál"&amp;9&amp;D &amp;T&amp;R&amp;"Times New Roman,Normál"&amp;9&amp;Z &amp;F </oddFooter>
  </headerFooter>
  <rowBreaks count="2" manualBreakCount="2">
    <brk id="16" max="255" man="1"/>
    <brk id="3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1"/>
  <sheetViews>
    <sheetView view="pageBreakPreview" zoomScale="75" zoomScaleNormal="75" zoomScaleSheetLayoutView="75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17" sqref="C17:G31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1" spans="1:5" ht="36.75" customHeight="1">
      <c r="A1" s="269" t="s">
        <v>180</v>
      </c>
      <c r="B1" s="269"/>
      <c r="C1" s="269"/>
      <c r="D1" s="269"/>
      <c r="E1" s="269"/>
    </row>
    <row r="2" spans="1:2" ht="31.5" customHeight="1">
      <c r="A2" s="11"/>
      <c r="B2" s="10"/>
    </row>
    <row r="3" spans="1:8" ht="46.5">
      <c r="A3" s="21" t="s">
        <v>8</v>
      </c>
      <c r="B3" s="21" t="s">
        <v>7</v>
      </c>
      <c r="C3" s="5" t="s">
        <v>150</v>
      </c>
      <c r="D3" s="5" t="s">
        <v>239</v>
      </c>
      <c r="E3" s="5" t="s">
        <v>238</v>
      </c>
      <c r="F3" s="5" t="s">
        <v>236</v>
      </c>
      <c r="G3" s="5" t="s">
        <v>237</v>
      </c>
      <c r="H3" s="5"/>
    </row>
    <row r="4" spans="1:5" ht="31.5" customHeight="1">
      <c r="A4" s="134"/>
      <c r="B4" s="270" t="s">
        <v>0</v>
      </c>
      <c r="C4" s="271"/>
      <c r="D4" s="271"/>
      <c r="E4" s="272"/>
    </row>
    <row r="5" spans="1:7" ht="31.5" customHeight="1">
      <c r="A5" s="137" t="s">
        <v>4</v>
      </c>
      <c r="B5" s="143" t="s">
        <v>218</v>
      </c>
      <c r="C5" s="151">
        <f>C6+C7</f>
        <v>0</v>
      </c>
      <c r="D5" s="151">
        <f>D6+D7</f>
        <v>25386</v>
      </c>
      <c r="E5" s="151">
        <f>E6+E7</f>
        <v>0</v>
      </c>
      <c r="F5" s="151">
        <f>F6+F7</f>
        <v>-25386</v>
      </c>
      <c r="G5" s="151">
        <f>G6+G7</f>
        <v>0</v>
      </c>
    </row>
    <row r="6" spans="1:7" ht="31.5" customHeight="1">
      <c r="A6" s="150"/>
      <c r="B6" s="22" t="s">
        <v>53</v>
      </c>
      <c r="C6" s="32">
        <v>0</v>
      </c>
      <c r="D6" s="32">
        <f>D22</f>
        <v>5762</v>
      </c>
      <c r="E6" s="32">
        <v>0</v>
      </c>
      <c r="F6" s="32">
        <f>E6-D6</f>
        <v>-5762</v>
      </c>
      <c r="G6" s="32">
        <f>E6-C6</f>
        <v>0</v>
      </c>
    </row>
    <row r="7" spans="1:7" ht="31.5" customHeight="1">
      <c r="A7" s="150"/>
      <c r="B7" s="22" t="s">
        <v>52</v>
      </c>
      <c r="C7" s="32">
        <v>0</v>
      </c>
      <c r="D7" s="32">
        <v>19624</v>
      </c>
      <c r="E7" s="32">
        <v>0</v>
      </c>
      <c r="F7" s="32">
        <f>E7-D7</f>
        <v>-19624</v>
      </c>
      <c r="G7" s="32">
        <f>E7-C7</f>
        <v>0</v>
      </c>
    </row>
    <row r="8" spans="1:7" ht="31.5" customHeight="1">
      <c r="A8" s="137" t="s">
        <v>5</v>
      </c>
      <c r="B8" s="143" t="s">
        <v>217</v>
      </c>
      <c r="C8" s="151">
        <f>C9+C10+C11+C13</f>
        <v>1279080</v>
      </c>
      <c r="D8" s="151">
        <f>D9+D10+D11+D13</f>
        <v>1442302</v>
      </c>
      <c r="E8" s="151">
        <f>E9+E10+E11+E13</f>
        <v>0</v>
      </c>
      <c r="F8" s="151">
        <f>F9+F10+F11+F13</f>
        <v>-1442302</v>
      </c>
      <c r="G8" s="151">
        <f>G9+G10+G11+G13</f>
        <v>-1279080</v>
      </c>
    </row>
    <row r="9" spans="1:7" ht="31.5" customHeight="1">
      <c r="A9" s="22"/>
      <c r="B9" s="22" t="s">
        <v>53</v>
      </c>
      <c r="C9" s="32">
        <v>271080</v>
      </c>
      <c r="D9" s="32">
        <f>D29</f>
        <v>306266</v>
      </c>
      <c r="E9" s="32">
        <v>0</v>
      </c>
      <c r="F9" s="32">
        <f>E9-D9</f>
        <v>-306266</v>
      </c>
      <c r="G9" s="32">
        <f>E9-C9</f>
        <v>-271080</v>
      </c>
    </row>
    <row r="10" spans="1:7" s="2" customFormat="1" ht="31.5" customHeight="1">
      <c r="A10" s="22"/>
      <c r="B10" s="22" t="s">
        <v>52</v>
      </c>
      <c r="C10" s="32">
        <v>926957</v>
      </c>
      <c r="D10" s="32">
        <v>1043121</v>
      </c>
      <c r="E10" s="32">
        <v>0</v>
      </c>
      <c r="F10" s="32">
        <f>E10-D10</f>
        <v>-1043121</v>
      </c>
      <c r="G10" s="32">
        <f>E10-C10</f>
        <v>-926957</v>
      </c>
    </row>
    <row r="11" spans="1:7" s="2" customFormat="1" ht="29.25" customHeight="1">
      <c r="A11" s="22"/>
      <c r="B11" s="22" t="s">
        <v>183</v>
      </c>
      <c r="C11" s="32">
        <v>81043</v>
      </c>
      <c r="D11" s="32">
        <v>11872</v>
      </c>
      <c r="E11" s="32">
        <v>0</v>
      </c>
      <c r="F11" s="32">
        <f>E11-D11</f>
        <v>-11872</v>
      </c>
      <c r="G11" s="32">
        <f>E11-C11</f>
        <v>-81043</v>
      </c>
    </row>
    <row r="12" spans="1:7" s="2" customFormat="1" ht="31.5" customHeight="1" hidden="1">
      <c r="A12" s="22" t="s">
        <v>6</v>
      </c>
      <c r="B12" s="22" t="s">
        <v>183</v>
      </c>
      <c r="C12" s="32"/>
      <c r="D12" s="32"/>
      <c r="E12" s="32"/>
      <c r="F12" s="32">
        <f>E12-D12</f>
        <v>0</v>
      </c>
      <c r="G12" s="32">
        <f>E12-C12</f>
        <v>0</v>
      </c>
    </row>
    <row r="13" spans="1:7" s="2" customFormat="1" ht="31.5" customHeight="1">
      <c r="A13" s="22"/>
      <c r="B13" s="22" t="s">
        <v>219</v>
      </c>
      <c r="C13" s="32">
        <v>0</v>
      </c>
      <c r="D13" s="32">
        <v>81043</v>
      </c>
      <c r="E13" s="32">
        <v>0</v>
      </c>
      <c r="F13" s="32">
        <f>E13-D13</f>
        <v>-81043</v>
      </c>
      <c r="G13" s="32">
        <f>E13-C13</f>
        <v>0</v>
      </c>
    </row>
    <row r="14" spans="1:7" ht="31.5" customHeight="1">
      <c r="A14" s="137" t="s">
        <v>48</v>
      </c>
      <c r="B14" s="137" t="s">
        <v>27</v>
      </c>
      <c r="C14" s="142">
        <f>C5+C8</f>
        <v>1279080</v>
      </c>
      <c r="D14" s="142">
        <f>D5+D8</f>
        <v>1467688</v>
      </c>
      <c r="E14" s="142">
        <f>E5+E8</f>
        <v>0</v>
      </c>
      <c r="F14" s="142">
        <f>F5+F8</f>
        <v>-1467688</v>
      </c>
      <c r="G14" s="142">
        <f>G5+G8</f>
        <v>-1279080</v>
      </c>
    </row>
    <row r="15" spans="1:7" ht="31.5" customHeight="1">
      <c r="A15" s="27"/>
      <c r="B15" s="28"/>
      <c r="C15" s="118"/>
      <c r="D15" s="118"/>
      <c r="E15" s="13"/>
      <c r="F15" s="34"/>
      <c r="G15" s="118"/>
    </row>
    <row r="16" spans="1:5" ht="31.5" customHeight="1">
      <c r="A16" s="4"/>
      <c r="B16" s="270" t="s">
        <v>9</v>
      </c>
      <c r="C16" s="271"/>
      <c r="D16" s="271"/>
      <c r="E16" s="272"/>
    </row>
    <row r="17" spans="1:7" ht="31.5" customHeight="1">
      <c r="A17" s="137" t="s">
        <v>199</v>
      </c>
      <c r="B17" s="143" t="s">
        <v>211</v>
      </c>
      <c r="C17" s="142">
        <f>C18+C19+C20+C21+C22</f>
        <v>0</v>
      </c>
      <c r="D17" s="142">
        <f>D18+D19+D20+D21+D22</f>
        <v>27102</v>
      </c>
      <c r="E17" s="142">
        <f>E18+E19+E20+E21+E22</f>
        <v>0</v>
      </c>
      <c r="F17" s="142">
        <f>F18+F19+F20+F21+F22</f>
        <v>-27102</v>
      </c>
      <c r="G17" s="142">
        <f>G18+G19+G20+G21+G22</f>
        <v>0</v>
      </c>
    </row>
    <row r="18" spans="1:7" ht="31.5" customHeight="1">
      <c r="A18" s="22"/>
      <c r="B18" s="22" t="s">
        <v>13</v>
      </c>
      <c r="C18" s="32">
        <v>0</v>
      </c>
      <c r="D18" s="32">
        <v>7650</v>
      </c>
      <c r="E18" s="32">
        <v>0</v>
      </c>
      <c r="F18" s="32">
        <f>E18-D18</f>
        <v>-7650</v>
      </c>
      <c r="G18" s="32">
        <f>E18-C18</f>
        <v>0</v>
      </c>
    </row>
    <row r="19" spans="1:9" ht="31.5" customHeight="1">
      <c r="A19" s="22"/>
      <c r="B19" s="22" t="s">
        <v>14</v>
      </c>
      <c r="C19" s="32">
        <v>0</v>
      </c>
      <c r="D19" s="32">
        <v>3990</v>
      </c>
      <c r="E19" s="32">
        <v>0</v>
      </c>
      <c r="F19" s="32">
        <f>E19-D19</f>
        <v>-3990</v>
      </c>
      <c r="G19" s="32">
        <f>E19-C19</f>
        <v>0</v>
      </c>
      <c r="I19" s="1">
        <f>(D18+D19+D20)*0.9196</f>
        <v>19624.264</v>
      </c>
    </row>
    <row r="20" spans="1:9" ht="31.5" customHeight="1">
      <c r="A20" s="22"/>
      <c r="B20" s="22" t="s">
        <v>15</v>
      </c>
      <c r="C20" s="32">
        <v>0</v>
      </c>
      <c r="D20" s="32">
        <v>9700</v>
      </c>
      <c r="E20" s="32">
        <v>0</v>
      </c>
      <c r="F20" s="32">
        <f>E20-D20</f>
        <v>-9700</v>
      </c>
      <c r="G20" s="32">
        <f>E20-C20</f>
        <v>0</v>
      </c>
      <c r="I20" s="1">
        <f>D28*0.9196</f>
        <v>1043120.672</v>
      </c>
    </row>
    <row r="21" spans="1:7" ht="31.5" customHeight="1">
      <c r="A21" s="22"/>
      <c r="B21" s="22" t="s">
        <v>179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216</v>
      </c>
      <c r="C22" s="32">
        <v>0</v>
      </c>
      <c r="D22" s="32">
        <v>5762</v>
      </c>
      <c r="E22" s="32">
        <v>0</v>
      </c>
      <c r="F22" s="32">
        <f>E22-D22</f>
        <v>-5762</v>
      </c>
      <c r="G22" s="32">
        <f>E22-C22</f>
        <v>0</v>
      </c>
    </row>
    <row r="23" spans="1:7" ht="31.5" customHeight="1">
      <c r="A23" s="137" t="s">
        <v>4</v>
      </c>
      <c r="B23" s="137" t="s">
        <v>25</v>
      </c>
      <c r="C23" s="142">
        <f>SUM(C24:C29)</f>
        <v>1275080</v>
      </c>
      <c r="D23" s="142">
        <f>SUM(D24:D29)</f>
        <v>1440586</v>
      </c>
      <c r="E23" s="142">
        <f>SUM(E24:E29)</f>
        <v>0</v>
      </c>
      <c r="F23" s="142">
        <f>SUM(F24:F29)</f>
        <v>-1440586</v>
      </c>
      <c r="G23" s="142">
        <f>SUM(G24:G29)</f>
        <v>-1275080</v>
      </c>
    </row>
    <row r="24" spans="1:7" ht="31.5" customHeight="1">
      <c r="A24" s="22"/>
      <c r="B24" s="22" t="s">
        <v>13</v>
      </c>
      <c r="C24" s="32">
        <v>7700</v>
      </c>
      <c r="D24" s="32">
        <v>0</v>
      </c>
      <c r="E24" s="32">
        <v>0</v>
      </c>
      <c r="F24" s="32">
        <f aca="true" t="shared" si="0" ref="F24:F29">E24-D24</f>
        <v>0</v>
      </c>
      <c r="G24" s="32">
        <f aca="true" t="shared" si="1" ref="G24:G29">E24-C24</f>
        <v>-7700</v>
      </c>
    </row>
    <row r="25" spans="1:7" ht="31.5" customHeight="1">
      <c r="A25" s="22"/>
      <c r="B25" s="22" t="s">
        <v>14</v>
      </c>
      <c r="C25" s="32">
        <v>2000</v>
      </c>
      <c r="D25" s="32">
        <v>0</v>
      </c>
      <c r="E25" s="32">
        <v>0</v>
      </c>
      <c r="F25" s="32">
        <f t="shared" si="0"/>
        <v>0</v>
      </c>
      <c r="G25" s="32">
        <f t="shared" si="1"/>
        <v>-2000</v>
      </c>
    </row>
    <row r="26" spans="1:7" ht="31.5" customHeight="1">
      <c r="A26" s="22"/>
      <c r="B26" s="22" t="s">
        <v>15</v>
      </c>
      <c r="C26" s="32">
        <v>9800</v>
      </c>
      <c r="D26" s="32">
        <v>0</v>
      </c>
      <c r="E26" s="32">
        <v>0</v>
      </c>
      <c r="F26" s="32">
        <f t="shared" si="0"/>
        <v>0</v>
      </c>
      <c r="G26" s="32">
        <f t="shared" si="1"/>
        <v>-9800</v>
      </c>
    </row>
    <row r="27" spans="1:7" ht="31.5" customHeight="1">
      <c r="A27" s="22"/>
      <c r="B27" s="22" t="s">
        <v>179</v>
      </c>
      <c r="C27" s="32">
        <v>3000</v>
      </c>
      <c r="D27" s="32">
        <v>0</v>
      </c>
      <c r="E27" s="32">
        <v>0</v>
      </c>
      <c r="F27" s="32">
        <f t="shared" si="0"/>
        <v>0</v>
      </c>
      <c r="G27" s="32">
        <f t="shared" si="1"/>
        <v>-3000</v>
      </c>
    </row>
    <row r="28" spans="1:7" ht="30.75" customHeight="1">
      <c r="A28" s="22"/>
      <c r="B28" s="22" t="s">
        <v>39</v>
      </c>
      <c r="C28" s="32">
        <v>981500</v>
      </c>
      <c r="D28" s="32">
        <v>1134320</v>
      </c>
      <c r="E28" s="32">
        <v>0</v>
      </c>
      <c r="F28" s="32">
        <f t="shared" si="0"/>
        <v>-1134320</v>
      </c>
      <c r="G28" s="32">
        <f t="shared" si="1"/>
        <v>-981500</v>
      </c>
    </row>
    <row r="29" spans="1:7" ht="31.5" customHeight="1">
      <c r="A29" s="22"/>
      <c r="B29" s="22" t="s">
        <v>220</v>
      </c>
      <c r="C29" s="32">
        <v>271080</v>
      </c>
      <c r="D29" s="32">
        <v>306266</v>
      </c>
      <c r="E29" s="32">
        <v>0</v>
      </c>
      <c r="F29" s="32">
        <f t="shared" si="0"/>
        <v>-306266</v>
      </c>
      <c r="G29" s="32">
        <f t="shared" si="1"/>
        <v>-271080</v>
      </c>
    </row>
    <row r="30" spans="1:7" ht="31.5" customHeight="1" hidden="1">
      <c r="A30" s="22" t="s">
        <v>6</v>
      </c>
      <c r="B30" s="22" t="s">
        <v>66</v>
      </c>
      <c r="C30" s="32">
        <v>0</v>
      </c>
      <c r="D30" s="32"/>
      <c r="E30" s="136"/>
      <c r="F30" s="32"/>
      <c r="G30" s="32"/>
    </row>
    <row r="31" spans="1:7" ht="31.5" customHeight="1">
      <c r="A31" s="137" t="s">
        <v>48</v>
      </c>
      <c r="B31" s="137" t="s">
        <v>60</v>
      </c>
      <c r="C31" s="142">
        <f>C17+C23</f>
        <v>1275080</v>
      </c>
      <c r="D31" s="142">
        <f>D17+D23</f>
        <v>1467688</v>
      </c>
      <c r="E31" s="142">
        <f>E17+E23</f>
        <v>0</v>
      </c>
      <c r="F31" s="142">
        <f>F17+F23</f>
        <v>-1467688</v>
      </c>
      <c r="G31" s="142">
        <f>G17+G23</f>
        <v>-1275080</v>
      </c>
    </row>
  </sheetData>
  <sheetProtection/>
  <mergeCells count="3">
    <mergeCell ref="A1:E1"/>
    <mergeCell ref="B4:E4"/>
    <mergeCell ref="B16:E16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4.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view="pageBreakPreview" zoomScale="75" zoomScaleNormal="75" zoomScaleSheetLayoutView="75" zoomScalePageLayoutView="0" workbookViewId="0" topLeftCell="A1">
      <pane xSplit="2" ySplit="2" topLeftCell="C15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K12" sqref="K12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7" width="15.7109375" style="1" customWidth="1"/>
    <col min="8" max="16384" width="9.140625" style="1" customWidth="1"/>
  </cols>
  <sheetData>
    <row r="1" spans="1:5" ht="36.75" customHeight="1">
      <c r="A1" s="269" t="s">
        <v>210</v>
      </c>
      <c r="B1" s="269"/>
      <c r="C1" s="269"/>
      <c r="D1" s="269"/>
      <c r="E1" s="269"/>
    </row>
    <row r="2" spans="1:2" ht="31.5" customHeight="1">
      <c r="A2" s="11"/>
      <c r="B2" s="10"/>
    </row>
    <row r="3" spans="1:7" ht="46.5">
      <c r="A3" s="21" t="s">
        <v>8</v>
      </c>
      <c r="B3" s="21" t="s">
        <v>7</v>
      </c>
      <c r="C3" s="5" t="s">
        <v>150</v>
      </c>
      <c r="D3" s="5" t="s">
        <v>235</v>
      </c>
      <c r="E3" s="5" t="s">
        <v>238</v>
      </c>
      <c r="F3" s="5" t="s">
        <v>236</v>
      </c>
      <c r="G3" s="5" t="s">
        <v>237</v>
      </c>
    </row>
    <row r="4" spans="1:7" ht="31.5" customHeight="1">
      <c r="A4" s="22"/>
      <c r="B4" s="143" t="s">
        <v>0</v>
      </c>
      <c r="C4" s="70"/>
      <c r="D4" s="122"/>
      <c r="F4" s="122"/>
      <c r="G4" s="122"/>
    </row>
    <row r="5" spans="1:7" s="2" customFormat="1" ht="31.5" customHeight="1">
      <c r="A5" s="22" t="s">
        <v>214</v>
      </c>
      <c r="B5" s="22" t="s">
        <v>215</v>
      </c>
      <c r="C5" s="33">
        <f>SUM(C6:C6)</f>
        <v>0</v>
      </c>
      <c r="D5" s="33">
        <f>SUM(D6:D6)</f>
        <v>90946</v>
      </c>
      <c r="E5" s="33">
        <f>SUM(E6:E6)</f>
        <v>0</v>
      </c>
      <c r="F5" s="33">
        <f>SUM(F6:F6)</f>
        <v>-90946</v>
      </c>
      <c r="G5" s="33">
        <f>SUM(G6:G6)</f>
        <v>0</v>
      </c>
    </row>
    <row r="6" spans="1:7" s="2" customFormat="1" ht="31.5" customHeight="1">
      <c r="A6" s="22"/>
      <c r="B6" s="22" t="s">
        <v>52</v>
      </c>
      <c r="C6" s="32">
        <v>0</v>
      </c>
      <c r="D6" s="32">
        <v>90946</v>
      </c>
      <c r="E6" s="32">
        <v>0</v>
      </c>
      <c r="F6" s="32">
        <f>E6-D6</f>
        <v>-90946</v>
      </c>
      <c r="G6" s="32">
        <f>E6-C6</f>
        <v>0</v>
      </c>
    </row>
    <row r="7" spans="1:7" s="2" customFormat="1" ht="31.5" customHeight="1">
      <c r="A7" s="22"/>
      <c r="B7" s="22" t="s">
        <v>234</v>
      </c>
      <c r="C7" s="32">
        <v>0</v>
      </c>
      <c r="D7" s="32">
        <v>36627</v>
      </c>
      <c r="E7" s="32">
        <v>0</v>
      </c>
      <c r="F7" s="32">
        <f>E7-D7</f>
        <v>-36627</v>
      </c>
      <c r="G7" s="32">
        <f>E7-C7</f>
        <v>0</v>
      </c>
    </row>
    <row r="8" spans="1:7" s="2" customFormat="1" ht="31.5" customHeight="1">
      <c r="A8" s="22" t="s">
        <v>230</v>
      </c>
      <c r="B8" s="22" t="s">
        <v>51</v>
      </c>
      <c r="C8" s="135">
        <f>C9</f>
        <v>0</v>
      </c>
      <c r="D8" s="135">
        <f>D9</f>
        <v>9701377</v>
      </c>
      <c r="E8" s="135">
        <f>E9</f>
        <v>0</v>
      </c>
      <c r="F8" s="135">
        <f>F9</f>
        <v>-9701377</v>
      </c>
      <c r="G8" s="135">
        <f>G9</f>
        <v>0</v>
      </c>
    </row>
    <row r="9" spans="1:7" s="2" customFormat="1" ht="31.5" customHeight="1">
      <c r="A9" s="22"/>
      <c r="B9" s="22" t="s">
        <v>52</v>
      </c>
      <c r="C9" s="32">
        <v>0</v>
      </c>
      <c r="D9" s="32">
        <v>9701377</v>
      </c>
      <c r="E9" s="32">
        <v>0</v>
      </c>
      <c r="F9" s="32">
        <f>E9-D9</f>
        <v>-9701377</v>
      </c>
      <c r="G9" s="32">
        <f>E9-C9</f>
        <v>0</v>
      </c>
    </row>
    <row r="10" spans="1:7" s="2" customFormat="1" ht="31.5" customHeight="1">
      <c r="A10" s="22"/>
      <c r="B10" s="22" t="s">
        <v>234</v>
      </c>
      <c r="C10" s="32">
        <v>0</v>
      </c>
      <c r="D10" s="32">
        <v>1744283</v>
      </c>
      <c r="E10" s="32">
        <v>0</v>
      </c>
      <c r="F10" s="32">
        <f>E10-D10</f>
        <v>-1744283</v>
      </c>
      <c r="G10" s="32">
        <f>E10-C10</f>
        <v>0</v>
      </c>
    </row>
    <row r="11" spans="1:7" ht="31.5" customHeight="1">
      <c r="A11" s="22" t="s">
        <v>4</v>
      </c>
      <c r="B11" s="22" t="s">
        <v>27</v>
      </c>
      <c r="C11" s="33">
        <f>C5+C8</f>
        <v>0</v>
      </c>
      <c r="D11" s="33">
        <f>D5+D8</f>
        <v>9792323</v>
      </c>
      <c r="E11" s="33">
        <f>E5+E8</f>
        <v>0</v>
      </c>
      <c r="F11" s="33">
        <f>F5+F8</f>
        <v>-9792323</v>
      </c>
      <c r="G11" s="33">
        <f>G5+G8</f>
        <v>0</v>
      </c>
    </row>
    <row r="12" spans="1:7" ht="31.5" customHeight="1">
      <c r="A12" s="144"/>
      <c r="B12" s="145"/>
      <c r="C12" s="140"/>
      <c r="D12" s="140"/>
      <c r="E12" s="32"/>
      <c r="F12" s="140"/>
      <c r="G12" s="140"/>
    </row>
    <row r="13" spans="1:7" ht="31.5" customHeight="1">
      <c r="A13" s="22"/>
      <c r="B13" s="143" t="s">
        <v>9</v>
      </c>
      <c r="C13" s="33"/>
      <c r="D13" s="33"/>
      <c r="E13" s="32"/>
      <c r="F13" s="33"/>
      <c r="G13" s="33"/>
    </row>
    <row r="14" spans="1:7" ht="31.5" customHeight="1">
      <c r="A14" s="22" t="s">
        <v>4</v>
      </c>
      <c r="B14" s="22" t="s">
        <v>211</v>
      </c>
      <c r="C14" s="33">
        <f>C15+C16+C17+C18+C19+C22+C23</f>
        <v>0</v>
      </c>
      <c r="D14" s="33">
        <f>D15+D16+D17+D18+D19+D22+D23</f>
        <v>90946</v>
      </c>
      <c r="E14" s="33">
        <f>E15+E16+E17+E18+E19+E22+E23</f>
        <v>0</v>
      </c>
      <c r="F14" s="33">
        <f>F15+F16+F17+F18+F19+F22+F23</f>
        <v>-90946</v>
      </c>
      <c r="G14" s="33">
        <f>G15+G16+G17+G18+G19+G22+G23</f>
        <v>0</v>
      </c>
    </row>
    <row r="15" spans="1:7" ht="31.5" customHeight="1">
      <c r="A15" s="22"/>
      <c r="B15" s="22" t="s">
        <v>13</v>
      </c>
      <c r="C15" s="32">
        <v>0</v>
      </c>
      <c r="D15" s="32">
        <v>9880</v>
      </c>
      <c r="E15" s="32">
        <v>0</v>
      </c>
      <c r="F15" s="32">
        <f>E15-D15</f>
        <v>-9880</v>
      </c>
      <c r="G15" s="32">
        <f>E15-C15</f>
        <v>0</v>
      </c>
    </row>
    <row r="16" spans="1:7" ht="31.5" customHeight="1">
      <c r="A16" s="22"/>
      <c r="B16" s="22" t="s">
        <v>14</v>
      </c>
      <c r="C16" s="32">
        <v>0</v>
      </c>
      <c r="D16" s="32">
        <v>28000</v>
      </c>
      <c r="E16" s="32">
        <v>0</v>
      </c>
      <c r="F16" s="32">
        <f>E16-D16</f>
        <v>-28000</v>
      </c>
      <c r="G16" s="32">
        <f>E16-C16</f>
        <v>0</v>
      </c>
    </row>
    <row r="17" spans="1:7" ht="31.5" customHeight="1">
      <c r="A17" s="22"/>
      <c r="B17" s="22" t="s">
        <v>15</v>
      </c>
      <c r="C17" s="32">
        <v>0</v>
      </c>
      <c r="D17" s="32">
        <v>4890</v>
      </c>
      <c r="E17" s="32">
        <v>0</v>
      </c>
      <c r="F17" s="32">
        <f>E17-D17</f>
        <v>-4890</v>
      </c>
      <c r="G17" s="32">
        <f>E17-C17</f>
        <v>0</v>
      </c>
    </row>
    <row r="18" spans="1:7" ht="31.5" customHeight="1">
      <c r="A18" s="22"/>
      <c r="B18" s="22" t="s">
        <v>212</v>
      </c>
      <c r="C18" s="32">
        <v>0</v>
      </c>
      <c r="D18" s="32">
        <v>0</v>
      </c>
      <c r="E18" s="32">
        <v>0</v>
      </c>
      <c r="F18" s="32">
        <f>E18-D18</f>
        <v>0</v>
      </c>
      <c r="G18" s="32">
        <f>E18-C18</f>
        <v>0</v>
      </c>
    </row>
    <row r="19" spans="1:7" ht="30.75" customHeight="1">
      <c r="A19" s="22"/>
      <c r="B19" s="22" t="s">
        <v>226</v>
      </c>
      <c r="C19" s="135">
        <f>C20+C21</f>
        <v>0</v>
      </c>
      <c r="D19" s="135">
        <f>D20+D21</f>
        <v>0</v>
      </c>
      <c r="E19" s="135">
        <f>E20+E21</f>
        <v>0</v>
      </c>
      <c r="F19" s="135">
        <f>F20+F21</f>
        <v>0</v>
      </c>
      <c r="G19" s="135">
        <f>G20+G21</f>
        <v>0</v>
      </c>
    </row>
    <row r="20" spans="1:7" ht="30.75" customHeight="1">
      <c r="A20" s="22"/>
      <c r="B20" s="22" t="s">
        <v>227</v>
      </c>
      <c r="C20" s="32">
        <v>0</v>
      </c>
      <c r="D20" s="32">
        <v>0</v>
      </c>
      <c r="E20" s="32">
        <v>0</v>
      </c>
      <c r="F20" s="32">
        <f>E20-D20</f>
        <v>0</v>
      </c>
      <c r="G20" s="32">
        <f>E20-C20</f>
        <v>0</v>
      </c>
    </row>
    <row r="21" spans="1:7" ht="30.75" customHeight="1">
      <c r="A21" s="22"/>
      <c r="B21" s="22" t="s">
        <v>228</v>
      </c>
      <c r="C21" s="32">
        <v>0</v>
      </c>
      <c r="D21" s="32">
        <v>0</v>
      </c>
      <c r="E21" s="32">
        <v>0</v>
      </c>
      <c r="F21" s="32">
        <f>E21-D21</f>
        <v>0</v>
      </c>
      <c r="G21" s="32">
        <f>E21-C21</f>
        <v>0</v>
      </c>
    </row>
    <row r="22" spans="1:7" ht="31.5" customHeight="1">
      <c r="A22" s="22"/>
      <c r="B22" s="22" t="s">
        <v>213</v>
      </c>
      <c r="C22" s="32">
        <v>0</v>
      </c>
      <c r="D22" s="32">
        <v>11548</v>
      </c>
      <c r="E22" s="32">
        <v>0</v>
      </c>
      <c r="F22" s="32">
        <f>E22-D22</f>
        <v>-11548</v>
      </c>
      <c r="G22" s="32">
        <f>E22-C22</f>
        <v>0</v>
      </c>
    </row>
    <row r="23" spans="1:7" ht="47.25" customHeight="1">
      <c r="A23" s="22"/>
      <c r="B23" s="69" t="s">
        <v>233</v>
      </c>
      <c r="C23" s="32"/>
      <c r="D23" s="32">
        <v>36628</v>
      </c>
      <c r="E23" s="32">
        <v>0</v>
      </c>
      <c r="F23" s="32">
        <f>E23-D23</f>
        <v>-36628</v>
      </c>
      <c r="G23" s="32">
        <f>E23-C23</f>
        <v>0</v>
      </c>
    </row>
    <row r="24" spans="1:7" ht="31.5" customHeight="1">
      <c r="A24" s="22" t="s">
        <v>5</v>
      </c>
      <c r="B24" s="22" t="s">
        <v>229</v>
      </c>
      <c r="C24" s="135">
        <f>C25+C29+C30+C28</f>
        <v>0</v>
      </c>
      <c r="D24" s="135">
        <f>D25+D29+D30+D28</f>
        <v>9701377</v>
      </c>
      <c r="E24" s="135">
        <f>E25+E29+E30+E28</f>
        <v>0</v>
      </c>
      <c r="F24" s="135">
        <f>F25+F29+F30+F28</f>
        <v>-9701377</v>
      </c>
      <c r="G24" s="135">
        <f>G25+G29+G30+G28</f>
        <v>0</v>
      </c>
    </row>
    <row r="25" spans="1:7" ht="31.5" customHeight="1">
      <c r="A25" s="22"/>
      <c r="B25" s="22" t="s">
        <v>226</v>
      </c>
      <c r="C25" s="135">
        <f>C26+C27</f>
        <v>0</v>
      </c>
      <c r="D25" s="135">
        <f>D26+D27</f>
        <v>6254678</v>
      </c>
      <c r="E25" s="135">
        <f>E26+E27</f>
        <v>0</v>
      </c>
      <c r="F25" s="135">
        <f>F26+F27</f>
        <v>-6254678</v>
      </c>
      <c r="G25" s="135">
        <f>G26+G27</f>
        <v>0</v>
      </c>
    </row>
    <row r="26" spans="1:7" ht="31.5" customHeight="1">
      <c r="A26" s="22"/>
      <c r="B26" s="22" t="s">
        <v>227</v>
      </c>
      <c r="C26" s="32">
        <v>0</v>
      </c>
      <c r="D26" s="32">
        <v>4754127</v>
      </c>
      <c r="E26" s="32">
        <v>0</v>
      </c>
      <c r="F26" s="32">
        <f>E26-D26</f>
        <v>-4754127</v>
      </c>
      <c r="G26" s="32">
        <f>E26-C26</f>
        <v>0</v>
      </c>
    </row>
    <row r="27" spans="1:7" ht="31.5" customHeight="1">
      <c r="A27" s="22"/>
      <c r="B27" s="22" t="s">
        <v>228</v>
      </c>
      <c r="C27" s="32">
        <v>0</v>
      </c>
      <c r="D27" s="32">
        <v>1500551</v>
      </c>
      <c r="E27" s="32">
        <v>0</v>
      </c>
      <c r="F27" s="32">
        <f>E27-D27</f>
        <v>-1500551</v>
      </c>
      <c r="G27" s="32">
        <f>E27-C27</f>
        <v>0</v>
      </c>
    </row>
    <row r="28" spans="1:7" ht="31.5" customHeight="1">
      <c r="A28" s="22"/>
      <c r="B28" s="22" t="s">
        <v>212</v>
      </c>
      <c r="C28" s="32">
        <v>0</v>
      </c>
      <c r="D28" s="32">
        <v>10750</v>
      </c>
      <c r="E28" s="32">
        <v>0</v>
      </c>
      <c r="F28" s="32">
        <f>E28-D28</f>
        <v>-10750</v>
      </c>
      <c r="G28" s="32">
        <f>E28-C28</f>
        <v>0</v>
      </c>
    </row>
    <row r="29" spans="1:7" ht="31.5" customHeight="1">
      <c r="A29" s="22"/>
      <c r="B29" s="22" t="s">
        <v>220</v>
      </c>
      <c r="C29" s="32">
        <v>0</v>
      </c>
      <c r="D29" s="32">
        <v>1691666</v>
      </c>
      <c r="E29" s="32">
        <v>0</v>
      </c>
      <c r="F29" s="32">
        <f>E29-D29</f>
        <v>-1691666</v>
      </c>
      <c r="G29" s="32">
        <f>E29-C29</f>
        <v>0</v>
      </c>
    </row>
    <row r="30" spans="1:7" ht="39.75" customHeight="1">
      <c r="A30" s="22"/>
      <c r="B30" s="69" t="s">
        <v>232</v>
      </c>
      <c r="C30" s="32">
        <v>0</v>
      </c>
      <c r="D30" s="32">
        <v>1744283</v>
      </c>
      <c r="E30" s="32">
        <v>0</v>
      </c>
      <c r="F30" s="32">
        <f>E30-D30</f>
        <v>-1744283</v>
      </c>
      <c r="G30" s="32">
        <f>E30-C30</f>
        <v>0</v>
      </c>
    </row>
    <row r="31" spans="1:7" ht="31.5" customHeight="1">
      <c r="A31" s="22" t="s">
        <v>4</v>
      </c>
      <c r="B31" s="22" t="s">
        <v>60</v>
      </c>
      <c r="C31" s="33">
        <f>C14+C24</f>
        <v>0</v>
      </c>
      <c r="D31" s="33">
        <f>D14+D24</f>
        <v>9792323</v>
      </c>
      <c r="E31" s="33">
        <f>E14+E24</f>
        <v>0</v>
      </c>
      <c r="F31" s="33">
        <f>F14+F24</f>
        <v>-9792323</v>
      </c>
      <c r="G31" s="33">
        <f>G14+G24</f>
        <v>0</v>
      </c>
    </row>
    <row r="33" spans="1:5" ht="79.5" customHeight="1">
      <c r="A33" s="273"/>
      <c r="B33" s="274"/>
      <c r="C33" s="274"/>
      <c r="D33" s="274"/>
      <c r="E33" s="274"/>
    </row>
  </sheetData>
  <sheetProtection/>
  <mergeCells count="2">
    <mergeCell ref="A1:E1"/>
    <mergeCell ref="A33:E33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portrait" paperSize="9" scale="64" r:id="rId1"/>
  <headerFooter alignWithMargins="0">
    <oddHeader>&amp;L&amp;"Times New Roman,Normál"&amp;12 A Kaposmenti Hulladékgazdálkodási Társulás 2016. évre tervezett bevételei és kiadásai&amp;R&amp;"Times New Roman,Normál"&amp;9 &amp;10 &amp;12 5.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J31"/>
  <sheetViews>
    <sheetView view="pageBreakPreview" zoomScale="80" zoomScaleNormal="75" zoomScaleSheetLayoutView="80" zoomScalePageLayoutView="0" workbookViewId="0" topLeftCell="A1">
      <pane xSplit="2" ySplit="2" topLeftCell="C12" activePane="bottomRight" state="frozen"/>
      <selection pane="topLeft" activeCell="B78" sqref="B78"/>
      <selection pane="topRight" activeCell="B78" sqref="B78"/>
      <selection pane="bottomLeft" activeCell="B78" sqref="B78"/>
      <selection pane="bottomRight" activeCell="D30" sqref="D30"/>
    </sheetView>
  </sheetViews>
  <sheetFormatPr defaultColWidth="9.140625" defaultRowHeight="15"/>
  <cols>
    <col min="1" max="1" width="9.7109375" style="1" customWidth="1"/>
    <col min="2" max="2" width="63.7109375" style="1" bestFit="1" customWidth="1"/>
    <col min="3" max="3" width="18.00390625" style="16" customWidth="1"/>
    <col min="4" max="4" width="15.421875" style="16" customWidth="1"/>
    <col min="5" max="8" width="13.28125" style="1" customWidth="1"/>
    <col min="9" max="9" width="20.8515625" style="1" customWidth="1"/>
    <col min="10" max="10" width="11.7109375" style="1" bestFit="1" customWidth="1"/>
    <col min="11" max="16384" width="9.140625" style="1" customWidth="1"/>
  </cols>
  <sheetData>
    <row r="1" spans="1:3" ht="36.75" customHeight="1">
      <c r="A1" s="269" t="s">
        <v>69</v>
      </c>
      <c r="B1" s="269"/>
      <c r="C1" s="269"/>
    </row>
    <row r="2" spans="1:4" ht="31.5" customHeight="1">
      <c r="A2" s="11"/>
      <c r="B2" s="10"/>
      <c r="C2" s="19"/>
      <c r="D2" s="35"/>
    </row>
    <row r="3" spans="1:8" ht="46.5">
      <c r="A3" s="5" t="s">
        <v>8</v>
      </c>
      <c r="B3" s="5" t="s">
        <v>7</v>
      </c>
      <c r="C3" s="26" t="s">
        <v>149</v>
      </c>
      <c r="D3" s="5" t="s">
        <v>190</v>
      </c>
      <c r="E3" s="5" t="s">
        <v>150</v>
      </c>
      <c r="F3" s="5" t="s">
        <v>188</v>
      </c>
      <c r="G3" s="5" t="s">
        <v>189</v>
      </c>
      <c r="H3" s="5" t="s">
        <v>68</v>
      </c>
    </row>
    <row r="4" spans="1:8" ht="31.5" customHeight="1">
      <c r="A4" s="4"/>
      <c r="B4" s="7" t="s">
        <v>0</v>
      </c>
      <c r="C4" s="17"/>
      <c r="D4" s="17"/>
      <c r="E4" s="70"/>
      <c r="F4" s="70"/>
      <c r="G4" s="70"/>
      <c r="H4" s="4"/>
    </row>
    <row r="5" spans="1:10" ht="31.5" customHeight="1">
      <c r="A5" s="4" t="s">
        <v>4</v>
      </c>
      <c r="B5" s="4" t="s">
        <v>23</v>
      </c>
      <c r="C5" s="71">
        <f>SUM(C6)</f>
        <v>11870.630000000001</v>
      </c>
      <c r="D5" s="34">
        <f>SUM(D6)</f>
        <v>117311</v>
      </c>
      <c r="E5" s="34">
        <f>SUM(E6)</f>
        <v>963069.4800000001</v>
      </c>
      <c r="F5" s="34">
        <f>+E5+G5</f>
        <v>145007.4800000001</v>
      </c>
      <c r="G5" s="123">
        <f>SUM(G6)</f>
        <v>-818062</v>
      </c>
      <c r="H5" s="34">
        <f aca="true" t="shared" si="0" ref="H5:H13">SUM(C5,D5,F5)</f>
        <v>274189.1100000001</v>
      </c>
      <c r="I5" s="133"/>
      <c r="J5" s="119"/>
    </row>
    <row r="6" spans="1:8" ht="31.5" customHeight="1">
      <c r="A6" s="4"/>
      <c r="B6" s="4" t="s">
        <v>53</v>
      </c>
      <c r="C6" s="13">
        <f>+C28</f>
        <v>11870.630000000001</v>
      </c>
      <c r="D6" s="13">
        <v>117311</v>
      </c>
      <c r="E6" s="13">
        <f>+E28</f>
        <v>963069.4800000001</v>
      </c>
      <c r="F6" s="13">
        <f>+E6+G6</f>
        <v>145007.4800000001</v>
      </c>
      <c r="G6" s="13">
        <v>-818062</v>
      </c>
      <c r="H6" s="13">
        <f t="shared" si="0"/>
        <v>274189.1100000001</v>
      </c>
    </row>
    <row r="7" spans="1:8" s="2" customFormat="1" ht="31.5" customHeight="1">
      <c r="A7" s="4" t="s">
        <v>5</v>
      </c>
      <c r="B7" s="4" t="s">
        <v>51</v>
      </c>
      <c r="C7" s="71">
        <f>SUM(C8:C12)</f>
        <v>1295195</v>
      </c>
      <c r="D7" s="34">
        <f>SUM(D8:D12)</f>
        <v>561834</v>
      </c>
      <c r="E7" s="34">
        <f>SUM(E8:E12)</f>
        <v>3566924</v>
      </c>
      <c r="F7" s="34">
        <f>SUM(F8:F13)-F13</f>
        <v>4426005</v>
      </c>
      <c r="G7" s="34">
        <f>SUM(G8:G13)-G13</f>
        <v>-292252</v>
      </c>
      <c r="H7" s="34">
        <f>SUM(H8:H13)-H13</f>
        <v>6283034</v>
      </c>
    </row>
    <row r="8" spans="1:10" s="2" customFormat="1" ht="31.5" customHeight="1">
      <c r="A8" s="4"/>
      <c r="B8" s="4" t="s">
        <v>52</v>
      </c>
      <c r="C8" s="72">
        <v>1195235</v>
      </c>
      <c r="D8" s="13">
        <v>560572</v>
      </c>
      <c r="E8" s="13">
        <v>3210241</v>
      </c>
      <c r="F8" s="13">
        <v>4038750</v>
      </c>
      <c r="G8" s="13">
        <v>-322824</v>
      </c>
      <c r="H8" s="13">
        <f>SUM(C8,D8,F8)</f>
        <v>5794557</v>
      </c>
      <c r="I8" s="128">
        <f>SUM(H8,H13)</f>
        <v>6945890</v>
      </c>
      <c r="J8" s="129"/>
    </row>
    <row r="9" spans="1:9" s="2" customFormat="1" ht="31.5" customHeight="1">
      <c r="A9" s="4"/>
      <c r="B9" s="4" t="s">
        <v>54</v>
      </c>
      <c r="C9" s="72">
        <v>0</v>
      </c>
      <c r="D9" s="13">
        <v>1262</v>
      </c>
      <c r="E9" s="13">
        <v>196176</v>
      </c>
      <c r="F9" s="13">
        <f>+E9+G9</f>
        <v>212990</v>
      </c>
      <c r="G9" s="13">
        <v>16814</v>
      </c>
      <c r="H9" s="13">
        <f t="shared" si="0"/>
        <v>214252</v>
      </c>
      <c r="I9" s="73"/>
    </row>
    <row r="10" spans="1:9" s="2" customFormat="1" ht="29.25" customHeight="1">
      <c r="A10" s="4"/>
      <c r="B10" s="4" t="s">
        <v>55</v>
      </c>
      <c r="C10" s="72">
        <v>0</v>
      </c>
      <c r="D10" s="13">
        <v>0</v>
      </c>
      <c r="E10" s="13">
        <v>160507</v>
      </c>
      <c r="F10" s="13">
        <f>+E10+G10</f>
        <v>174265</v>
      </c>
      <c r="G10" s="13">
        <v>13758</v>
      </c>
      <c r="H10" s="13">
        <f t="shared" si="0"/>
        <v>174265</v>
      </c>
      <c r="I10" s="73"/>
    </row>
    <row r="11" spans="1:9" s="2" customFormat="1" ht="31.5" customHeight="1" hidden="1">
      <c r="A11" s="4" t="s">
        <v>6</v>
      </c>
      <c r="B11" s="4" t="s">
        <v>55</v>
      </c>
      <c r="C11" s="72">
        <v>0</v>
      </c>
      <c r="D11" s="13"/>
      <c r="E11" s="13"/>
      <c r="F11" s="13">
        <f>+E11+G11</f>
        <v>0</v>
      </c>
      <c r="G11" s="13"/>
      <c r="H11" s="13">
        <f t="shared" si="0"/>
        <v>0</v>
      </c>
      <c r="I11" s="73"/>
    </row>
    <row r="12" spans="1:9" s="2" customFormat="1" ht="31.5" customHeight="1">
      <c r="A12" s="4"/>
      <c r="B12" s="4" t="s">
        <v>80</v>
      </c>
      <c r="C12" s="72">
        <v>99960</v>
      </c>
      <c r="D12" s="13">
        <v>0</v>
      </c>
      <c r="E12" s="13">
        <v>0</v>
      </c>
      <c r="F12" s="13">
        <f>+E12+G12</f>
        <v>0</v>
      </c>
      <c r="G12" s="13">
        <v>0</v>
      </c>
      <c r="H12" s="13">
        <f t="shared" si="0"/>
        <v>99960</v>
      </c>
      <c r="I12" s="73"/>
    </row>
    <row r="13" spans="1:10" s="2" customFormat="1" ht="31.5" customHeight="1">
      <c r="A13" s="4" t="s">
        <v>6</v>
      </c>
      <c r="B13" s="4" t="s">
        <v>207</v>
      </c>
      <c r="C13" s="72"/>
      <c r="D13" s="17"/>
      <c r="E13" s="17">
        <v>0</v>
      </c>
      <c r="F13" s="13">
        <f>+E13+G13</f>
        <v>1151333</v>
      </c>
      <c r="G13" s="17">
        <v>1151333</v>
      </c>
      <c r="H13" s="13">
        <f t="shared" si="0"/>
        <v>1151333</v>
      </c>
      <c r="I13" s="124"/>
      <c r="J13" s="2">
        <f>SUM(H9:H12)</f>
        <v>488477</v>
      </c>
    </row>
    <row r="14" spans="1:8" ht="31.5" customHeight="1">
      <c r="A14" s="4" t="s">
        <v>70</v>
      </c>
      <c r="B14" s="4" t="s">
        <v>27</v>
      </c>
      <c r="C14" s="71">
        <f aca="true" t="shared" si="1" ref="C14:H14">SUM(C5,C7)</f>
        <v>1307065.63</v>
      </c>
      <c r="D14" s="98">
        <f t="shared" si="1"/>
        <v>679145</v>
      </c>
      <c r="E14" s="98">
        <f t="shared" si="1"/>
        <v>4529993.48</v>
      </c>
      <c r="F14" s="98">
        <f>SUM(F5,F7)+F13</f>
        <v>5722345.48</v>
      </c>
      <c r="G14" s="98">
        <f t="shared" si="1"/>
        <v>-1110314</v>
      </c>
      <c r="H14" s="34">
        <f t="shared" si="1"/>
        <v>6557223.11</v>
      </c>
    </row>
    <row r="15" spans="1:8" ht="31.5" customHeight="1">
      <c r="A15" s="27"/>
      <c r="B15" s="28"/>
      <c r="C15" s="29"/>
      <c r="D15" s="29"/>
      <c r="E15" s="118"/>
      <c r="F15" s="118"/>
      <c r="G15" s="118"/>
      <c r="H15" s="30"/>
    </row>
    <row r="16" spans="1:8" ht="31.5" customHeight="1">
      <c r="A16" s="4"/>
      <c r="B16" s="7" t="s">
        <v>9</v>
      </c>
      <c r="C16" s="17"/>
      <c r="D16" s="13"/>
      <c r="E16" s="34"/>
      <c r="F16" s="34"/>
      <c r="G16" s="34"/>
      <c r="H16" s="13"/>
    </row>
    <row r="17" spans="1:8" ht="31.5" customHeight="1">
      <c r="A17" s="4" t="s">
        <v>4</v>
      </c>
      <c r="B17" s="4" t="s">
        <v>25</v>
      </c>
      <c r="C17" s="71">
        <f>SUM(C18:C26)</f>
        <v>43969</v>
      </c>
      <c r="D17" s="34">
        <f>SUM(D18:D26)</f>
        <v>661129</v>
      </c>
      <c r="E17" s="34">
        <f>SUM(E18:E26)</f>
        <v>3566924</v>
      </c>
      <c r="F17" s="34">
        <f>SUM(F18:F26)</f>
        <v>5577935</v>
      </c>
      <c r="G17" s="34">
        <f>SUM(G18:G26)</f>
        <v>765638</v>
      </c>
      <c r="H17" s="123">
        <f>SUM(C17,D17,F17)</f>
        <v>6283033</v>
      </c>
    </row>
    <row r="18" spans="1:8" ht="31.5" customHeight="1">
      <c r="A18" s="4"/>
      <c r="B18" s="4" t="s">
        <v>13</v>
      </c>
      <c r="C18" s="72">
        <v>27470</v>
      </c>
      <c r="D18" s="13">
        <v>28651</v>
      </c>
      <c r="E18" s="13">
        <v>60857</v>
      </c>
      <c r="F18" s="13">
        <f>+E18+G18</f>
        <v>60857</v>
      </c>
      <c r="G18" s="13">
        <v>0</v>
      </c>
      <c r="H18" s="13">
        <f aca="true" t="shared" si="2" ref="H18:H27">SUM(C18,D18,F18)</f>
        <v>116978</v>
      </c>
    </row>
    <row r="19" spans="1:8" ht="31.5" customHeight="1">
      <c r="A19" s="4"/>
      <c r="B19" s="4" t="s">
        <v>14</v>
      </c>
      <c r="C19" s="72">
        <v>0</v>
      </c>
      <c r="D19" s="13">
        <v>0</v>
      </c>
      <c r="E19" s="13">
        <v>34000</v>
      </c>
      <c r="F19" s="13">
        <f aca="true" t="shared" si="3" ref="F19:F25">+E19+G19</f>
        <v>34000</v>
      </c>
      <c r="G19" s="13">
        <v>0</v>
      </c>
      <c r="H19" s="13">
        <f t="shared" si="2"/>
        <v>34000</v>
      </c>
    </row>
    <row r="20" spans="1:8" ht="31.5" customHeight="1">
      <c r="A20" s="4"/>
      <c r="B20" s="4" t="s">
        <v>15</v>
      </c>
      <c r="C20" s="72">
        <v>13686</v>
      </c>
      <c r="D20" s="13">
        <v>6843</v>
      </c>
      <c r="E20" s="13">
        <v>3421</v>
      </c>
      <c r="F20" s="13">
        <f t="shared" si="3"/>
        <v>3421</v>
      </c>
      <c r="G20" s="13">
        <v>0</v>
      </c>
      <c r="H20" s="13">
        <f t="shared" si="2"/>
        <v>23950</v>
      </c>
    </row>
    <row r="21" spans="1:8" ht="31.5" customHeight="1">
      <c r="A21" s="4"/>
      <c r="B21" s="4" t="s">
        <v>16</v>
      </c>
      <c r="C21" s="72">
        <v>2813</v>
      </c>
      <c r="D21" s="13">
        <f>19718-598</f>
        <v>19120</v>
      </c>
      <c r="E21" s="13">
        <v>49102</v>
      </c>
      <c r="F21" s="13">
        <f>67469+598</f>
        <v>68067</v>
      </c>
      <c r="G21" s="13">
        <f>-4132+14999</f>
        <v>10867</v>
      </c>
      <c r="H21" s="13">
        <f t="shared" si="2"/>
        <v>90000</v>
      </c>
    </row>
    <row r="22" spans="1:8" ht="31.5" customHeight="1">
      <c r="A22" s="4"/>
      <c r="B22" s="4" t="s">
        <v>17</v>
      </c>
      <c r="C22" s="72">
        <v>0</v>
      </c>
      <c r="D22" s="13">
        <v>3500</v>
      </c>
      <c r="E22" s="13">
        <v>1500</v>
      </c>
      <c r="F22" s="13">
        <f t="shared" si="3"/>
        <v>1500</v>
      </c>
      <c r="G22" s="13">
        <v>0</v>
      </c>
      <c r="H22" s="13">
        <f t="shared" si="2"/>
        <v>5000</v>
      </c>
    </row>
    <row r="23" spans="1:8" ht="31.5" customHeight="1">
      <c r="A23" s="4"/>
      <c r="B23" s="4" t="s">
        <v>18</v>
      </c>
      <c r="C23" s="72">
        <v>0</v>
      </c>
      <c r="D23" s="13">
        <v>150</v>
      </c>
      <c r="E23" s="13">
        <v>0</v>
      </c>
      <c r="F23" s="13">
        <f t="shared" si="3"/>
        <v>0</v>
      </c>
      <c r="G23" s="13">
        <v>0</v>
      </c>
      <c r="H23" s="13">
        <f t="shared" si="2"/>
        <v>150</v>
      </c>
    </row>
    <row r="24" spans="1:9" ht="30.75" customHeight="1">
      <c r="A24" s="4"/>
      <c r="B24" s="4" t="s">
        <v>19</v>
      </c>
      <c r="C24" s="72">
        <v>0</v>
      </c>
      <c r="D24" s="13">
        <v>15970</v>
      </c>
      <c r="E24" s="13">
        <v>0</v>
      </c>
      <c r="F24" s="13">
        <f t="shared" si="3"/>
        <v>0</v>
      </c>
      <c r="G24" s="13">
        <v>0</v>
      </c>
      <c r="H24" s="13">
        <f t="shared" si="2"/>
        <v>15970</v>
      </c>
      <c r="I24" s="36"/>
    </row>
    <row r="25" spans="1:8" ht="30.75" customHeight="1">
      <c r="A25" s="4"/>
      <c r="B25" s="4" t="s">
        <v>39</v>
      </c>
      <c r="C25" s="72">
        <v>0</v>
      </c>
      <c r="D25" s="13">
        <v>0</v>
      </c>
      <c r="E25" s="13">
        <v>1316269</v>
      </c>
      <c r="F25" s="13">
        <f t="shared" si="3"/>
        <v>1468799</v>
      </c>
      <c r="G25" s="13">
        <v>152530</v>
      </c>
      <c r="H25" s="13">
        <f t="shared" si="2"/>
        <v>1468799</v>
      </c>
    </row>
    <row r="26" spans="1:8" ht="31.5" customHeight="1">
      <c r="A26" s="4"/>
      <c r="B26" s="4" t="s">
        <v>20</v>
      </c>
      <c r="C26" s="72">
        <v>0</v>
      </c>
      <c r="D26" s="13">
        <v>586895</v>
      </c>
      <c r="E26" s="13">
        <v>2101775</v>
      </c>
      <c r="F26" s="13">
        <v>3941291</v>
      </c>
      <c r="G26" s="13">
        <f>224015+378226</f>
        <v>602241</v>
      </c>
      <c r="H26" s="13">
        <f t="shared" si="2"/>
        <v>4528186</v>
      </c>
    </row>
    <row r="27" spans="1:8" ht="31.5" customHeight="1">
      <c r="A27" s="4" t="s">
        <v>5</v>
      </c>
      <c r="B27" s="4" t="s">
        <v>151</v>
      </c>
      <c r="C27" s="72">
        <v>0</v>
      </c>
      <c r="D27" s="13">
        <v>1262</v>
      </c>
      <c r="E27" s="13">
        <v>0</v>
      </c>
      <c r="F27" s="13">
        <v>9213</v>
      </c>
      <c r="G27" s="13">
        <v>0</v>
      </c>
      <c r="H27" s="13">
        <f t="shared" si="2"/>
        <v>10475</v>
      </c>
    </row>
    <row r="28" spans="1:9" ht="31.5" customHeight="1">
      <c r="A28" s="4" t="s">
        <v>6</v>
      </c>
      <c r="B28" s="4" t="s">
        <v>49</v>
      </c>
      <c r="C28" s="13">
        <f>+C17*0.27-1</f>
        <v>11870.630000000001</v>
      </c>
      <c r="D28" s="13">
        <f>113112+598</f>
        <v>113710</v>
      </c>
      <c r="E28" s="13">
        <f>+E17*0.27</f>
        <v>963069.4800000001</v>
      </c>
      <c r="F28" s="13">
        <f>135795-598</f>
        <v>135197</v>
      </c>
      <c r="G28" s="13">
        <f>44117-567479</f>
        <v>-523362</v>
      </c>
      <c r="H28" s="13">
        <f>SUM(C28,D28,F28)</f>
        <v>260777.63</v>
      </c>
      <c r="I28" s="1">
        <v>1696419</v>
      </c>
    </row>
    <row r="29" spans="1:8" ht="31.5" customHeight="1">
      <c r="A29" s="4" t="s">
        <v>70</v>
      </c>
      <c r="B29" s="4" t="s">
        <v>60</v>
      </c>
      <c r="C29" s="71">
        <f>SUM(C17,C28)</f>
        <v>55839.630000000005</v>
      </c>
      <c r="D29" s="34">
        <f>SUM(D17,D28)</f>
        <v>774839</v>
      </c>
      <c r="E29" s="34">
        <f>SUM(E17,E28,E27)</f>
        <v>4529993.48</v>
      </c>
      <c r="F29" s="34">
        <f>SUM(F17,F28,F27)</f>
        <v>5722345</v>
      </c>
      <c r="G29" s="34">
        <f>SUM(G17,G28,G27)</f>
        <v>242276</v>
      </c>
      <c r="H29" s="34">
        <f>SUM(H17,H28)</f>
        <v>6543810.63</v>
      </c>
    </row>
    <row r="31" spans="4:8" ht="15">
      <c r="D31" s="1">
        <f>+D14-D29</f>
        <v>-95694</v>
      </c>
      <c r="E31" s="1">
        <f>+E14-E29</f>
        <v>0</v>
      </c>
      <c r="F31" s="1">
        <f>+F14-F29</f>
        <v>0.48000000044703484</v>
      </c>
      <c r="G31" s="1">
        <f>+G14-G29</f>
        <v>-1352590</v>
      </c>
      <c r="H31" s="1">
        <f>+H14-H29</f>
        <v>13412.480000000447</v>
      </c>
    </row>
  </sheetData>
  <sheetProtection/>
  <mergeCells count="1">
    <mergeCell ref="A1:C1"/>
  </mergeCells>
  <printOptions/>
  <pageMargins left="0.2755905511811024" right="0.2755905511811024" top="0.984251968503937" bottom="0.4330708661417323" header="0.5118110236220472" footer="0.1968503937007874"/>
  <pageSetup fitToHeight="2" horizontalDpi="300" verticalDpi="300" orientation="landscape" paperSize="9" scale="82" r:id="rId1"/>
  <headerFooter alignWithMargins="0">
    <oddHeader>&amp;L&amp;"Times New Roman,Normál"&amp;12 A Kaposmenti Hulladékgazdálkodási Társulás 2015. évre tervezett bevételei és kiadásai&amp;R&amp;"Times New Roman,Normál"&amp;9 &amp;10 &amp;12 3. sz. melléklet a .../2015.(...) sz. határozathoz
</oddHeader>
    <oddFooter xml:space="preserve">&amp;L&amp;"Times New Roman,Normál"&amp;9&amp;D &amp;T&amp;R&amp;"Times New Roman,Normál"&amp;9&amp;Z &amp;F </oddFooter>
  </headerFooter>
  <rowBreaks count="1" manualBreakCount="1">
    <brk id="1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E1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2" width="9.28125" style="0" bestFit="1" customWidth="1"/>
    <col min="3" max="5" width="9.8515625" style="0" bestFit="1" customWidth="1"/>
  </cols>
  <sheetData>
    <row r="1" spans="1:2" ht="14.25">
      <c r="A1" t="s">
        <v>198</v>
      </c>
      <c r="B1">
        <v>2014</v>
      </c>
    </row>
    <row r="3" spans="1:5" ht="14.25">
      <c r="A3" s="130" t="s">
        <v>199</v>
      </c>
      <c r="B3" t="s">
        <v>200</v>
      </c>
      <c r="C3" t="s">
        <v>201</v>
      </c>
      <c r="D3" t="s">
        <v>202</v>
      </c>
      <c r="E3" s="131" t="s">
        <v>203</v>
      </c>
    </row>
    <row r="4" spans="1:5" ht="14.25">
      <c r="A4" s="60">
        <v>8540039</v>
      </c>
      <c r="B4" s="60">
        <v>2826318</v>
      </c>
      <c r="C4" s="60">
        <v>39499357</v>
      </c>
      <c r="D4" s="60">
        <v>12010368</v>
      </c>
      <c r="E4" s="60">
        <f>SUM(A4:D4)</f>
        <v>62876082</v>
      </c>
    </row>
    <row r="7" ht="14.25">
      <c r="A7" t="s">
        <v>204</v>
      </c>
    </row>
    <row r="8" spans="1:5" ht="14.25">
      <c r="A8" t="s">
        <v>199</v>
      </c>
      <c r="B8" t="s">
        <v>200</v>
      </c>
      <c r="C8" t="s">
        <v>201</v>
      </c>
      <c r="D8" t="s">
        <v>202</v>
      </c>
      <c r="E8" s="131" t="s">
        <v>203</v>
      </c>
    </row>
    <row r="9" spans="1:5" ht="14.25">
      <c r="A9" s="60">
        <v>5931000</v>
      </c>
      <c r="B9" s="60">
        <v>5342000</v>
      </c>
      <c r="C9" s="60">
        <v>9296000</v>
      </c>
      <c r="D9" s="60">
        <v>2822000</v>
      </c>
      <c r="E9" s="60">
        <f>SUM(A9:D9)</f>
        <v>23391000</v>
      </c>
    </row>
    <row r="12" spans="4:5" ht="14.25">
      <c r="D12" t="s">
        <v>205</v>
      </c>
      <c r="E12" s="60">
        <f>+E4-E9</f>
        <v>39485082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23"/>
  <sheetViews>
    <sheetView zoomScalePageLayoutView="0" workbookViewId="0" topLeftCell="A1">
      <selection activeCell="F23" sqref="F23"/>
    </sheetView>
  </sheetViews>
  <sheetFormatPr defaultColWidth="9.140625" defaultRowHeight="15"/>
  <cols>
    <col min="2" max="2" width="20.7109375" style="0" bestFit="1" customWidth="1"/>
    <col min="3" max="3" width="9.140625" style="60" customWidth="1"/>
    <col min="4" max="4" width="12.421875" style="60" customWidth="1"/>
    <col min="5" max="5" width="12.28125" style="0" customWidth="1"/>
    <col min="6" max="6" width="32.7109375" style="0" bestFit="1" customWidth="1"/>
    <col min="7" max="7" width="9.140625" style="60" customWidth="1"/>
    <col min="9" max="9" width="18.00390625" style="0" bestFit="1" customWidth="1"/>
    <col min="10" max="10" width="9.140625" style="60" customWidth="1"/>
  </cols>
  <sheetData>
    <row r="3" spans="2:8" ht="14.25">
      <c r="B3" s="105" t="s">
        <v>163</v>
      </c>
      <c r="C3" s="126" t="s">
        <v>191</v>
      </c>
      <c r="D3" s="126" t="s">
        <v>192</v>
      </c>
      <c r="F3" s="105" t="s">
        <v>171</v>
      </c>
      <c r="G3" s="126" t="s">
        <v>191</v>
      </c>
      <c r="H3" s="126" t="s">
        <v>192</v>
      </c>
    </row>
    <row r="4" spans="2:9" ht="14.25">
      <c r="B4" s="112" t="s">
        <v>164</v>
      </c>
      <c r="I4" s="108"/>
    </row>
    <row r="5" spans="2:6" ht="14.25">
      <c r="B5" t="s">
        <v>165</v>
      </c>
      <c r="C5" s="111" t="e">
        <f>#REF!+#REF!</f>
        <v>#REF!</v>
      </c>
      <c r="D5" s="111" t="e">
        <f>#REF!+#REF!</f>
        <v>#REF!</v>
      </c>
      <c r="E5" s="107"/>
      <c r="F5" s="104"/>
    </row>
    <row r="6" spans="2:8" ht="14.25">
      <c r="B6" t="s">
        <v>97</v>
      </c>
      <c r="C6" s="60" t="e">
        <f>+#REF!</f>
        <v>#REF!</v>
      </c>
      <c r="D6" s="60" t="e">
        <f>+#REF!</f>
        <v>#REF!</v>
      </c>
      <c r="E6" s="107" t="s">
        <v>173</v>
      </c>
      <c r="F6" t="s">
        <v>178</v>
      </c>
      <c r="G6" s="115" t="e">
        <f>+#REF!</f>
        <v>#REF!</v>
      </c>
      <c r="H6" s="115" t="e">
        <f>+#REF!</f>
        <v>#REF!</v>
      </c>
    </row>
    <row r="7" spans="2:8" ht="14.25">
      <c r="B7" t="s">
        <v>194</v>
      </c>
      <c r="D7" s="60">
        <v>28391</v>
      </c>
      <c r="E7" s="107" t="s">
        <v>174</v>
      </c>
      <c r="F7" t="s">
        <v>170</v>
      </c>
      <c r="G7" s="60">
        <v>26690</v>
      </c>
      <c r="H7" s="60">
        <v>26690</v>
      </c>
    </row>
    <row r="8" spans="2:8" ht="14.25">
      <c r="B8" t="s">
        <v>166</v>
      </c>
      <c r="C8" s="60" t="e">
        <f>+' működési ktv. 2016.eredeti'!#REF!</f>
        <v>#REF!</v>
      </c>
      <c r="D8" s="60" t="e">
        <f>+' működési ktv. 2016.eredeti'!#REF!+' működési ktv. 2016.eredeti'!#REF!</f>
        <v>#REF!</v>
      </c>
      <c r="E8" s="120" t="s">
        <v>173</v>
      </c>
      <c r="F8" t="s">
        <v>170</v>
      </c>
      <c r="G8" s="60">
        <v>3840</v>
      </c>
      <c r="H8" s="60">
        <v>3840</v>
      </c>
    </row>
    <row r="9" spans="2:8" ht="14.25">
      <c r="B9" t="s">
        <v>167</v>
      </c>
      <c r="C9" s="60" t="e">
        <f>+' működési ktv. 2016.eredeti'!#REF!</f>
        <v>#REF!</v>
      </c>
      <c r="D9" s="60" t="e">
        <f>+' működési ktv. 2016.eredeti'!#REF!</f>
        <v>#REF!</v>
      </c>
      <c r="E9" s="107" t="s">
        <v>174</v>
      </c>
      <c r="F9" t="s">
        <v>195</v>
      </c>
      <c r="G9" s="60">
        <v>0</v>
      </c>
      <c r="H9" s="60">
        <v>39515</v>
      </c>
    </row>
    <row r="10" spans="2:8" ht="14.25">
      <c r="B10" t="s">
        <v>108</v>
      </c>
      <c r="C10" s="60">
        <v>0</v>
      </c>
      <c r="D10" s="60">
        <v>2900</v>
      </c>
      <c r="E10" s="107" t="s">
        <v>173</v>
      </c>
      <c r="F10" t="s">
        <v>184</v>
      </c>
      <c r="G10" s="60">
        <v>8099</v>
      </c>
      <c r="H10" s="60">
        <v>8099</v>
      </c>
    </row>
    <row r="11" spans="3:8" ht="14.25">
      <c r="C11" s="113" t="e">
        <f>SUM(C5:C10)</f>
        <v>#REF!</v>
      </c>
      <c r="D11" s="113" t="e">
        <f>SUM(D5:D10)</f>
        <v>#REF!</v>
      </c>
      <c r="E11" s="107" t="s">
        <v>173</v>
      </c>
      <c r="F11" t="s">
        <v>196</v>
      </c>
      <c r="G11" s="60">
        <v>0</v>
      </c>
      <c r="H11" s="60">
        <v>816</v>
      </c>
    </row>
    <row r="12" spans="5:8" ht="14.25">
      <c r="E12" s="107" t="s">
        <v>174</v>
      </c>
      <c r="F12" t="s">
        <v>197</v>
      </c>
      <c r="G12" s="60">
        <v>0</v>
      </c>
      <c r="H12" s="60">
        <v>223</v>
      </c>
    </row>
    <row r="13" spans="2:8" ht="28.5">
      <c r="B13" s="114" t="s">
        <v>168</v>
      </c>
      <c r="F13" s="117"/>
      <c r="G13" s="106" t="e">
        <f>SUM(G6:G12)</f>
        <v>#REF!</v>
      </c>
      <c r="H13" s="106" t="e">
        <f>SUM(H6:H12)</f>
        <v>#REF!</v>
      </c>
    </row>
    <row r="14" spans="3:4" ht="14.25">
      <c r="C14" s="109"/>
      <c r="D14" s="109"/>
    </row>
    <row r="15" spans="2:8" ht="14.25">
      <c r="B15" t="s">
        <v>169</v>
      </c>
      <c r="C15" s="60" t="e">
        <f>+#REF!+#REF!</f>
        <v>#REF!</v>
      </c>
      <c r="D15" s="60" t="e">
        <f>+#REF!+#REF!</f>
        <v>#REF!</v>
      </c>
      <c r="E15" s="107"/>
      <c r="F15" s="116" t="s">
        <v>173</v>
      </c>
      <c r="G15" s="113" t="e">
        <f>SUM(G6,G10,G8,G11)</f>
        <v>#REF!</v>
      </c>
      <c r="H15" s="113" t="e">
        <f>SUM(H6,H10,H8,H11)</f>
        <v>#REF!</v>
      </c>
    </row>
    <row r="16" spans="3:8" ht="14.25">
      <c r="C16" s="113" t="e">
        <f>SUM(C14:C15)</f>
        <v>#REF!</v>
      </c>
      <c r="D16" s="113" t="e">
        <f>SUM(D14:D15)</f>
        <v>#REF!</v>
      </c>
      <c r="E16" s="107"/>
      <c r="F16" s="116" t="s">
        <v>174</v>
      </c>
      <c r="G16" s="113">
        <f>SUM(G7,G9,G12)</f>
        <v>26690</v>
      </c>
      <c r="H16" s="113">
        <f>SUM(H7,H9,H12)</f>
        <v>66428</v>
      </c>
    </row>
    <row r="18" spans="3:6" ht="14.25">
      <c r="C18" s="106" t="e">
        <f>SUM(C11,C16)</f>
        <v>#REF!</v>
      </c>
      <c r="D18" s="106" t="e">
        <f>SUM(D11,D16)</f>
        <v>#REF!</v>
      </c>
      <c r="F18" s="107"/>
    </row>
    <row r="19" spans="3:6" ht="14.25">
      <c r="C19" s="106"/>
      <c r="D19" s="106"/>
      <c r="F19" s="107"/>
    </row>
    <row r="20" spans="5:6" ht="14.25">
      <c r="E20" s="116" t="s">
        <v>191</v>
      </c>
      <c r="F20" s="116" t="s">
        <v>192</v>
      </c>
    </row>
    <row r="21" spans="2:6" ht="14.25">
      <c r="B21" t="s">
        <v>176</v>
      </c>
      <c r="E21" s="60" t="e">
        <f>+G15-C11</f>
        <v>#REF!</v>
      </c>
      <c r="F21" s="60" t="e">
        <f>+H15-D11</f>
        <v>#REF!</v>
      </c>
    </row>
    <row r="22" spans="2:6" ht="14.25">
      <c r="B22" t="s">
        <v>177</v>
      </c>
      <c r="E22" s="60" t="e">
        <f>+G16-C16</f>
        <v>#REF!</v>
      </c>
      <c r="F22" s="60" t="e">
        <f>+H16-D16</f>
        <v>#REF!</v>
      </c>
    </row>
    <row r="23" spans="4:6" ht="42.75">
      <c r="D23" s="125" t="s">
        <v>193</v>
      </c>
      <c r="E23" s="127" t="e">
        <f>+E22+E21</f>
        <v>#REF!</v>
      </c>
      <c r="F23" s="127" t="e">
        <f>+F22+F21</f>
        <v>#REF!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62"/>
  <sheetViews>
    <sheetView tabSelected="1" zoomScale="70" zoomScaleNormal="70" zoomScaleSheetLayoutView="70" zoomScalePageLayoutView="0" workbookViewId="0" topLeftCell="A1">
      <pane xSplit="2" ySplit="2" topLeftCell="C30" activePane="bottomRight" state="frozen"/>
      <selection pane="topLeft" activeCell="F85" sqref="F85"/>
      <selection pane="topRight" activeCell="F85" sqref="F85"/>
      <selection pane="bottomLeft" activeCell="F85" sqref="F85"/>
      <selection pane="bottomRight" activeCell="B37" sqref="B37"/>
    </sheetView>
  </sheetViews>
  <sheetFormatPr defaultColWidth="9.140625" defaultRowHeight="15"/>
  <cols>
    <col min="1" max="1" width="11.140625" style="1" customWidth="1"/>
    <col min="2" max="2" width="123.28125" style="18" customWidth="1"/>
    <col min="3" max="7" width="15.7109375" style="1" customWidth="1"/>
    <col min="8" max="16384" width="9.140625" style="1" customWidth="1"/>
  </cols>
  <sheetData>
    <row r="1" spans="1:2" ht="36.75" customHeight="1">
      <c r="A1" s="257" t="s">
        <v>467</v>
      </c>
      <c r="B1" s="257"/>
    </row>
    <row r="2" spans="1:2" ht="31.5" customHeight="1">
      <c r="A2" s="8"/>
      <c r="B2" s="9"/>
    </row>
    <row r="3" spans="1:7" ht="46.5">
      <c r="A3" s="21" t="s">
        <v>8</v>
      </c>
      <c r="B3" s="21" t="s">
        <v>7</v>
      </c>
      <c r="C3" s="5" t="s">
        <v>469</v>
      </c>
      <c r="D3" s="5" t="s">
        <v>481</v>
      </c>
      <c r="E3" s="5" t="s">
        <v>482</v>
      </c>
      <c r="F3" s="5" t="s">
        <v>405</v>
      </c>
      <c r="G3" s="5" t="s">
        <v>236</v>
      </c>
    </row>
    <row r="4" spans="1:7" ht="31.5" customHeight="1">
      <c r="A4" s="22"/>
      <c r="B4" s="23" t="s">
        <v>0</v>
      </c>
      <c r="C4" s="4"/>
      <c r="D4" s="32"/>
      <c r="E4" s="32"/>
      <c r="F4" s="32"/>
      <c r="G4" s="32"/>
    </row>
    <row r="5" spans="1:7" ht="31.5" customHeight="1">
      <c r="A5" s="22"/>
      <c r="B5" s="23" t="s">
        <v>250</v>
      </c>
      <c r="C5" s="4"/>
      <c r="D5" s="4"/>
      <c r="E5" s="4"/>
      <c r="F5" s="4"/>
      <c r="G5" s="4"/>
    </row>
    <row r="6" spans="1:7" ht="30" customHeight="1">
      <c r="A6" s="22" t="s">
        <v>117</v>
      </c>
      <c r="B6" s="22" t="s">
        <v>459</v>
      </c>
      <c r="C6" s="247">
        <v>520</v>
      </c>
      <c r="D6" s="224">
        <v>520</v>
      </c>
      <c r="E6" s="247">
        <v>520</v>
      </c>
      <c r="F6" s="224">
        <f>E6-C6</f>
        <v>0</v>
      </c>
      <c r="G6" s="224">
        <f>E6-D6</f>
        <v>0</v>
      </c>
    </row>
    <row r="7" spans="1:7" ht="30" customHeight="1">
      <c r="A7" s="22" t="s">
        <v>118</v>
      </c>
      <c r="B7" s="69" t="s">
        <v>460</v>
      </c>
      <c r="C7" s="224">
        <v>472</v>
      </c>
      <c r="D7" s="224">
        <v>472</v>
      </c>
      <c r="E7" s="224">
        <v>472</v>
      </c>
      <c r="F7" s="224">
        <f>E7-C7</f>
        <v>0</v>
      </c>
      <c r="G7" s="224">
        <f>E7-D7</f>
        <v>0</v>
      </c>
    </row>
    <row r="8" spans="1:7" ht="30" customHeight="1">
      <c r="A8" s="22" t="s">
        <v>254</v>
      </c>
      <c r="B8" s="69" t="s">
        <v>461</v>
      </c>
      <c r="C8" s="224">
        <v>0</v>
      </c>
      <c r="D8" s="224">
        <v>944</v>
      </c>
      <c r="E8" s="224">
        <v>0</v>
      </c>
      <c r="F8" s="224">
        <f>E8-C8</f>
        <v>0</v>
      </c>
      <c r="G8" s="224">
        <f>E8-D8</f>
        <v>-944</v>
      </c>
    </row>
    <row r="9" spans="1:7" ht="30" customHeight="1">
      <c r="A9" s="22" t="s">
        <v>470</v>
      </c>
      <c r="B9" s="69" t="s">
        <v>471</v>
      </c>
      <c r="C9" s="224">
        <v>0</v>
      </c>
      <c r="D9" s="224">
        <v>2</v>
      </c>
      <c r="E9" s="224">
        <v>0</v>
      </c>
      <c r="F9" s="224">
        <v>0</v>
      </c>
      <c r="G9" s="224"/>
    </row>
    <row r="10" spans="1:7" s="2" customFormat="1" ht="30" customHeight="1">
      <c r="A10" s="137"/>
      <c r="B10" s="23" t="s">
        <v>251</v>
      </c>
      <c r="C10" s="249">
        <f>SUM(C6:C9)</f>
        <v>992</v>
      </c>
      <c r="D10" s="249">
        <f>SUM(D6:D9)</f>
        <v>1938</v>
      </c>
      <c r="E10" s="249">
        <f>SUM(E6:E9)</f>
        <v>992</v>
      </c>
      <c r="F10" s="249">
        <f>E10-C10</f>
        <v>0</v>
      </c>
      <c r="G10" s="249">
        <f>E10-D10</f>
        <v>-946</v>
      </c>
    </row>
    <row r="11" spans="1:7" ht="30" customHeight="1">
      <c r="A11" s="22"/>
      <c r="B11" s="153" t="s">
        <v>454</v>
      </c>
      <c r="C11" s="224"/>
      <c r="D11" s="224"/>
      <c r="E11" s="224"/>
      <c r="F11" s="248"/>
      <c r="G11" s="248"/>
    </row>
    <row r="12" spans="1:7" s="2" customFormat="1" ht="30" customHeight="1">
      <c r="A12" s="137" t="s">
        <v>443</v>
      </c>
      <c r="B12" s="143" t="s">
        <v>67</v>
      </c>
      <c r="C12" s="249">
        <v>0</v>
      </c>
      <c r="D12" s="249">
        <v>635</v>
      </c>
      <c r="E12" s="249">
        <v>0</v>
      </c>
      <c r="F12" s="249">
        <f>E12-C12</f>
        <v>0</v>
      </c>
      <c r="G12" s="249">
        <f>E12-D12</f>
        <v>-635</v>
      </c>
    </row>
    <row r="13" spans="1:7" s="2" customFormat="1" ht="30" customHeight="1">
      <c r="A13" s="137" t="s">
        <v>4</v>
      </c>
      <c r="B13" s="143" t="s">
        <v>455</v>
      </c>
      <c r="C13" s="249">
        <f>C12+C10</f>
        <v>992</v>
      </c>
      <c r="D13" s="249">
        <f>D12+D10</f>
        <v>2573</v>
      </c>
      <c r="E13" s="249">
        <f>E12+E10</f>
        <v>992</v>
      </c>
      <c r="F13" s="249">
        <f>F12+F10</f>
        <v>0</v>
      </c>
      <c r="G13" s="249">
        <f>G12+G10</f>
        <v>-1581</v>
      </c>
    </row>
    <row r="14" spans="1:7" ht="30" customHeight="1">
      <c r="A14" s="22"/>
      <c r="B14" s="25"/>
      <c r="C14" s="250"/>
      <c r="D14" s="250"/>
      <c r="E14" s="250"/>
      <c r="F14" s="248"/>
      <c r="G14" s="248"/>
    </row>
    <row r="15" spans="1:7" ht="30" customHeight="1">
      <c r="A15" s="22"/>
      <c r="B15" s="25"/>
      <c r="C15" s="250"/>
      <c r="D15" s="250"/>
      <c r="E15" s="250"/>
      <c r="F15" s="248"/>
      <c r="G15" s="248"/>
    </row>
    <row r="16" spans="1:7" ht="30" customHeight="1">
      <c r="A16" s="22"/>
      <c r="B16" s="23" t="s">
        <v>463</v>
      </c>
      <c r="C16" s="250"/>
      <c r="D16" s="250"/>
      <c r="E16" s="250"/>
      <c r="F16" s="248"/>
      <c r="G16" s="248"/>
    </row>
    <row r="17" spans="1:7" s="2" customFormat="1" ht="30" customHeight="1">
      <c r="A17" s="22" t="s">
        <v>78</v>
      </c>
      <c r="B17" s="69" t="s">
        <v>456</v>
      </c>
      <c r="C17" s="224">
        <v>0</v>
      </c>
      <c r="D17" s="224">
        <v>0</v>
      </c>
      <c r="E17" s="224">
        <v>0</v>
      </c>
      <c r="F17" s="224">
        <f>E17-C17</f>
        <v>0</v>
      </c>
      <c r="G17" s="224">
        <f>E17-D17</f>
        <v>0</v>
      </c>
    </row>
    <row r="18" spans="1:7" ht="30" customHeight="1">
      <c r="A18" s="22"/>
      <c r="B18" s="23" t="s">
        <v>252</v>
      </c>
      <c r="C18" s="249">
        <f>SUM(C17:C17)</f>
        <v>0</v>
      </c>
      <c r="D18" s="249">
        <f>SUM(D17:D17)</f>
        <v>0</v>
      </c>
      <c r="E18" s="249">
        <f>SUM(E17:E17)</f>
        <v>0</v>
      </c>
      <c r="F18" s="224">
        <f>E18-C18</f>
        <v>0</v>
      </c>
      <c r="G18" s="224">
        <f>E18-D18</f>
        <v>0</v>
      </c>
    </row>
    <row r="19" spans="1:7" ht="30" customHeight="1">
      <c r="A19" s="22"/>
      <c r="B19" s="153"/>
      <c r="C19" s="249"/>
      <c r="D19" s="249"/>
      <c r="E19" s="249"/>
      <c r="F19" s="224"/>
      <c r="G19" s="224"/>
    </row>
    <row r="20" spans="1:7" ht="30" customHeight="1">
      <c r="A20" s="22"/>
      <c r="B20" s="153" t="s">
        <v>464</v>
      </c>
      <c r="C20" s="249"/>
      <c r="D20" s="249"/>
      <c r="E20" s="249"/>
      <c r="F20" s="224"/>
      <c r="G20" s="224"/>
    </row>
    <row r="21" spans="1:7" ht="30" customHeight="1">
      <c r="A21" s="137" t="s">
        <v>465</v>
      </c>
      <c r="B21" s="143" t="s">
        <v>457</v>
      </c>
      <c r="C21" s="249">
        <v>0</v>
      </c>
      <c r="D21" s="249">
        <v>0</v>
      </c>
      <c r="E21" s="249">
        <v>0</v>
      </c>
      <c r="F21" s="249">
        <f>E21-C21</f>
        <v>0</v>
      </c>
      <c r="G21" s="249">
        <f>E21-D21</f>
        <v>0</v>
      </c>
    </row>
    <row r="22" spans="1:7" ht="30" customHeight="1">
      <c r="A22" s="137"/>
      <c r="B22" s="153"/>
      <c r="C22" s="249"/>
      <c r="D22" s="249"/>
      <c r="E22" s="249"/>
      <c r="F22" s="224"/>
      <c r="G22" s="224"/>
    </row>
    <row r="23" spans="1:7" ht="30" customHeight="1">
      <c r="A23" s="137" t="s">
        <v>5</v>
      </c>
      <c r="B23" s="143" t="s">
        <v>466</v>
      </c>
      <c r="C23" s="249">
        <f>C18+C21</f>
        <v>0</v>
      </c>
      <c r="D23" s="249">
        <f>D18+D21</f>
        <v>0</v>
      </c>
      <c r="E23" s="249">
        <f>E18+E21</f>
        <v>0</v>
      </c>
      <c r="F23" s="249">
        <f>F18+F21</f>
        <v>0</v>
      </c>
      <c r="G23" s="249">
        <f>G18+G21</f>
        <v>0</v>
      </c>
    </row>
    <row r="24" spans="1:7" ht="30" customHeight="1">
      <c r="A24" s="137"/>
      <c r="B24" s="143"/>
      <c r="C24" s="249"/>
      <c r="D24" s="249"/>
      <c r="E24" s="249"/>
      <c r="F24" s="224"/>
      <c r="G24" s="224"/>
    </row>
    <row r="25" spans="1:7" ht="30" customHeight="1">
      <c r="A25" s="22"/>
      <c r="B25" s="153" t="s">
        <v>253</v>
      </c>
      <c r="C25" s="249">
        <f>C23+C13</f>
        <v>992</v>
      </c>
      <c r="D25" s="249">
        <f>D23+D13</f>
        <v>2573</v>
      </c>
      <c r="E25" s="249">
        <f>E23+E13</f>
        <v>992</v>
      </c>
      <c r="F25" s="249">
        <f>E25-C25</f>
        <v>0</v>
      </c>
      <c r="G25" s="249">
        <f>E25-D25</f>
        <v>-1581</v>
      </c>
    </row>
    <row r="26" spans="1:7" ht="30" customHeight="1">
      <c r="A26" s="22"/>
      <c r="B26" s="22"/>
      <c r="C26" s="251"/>
      <c r="D26" s="251"/>
      <c r="E26" s="251"/>
      <c r="F26" s="248"/>
      <c r="G26" s="248"/>
    </row>
    <row r="27" spans="1:7" ht="30" customHeight="1">
      <c r="A27" s="22"/>
      <c r="B27" s="22"/>
      <c r="C27" s="252"/>
      <c r="D27" s="252"/>
      <c r="E27" s="252"/>
      <c r="F27" s="4"/>
      <c r="G27" s="4"/>
    </row>
    <row r="28" spans="1:7" ht="30" customHeight="1">
      <c r="A28" s="22"/>
      <c r="B28" s="23" t="s">
        <v>9</v>
      </c>
      <c r="C28" s="252"/>
      <c r="D28" s="252"/>
      <c r="E28" s="252"/>
      <c r="F28" s="4"/>
      <c r="G28" s="4"/>
    </row>
    <row r="29" spans="1:7" ht="30" customHeight="1">
      <c r="A29" s="22"/>
      <c r="B29" s="23" t="s">
        <v>255</v>
      </c>
      <c r="C29" s="252"/>
      <c r="D29" s="252"/>
      <c r="E29" s="252"/>
      <c r="F29" s="4"/>
      <c r="G29" s="4"/>
    </row>
    <row r="30" spans="1:7" s="2" customFormat="1" ht="45.75" customHeight="1">
      <c r="A30" s="22" t="s">
        <v>117</v>
      </c>
      <c r="B30" s="148" t="s">
        <v>458</v>
      </c>
      <c r="C30" s="224">
        <v>992</v>
      </c>
      <c r="D30" s="224">
        <v>2553</v>
      </c>
      <c r="E30" s="224">
        <v>992</v>
      </c>
      <c r="F30" s="224">
        <f>E30-C30</f>
        <v>0</v>
      </c>
      <c r="G30" s="224">
        <f>E30-D30</f>
        <v>-1561</v>
      </c>
    </row>
    <row r="31" spans="1:7" s="2" customFormat="1" ht="30" customHeight="1">
      <c r="A31" s="22"/>
      <c r="B31" s="23" t="s">
        <v>256</v>
      </c>
      <c r="C31" s="249">
        <f>SUM(C30:C30)</f>
        <v>992</v>
      </c>
      <c r="D31" s="249">
        <f>SUM(D30:D30)</f>
        <v>2553</v>
      </c>
      <c r="E31" s="249">
        <f>SUM(E30:E30)</f>
        <v>992</v>
      </c>
      <c r="F31" s="249">
        <f>E31-C31</f>
        <v>0</v>
      </c>
      <c r="G31" s="249">
        <f>E31-D31</f>
        <v>-1561</v>
      </c>
    </row>
    <row r="32" spans="1:7" s="2" customFormat="1" ht="30" customHeight="1">
      <c r="A32" s="137" t="s">
        <v>4</v>
      </c>
      <c r="B32" s="137" t="s">
        <v>257</v>
      </c>
      <c r="C32" s="249">
        <f>C31</f>
        <v>992</v>
      </c>
      <c r="D32" s="249">
        <f>D31</f>
        <v>2553</v>
      </c>
      <c r="E32" s="249">
        <f>E31</f>
        <v>992</v>
      </c>
      <c r="F32" s="249">
        <f>E32-C32</f>
        <v>0</v>
      </c>
      <c r="G32" s="249">
        <f>E32-D32</f>
        <v>-1561</v>
      </c>
    </row>
    <row r="33" spans="1:7" s="2" customFormat="1" ht="30" customHeight="1">
      <c r="A33" s="137"/>
      <c r="B33" s="137"/>
      <c r="C33" s="249"/>
      <c r="D33" s="249"/>
      <c r="E33" s="249"/>
      <c r="F33" s="249"/>
      <c r="G33" s="249"/>
    </row>
    <row r="34" spans="1:7" s="2" customFormat="1" ht="30" customHeight="1">
      <c r="A34" s="137"/>
      <c r="B34" s="153" t="s">
        <v>472</v>
      </c>
      <c r="C34" s="249"/>
      <c r="D34" s="249"/>
      <c r="E34" s="249"/>
      <c r="F34" s="249"/>
      <c r="G34" s="249"/>
    </row>
    <row r="35" spans="1:7" ht="30" customHeight="1">
      <c r="A35" s="22" t="s">
        <v>473</v>
      </c>
      <c r="B35" s="22" t="s">
        <v>478</v>
      </c>
      <c r="C35" s="224">
        <v>0</v>
      </c>
      <c r="D35" s="224">
        <v>20</v>
      </c>
      <c r="E35" s="224">
        <v>0</v>
      </c>
      <c r="F35" s="249">
        <f>E35-C35</f>
        <v>0</v>
      </c>
      <c r="G35" s="249">
        <f>E35-D35</f>
        <v>-20</v>
      </c>
    </row>
    <row r="36" spans="1:7" s="2" customFormat="1" ht="30" customHeight="1">
      <c r="A36" s="137" t="s">
        <v>5</v>
      </c>
      <c r="B36" s="137" t="s">
        <v>477</v>
      </c>
      <c r="C36" s="249">
        <f>SUM(C35)</f>
        <v>0</v>
      </c>
      <c r="D36" s="249">
        <f>SUM(D35)</f>
        <v>20</v>
      </c>
      <c r="E36" s="249">
        <f>SUM(E35)</f>
        <v>0</v>
      </c>
      <c r="F36" s="249">
        <f>E36-C36</f>
        <v>0</v>
      </c>
      <c r="G36" s="249">
        <f>E36-D36</f>
        <v>-20</v>
      </c>
    </row>
    <row r="37" spans="1:7" s="2" customFormat="1" ht="30" customHeight="1">
      <c r="A37" s="22"/>
      <c r="B37" s="22"/>
      <c r="C37" s="252"/>
      <c r="D37" s="252"/>
      <c r="E37" s="252"/>
      <c r="F37" s="167"/>
      <c r="G37" s="167"/>
    </row>
    <row r="38" spans="1:7" s="2" customFormat="1" ht="30" customHeight="1">
      <c r="A38" s="22"/>
      <c r="B38" s="23" t="s">
        <v>474</v>
      </c>
      <c r="C38" s="252"/>
      <c r="D38" s="252"/>
      <c r="E38" s="252"/>
      <c r="F38" s="167"/>
      <c r="G38" s="167"/>
    </row>
    <row r="39" spans="1:7" s="2" customFormat="1" ht="30" customHeight="1">
      <c r="A39" s="22" t="s">
        <v>475</v>
      </c>
      <c r="B39" s="22" t="s">
        <v>462</v>
      </c>
      <c r="C39" s="224">
        <v>0</v>
      </c>
      <c r="D39" s="224">
        <v>0</v>
      </c>
      <c r="E39" s="224">
        <v>0</v>
      </c>
      <c r="F39" s="224">
        <f>E39-C39</f>
        <v>0</v>
      </c>
      <c r="G39" s="224">
        <f>E39-D39</f>
        <v>0</v>
      </c>
    </row>
    <row r="40" spans="1:7" s="2" customFormat="1" ht="30" customHeight="1">
      <c r="A40" s="137"/>
      <c r="B40" s="137" t="s">
        <v>476</v>
      </c>
      <c r="C40" s="249">
        <f>SUM(C39:C39)</f>
        <v>0</v>
      </c>
      <c r="D40" s="249">
        <f>SUM(D39:D39)</f>
        <v>0</v>
      </c>
      <c r="E40" s="249">
        <f>SUM(E39:E39)</f>
        <v>0</v>
      </c>
      <c r="F40" s="249">
        <f>E40-C40</f>
        <v>0</v>
      </c>
      <c r="G40" s="249">
        <f>E40-D40</f>
        <v>0</v>
      </c>
    </row>
    <row r="41" spans="1:7" s="2" customFormat="1" ht="30" customHeight="1">
      <c r="A41" s="22"/>
      <c r="B41" s="22"/>
      <c r="C41" s="224"/>
      <c r="D41" s="224"/>
      <c r="E41" s="224"/>
      <c r="F41" s="246"/>
      <c r="G41" s="246"/>
    </row>
    <row r="42" spans="1:7" s="2" customFormat="1" ht="47.25" customHeight="1">
      <c r="A42" s="137" t="s">
        <v>6</v>
      </c>
      <c r="B42" s="137" t="s">
        <v>479</v>
      </c>
      <c r="C42" s="249">
        <f>C40</f>
        <v>0</v>
      </c>
      <c r="D42" s="249">
        <f>D40</f>
        <v>0</v>
      </c>
      <c r="E42" s="249">
        <f>E40</f>
        <v>0</v>
      </c>
      <c r="F42" s="249">
        <f>F40</f>
        <v>0</v>
      </c>
      <c r="G42" s="249">
        <f>G40</f>
        <v>0</v>
      </c>
    </row>
    <row r="43" spans="1:7" s="2" customFormat="1" ht="30" customHeight="1">
      <c r="A43" s="22"/>
      <c r="B43" s="153" t="s">
        <v>480</v>
      </c>
      <c r="C43" s="249">
        <f>C32+C36+C42</f>
        <v>992</v>
      </c>
      <c r="D43" s="249">
        <f>D32+D36+D42</f>
        <v>2573</v>
      </c>
      <c r="E43" s="249">
        <f>E32+E36+E42</f>
        <v>992</v>
      </c>
      <c r="F43" s="249">
        <f>E43-C43</f>
        <v>0</v>
      </c>
      <c r="G43" s="249">
        <f>E43-D43</f>
        <v>-1581</v>
      </c>
    </row>
    <row r="44" spans="1:7" s="2" customFormat="1" ht="30" customHeight="1">
      <c r="A44" s="22"/>
      <c r="B44" s="69"/>
      <c r="C44" s="32"/>
      <c r="D44" s="253"/>
      <c r="E44" s="253"/>
      <c r="F44" s="167"/>
      <c r="G44" s="167"/>
    </row>
    <row r="45" spans="1:7" s="2" customFormat="1" ht="30" customHeight="1">
      <c r="A45" s="22"/>
      <c r="B45" s="69" t="s">
        <v>248</v>
      </c>
      <c r="C45" s="245">
        <f>+C13-C43</f>
        <v>0</v>
      </c>
      <c r="D45" s="245">
        <f>+D13-D43</f>
        <v>0</v>
      </c>
      <c r="E45" s="245">
        <f>+E13-E43</f>
        <v>0</v>
      </c>
      <c r="F45" s="245"/>
      <c r="G45" s="245"/>
    </row>
    <row r="46" spans="1:7" s="2" customFormat="1" ht="9.75" customHeight="1">
      <c r="A46" s="22"/>
      <c r="B46" s="69"/>
      <c r="C46" s="245"/>
      <c r="D46" s="245"/>
      <c r="E46" s="245"/>
      <c r="F46" s="245"/>
      <c r="G46" s="245"/>
    </row>
    <row r="47" spans="1:7" s="2" customFormat="1" ht="30" customHeight="1">
      <c r="A47" s="22"/>
      <c r="B47" s="69" t="s">
        <v>258</v>
      </c>
      <c r="C47" s="245">
        <f>+C23-C42</f>
        <v>0</v>
      </c>
      <c r="D47" s="245">
        <f>+D23-D42</f>
        <v>0</v>
      </c>
      <c r="E47" s="245">
        <f>+E23-E42</f>
        <v>0</v>
      </c>
      <c r="F47" s="245"/>
      <c r="G47" s="245"/>
    </row>
    <row r="48" spans="1:7" ht="28.5" customHeight="1">
      <c r="A48" s="4"/>
      <c r="B48" s="4" t="s">
        <v>468</v>
      </c>
      <c r="C48" s="4">
        <f>SUM(C45:C47)</f>
        <v>0</v>
      </c>
      <c r="D48" s="4">
        <f>SUM(D45:D47)</f>
        <v>0</v>
      </c>
      <c r="E48" s="4">
        <f>SUM(E45:E47)</f>
        <v>0</v>
      </c>
      <c r="F48" s="4"/>
      <c r="G48" s="4"/>
    </row>
    <row r="52" ht="18">
      <c r="B52" s="68"/>
    </row>
    <row r="53" ht="18">
      <c r="B53" s="68"/>
    </row>
    <row r="54" ht="18">
      <c r="B54" s="68"/>
    </row>
    <row r="55" ht="18">
      <c r="B55" s="68"/>
    </row>
    <row r="56" ht="18">
      <c r="B56" s="97"/>
    </row>
    <row r="57" ht="18">
      <c r="B57" s="68"/>
    </row>
    <row r="58" ht="18">
      <c r="B58" s="68"/>
    </row>
    <row r="59" ht="18">
      <c r="B59" s="68"/>
    </row>
    <row r="60" ht="18">
      <c r="B60" s="68"/>
    </row>
    <row r="61" ht="18">
      <c r="B61" s="68"/>
    </row>
    <row r="62" ht="18">
      <c r="B62" s="97"/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horizontalDpi="600" verticalDpi="600" orientation="landscape" paperSize="9" scale="59" r:id="rId1"/>
  <headerFooter alignWithMargins="0">
    <oddHeader xml:space="preserve">&amp;R&amp;"Times New Roman,Normál"&amp;9 &amp;10 &amp;12 3. sz. melléklet
 </oddHeader>
    <oddFooter xml:space="preserve">&amp;L&amp;"Times New Roman,Normál"&amp;9&amp;D &amp;T&amp;R&amp;"Times New Roman,Normál"&amp;9&amp;Z &amp;F </oddFooter>
  </headerFooter>
  <rowBreaks count="1" manualBreakCount="1">
    <brk id="25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3.7109375" style="79" customWidth="1"/>
    <col min="2" max="2" width="40.00390625" style="79" customWidth="1"/>
    <col min="3" max="3" width="12.57421875" style="79" customWidth="1"/>
    <col min="4" max="5" width="13.421875" style="79" customWidth="1"/>
    <col min="6" max="6" width="11.8515625" style="79" customWidth="1"/>
    <col min="7" max="16384" width="9.140625" style="79" customWidth="1"/>
  </cols>
  <sheetData>
    <row r="1" spans="1:4" ht="15">
      <c r="A1" s="77"/>
      <c r="B1" s="77"/>
      <c r="C1" s="77"/>
      <c r="D1" s="77"/>
    </row>
    <row r="2" spans="1:2" ht="15">
      <c r="A2" s="74"/>
      <c r="B2" s="79" t="s">
        <v>137</v>
      </c>
    </row>
    <row r="3" spans="1:4" ht="15">
      <c r="A3" s="75"/>
      <c r="B3" s="75"/>
      <c r="C3" s="75"/>
      <c r="D3" s="75"/>
    </row>
    <row r="4" spans="1:6" ht="15">
      <c r="A4" s="76"/>
      <c r="B4" s="87" t="s">
        <v>138</v>
      </c>
      <c r="C4" s="87" t="s">
        <v>133</v>
      </c>
      <c r="D4" s="87" t="s">
        <v>134</v>
      </c>
      <c r="E4" s="88" t="s">
        <v>135</v>
      </c>
      <c r="F4" s="88" t="s">
        <v>153</v>
      </c>
    </row>
    <row r="5" spans="1:6" ht="31.5" customHeight="1">
      <c r="A5" s="76"/>
      <c r="B5" s="89" t="s">
        <v>139</v>
      </c>
      <c r="C5" s="90">
        <f>+C19</f>
        <v>38629</v>
      </c>
      <c r="D5" s="90">
        <f>+D19</f>
        <v>130219</v>
      </c>
      <c r="E5" s="90">
        <f>+E19</f>
        <v>130219</v>
      </c>
      <c r="F5" s="90">
        <f>+F19</f>
        <v>130219</v>
      </c>
    </row>
    <row r="6" spans="1:6" ht="36.75" customHeight="1">
      <c r="A6" s="78"/>
      <c r="B6" s="89" t="s">
        <v>140</v>
      </c>
      <c r="C6" s="90">
        <f>+C5*0.5</f>
        <v>19314.5</v>
      </c>
      <c r="D6" s="90">
        <f>+D5*0.5</f>
        <v>65109.5</v>
      </c>
      <c r="E6" s="90">
        <f>+E5*0.5</f>
        <v>65109.5</v>
      </c>
      <c r="F6" s="90">
        <f>+F5*0.5</f>
        <v>65109.5</v>
      </c>
    </row>
    <row r="7" spans="1:6" ht="30.75">
      <c r="A7" s="78"/>
      <c r="B7" s="89" t="s">
        <v>141</v>
      </c>
      <c r="C7" s="90">
        <f>+C23</f>
        <v>1207</v>
      </c>
      <c r="D7" s="90">
        <f>+D23</f>
        <v>13759</v>
      </c>
      <c r="E7" s="90">
        <f>+E23</f>
        <v>13126</v>
      </c>
      <c r="F7" s="90">
        <f>+F23</f>
        <v>12858</v>
      </c>
    </row>
    <row r="8" ht="15">
      <c r="A8" s="74"/>
    </row>
    <row r="9" ht="15">
      <c r="A9" s="74"/>
    </row>
    <row r="10" ht="15">
      <c r="A10" s="74"/>
    </row>
    <row r="11" ht="15">
      <c r="A11" s="74"/>
    </row>
    <row r="13" spans="2:5" ht="15">
      <c r="B13" s="275"/>
      <c r="C13" s="275"/>
      <c r="D13" s="275"/>
      <c r="E13" s="275"/>
    </row>
    <row r="14" ht="15">
      <c r="A14" s="80"/>
    </row>
    <row r="15" spans="1:6" ht="15">
      <c r="A15" s="80"/>
      <c r="B15" s="87" t="s">
        <v>138</v>
      </c>
      <c r="C15" s="87" t="s">
        <v>133</v>
      </c>
      <c r="D15" s="87" t="s">
        <v>134</v>
      </c>
      <c r="E15" s="88" t="s">
        <v>135</v>
      </c>
      <c r="F15" s="88" t="s">
        <v>153</v>
      </c>
    </row>
    <row r="16" spans="1:6" ht="15">
      <c r="A16" s="81"/>
      <c r="B16" s="91" t="s">
        <v>142</v>
      </c>
      <c r="C16" s="94"/>
      <c r="D16" s="94"/>
      <c r="E16" s="94"/>
      <c r="F16" s="94"/>
    </row>
    <row r="17" spans="1:6" ht="15">
      <c r="A17" s="81"/>
      <c r="B17" s="92" t="s">
        <v>143</v>
      </c>
      <c r="C17" s="94">
        <v>8099</v>
      </c>
      <c r="D17" s="94">
        <v>8099</v>
      </c>
      <c r="E17" s="94">
        <v>8099</v>
      </c>
      <c r="F17" s="94">
        <v>8099</v>
      </c>
    </row>
    <row r="18" spans="1:6" ht="15">
      <c r="A18" s="81"/>
      <c r="B18" s="92" t="s">
        <v>185</v>
      </c>
      <c r="C18" s="94">
        <v>30530</v>
      </c>
      <c r="D18" s="94">
        <v>122120</v>
      </c>
      <c r="E18" s="94">
        <v>122120</v>
      </c>
      <c r="F18" s="94">
        <v>122120</v>
      </c>
    </row>
    <row r="19" spans="1:6" ht="15">
      <c r="A19" s="81"/>
      <c r="B19" s="91" t="s">
        <v>146</v>
      </c>
      <c r="C19" s="95">
        <f>SUM(C17:C18)</f>
        <v>38629</v>
      </c>
      <c r="D19" s="95">
        <f>SUM(D17:D18)</f>
        <v>130219</v>
      </c>
      <c r="E19" s="95">
        <f>SUM(E17:E18)</f>
        <v>130219</v>
      </c>
      <c r="F19" s="95">
        <f>SUM(F17:F18)</f>
        <v>130219</v>
      </c>
    </row>
    <row r="20" spans="1:6" ht="15">
      <c r="A20" s="81"/>
      <c r="B20" s="91" t="s">
        <v>136</v>
      </c>
      <c r="C20" s="95">
        <f>+C19*0.5</f>
        <v>19314.5</v>
      </c>
      <c r="D20" s="95">
        <f>+D19*0.5</f>
        <v>65109.5</v>
      </c>
      <c r="E20" s="95">
        <f>+E19*0.5</f>
        <v>65109.5</v>
      </c>
      <c r="F20" s="95">
        <f>+F19*0.5</f>
        <v>65109.5</v>
      </c>
    </row>
    <row r="21" spans="1:6" ht="15">
      <c r="A21" s="80"/>
      <c r="B21" s="92" t="s">
        <v>144</v>
      </c>
      <c r="C21" s="94">
        <f>+adósságszolgálat!C28</f>
        <v>0</v>
      </c>
      <c r="D21" s="94">
        <f>+adósságszolgálat!D28</f>
        <v>8779</v>
      </c>
      <c r="E21" s="94">
        <f>+adósságszolgálat!E28</f>
        <v>8429</v>
      </c>
      <c r="F21" s="94">
        <f>+adósságszolgálat!F28</f>
        <v>8429</v>
      </c>
    </row>
    <row r="22" spans="1:6" ht="15">
      <c r="A22" s="80"/>
      <c r="B22" s="92" t="s">
        <v>145</v>
      </c>
      <c r="C22" s="94">
        <f>+adósságszolgálat!C29</f>
        <v>1207</v>
      </c>
      <c r="D22" s="94">
        <f>+adósságszolgálat!D29</f>
        <v>4980</v>
      </c>
      <c r="E22" s="94">
        <f>+adósságszolgálat!E29</f>
        <v>4697</v>
      </c>
      <c r="F22" s="94">
        <f>+adósságszolgálat!F29</f>
        <v>4429</v>
      </c>
    </row>
    <row r="23" spans="1:6" ht="30.75">
      <c r="A23" s="82"/>
      <c r="B23" s="93" t="s">
        <v>147</v>
      </c>
      <c r="C23" s="96">
        <f>SUM(C21:C22)</f>
        <v>1207</v>
      </c>
      <c r="D23" s="96">
        <f>SUM(D21:D22)</f>
        <v>13759</v>
      </c>
      <c r="E23" s="96">
        <f>SUM(E21:E22)</f>
        <v>13126</v>
      </c>
      <c r="F23" s="96">
        <f>SUM(F21:F22)</f>
        <v>12858</v>
      </c>
    </row>
    <row r="24" spans="1:6" ht="30.75">
      <c r="A24" s="83"/>
      <c r="B24" s="93" t="s">
        <v>148</v>
      </c>
      <c r="C24" s="96">
        <f>+C20-C23</f>
        <v>18107.5</v>
      </c>
      <c r="D24" s="96">
        <f>+D20-D23</f>
        <v>51350.5</v>
      </c>
      <c r="E24" s="96">
        <f>+E20-E23</f>
        <v>51983.5</v>
      </c>
      <c r="F24" s="96">
        <f>+F20-F23</f>
        <v>52251.5</v>
      </c>
    </row>
    <row r="25" ht="15">
      <c r="A25" s="83"/>
    </row>
    <row r="26" ht="15">
      <c r="A26" s="80"/>
    </row>
    <row r="27" ht="15">
      <c r="A27" s="80"/>
    </row>
    <row r="28" ht="15">
      <c r="A28" s="80"/>
    </row>
    <row r="29" ht="15">
      <c r="A29" s="80"/>
    </row>
    <row r="30" ht="15">
      <c r="A30" s="84"/>
    </row>
    <row r="31" ht="15">
      <c r="A31" s="80"/>
    </row>
    <row r="32" ht="15">
      <c r="A32" s="80"/>
    </row>
    <row r="33" ht="15">
      <c r="A33" s="80"/>
    </row>
    <row r="34" ht="15">
      <c r="A34" s="80"/>
    </row>
    <row r="35" ht="15">
      <c r="A35" s="80"/>
    </row>
    <row r="36" ht="15">
      <c r="A36" s="84"/>
    </row>
    <row r="37" ht="15">
      <c r="A37" s="84"/>
    </row>
    <row r="38" ht="15">
      <c r="A38" s="83"/>
    </row>
    <row r="39" ht="15">
      <c r="A39" s="80"/>
    </row>
    <row r="40" ht="15">
      <c r="A40" s="84"/>
    </row>
    <row r="41" ht="15">
      <c r="A41" s="82"/>
    </row>
    <row r="42" ht="15">
      <c r="A42" s="83"/>
    </row>
    <row r="43" ht="15">
      <c r="A43" s="83"/>
    </row>
    <row r="44" ht="15">
      <c r="A44" s="80"/>
    </row>
    <row r="45" ht="15">
      <c r="A45" s="80"/>
    </row>
    <row r="46" ht="15">
      <c r="A46" s="80"/>
    </row>
    <row r="47" ht="15">
      <c r="A47" s="80"/>
    </row>
    <row r="48" ht="15">
      <c r="A48" s="84"/>
    </row>
    <row r="49" ht="15">
      <c r="A49" s="80"/>
    </row>
    <row r="50" ht="15">
      <c r="A50" s="80"/>
    </row>
    <row r="51" ht="15">
      <c r="A51" s="80"/>
    </row>
    <row r="52" ht="15">
      <c r="A52" s="80"/>
    </row>
    <row r="53" ht="15">
      <c r="A53" s="80"/>
    </row>
    <row r="54" ht="15">
      <c r="A54" s="84"/>
    </row>
    <row r="55" ht="15">
      <c r="A55" s="84"/>
    </row>
    <row r="56" ht="15">
      <c r="A56" s="83"/>
    </row>
    <row r="57" ht="15">
      <c r="A57" s="80"/>
    </row>
    <row r="58" ht="15">
      <c r="A58" s="81"/>
    </row>
    <row r="59" ht="15">
      <c r="A59" s="85"/>
    </row>
    <row r="60" ht="15">
      <c r="A60" s="86"/>
    </row>
  </sheetData>
  <sheetProtection/>
  <mergeCells count="1">
    <mergeCell ref="B13:E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r:id="rId1"/>
  <headerFooter alignWithMargins="0">
    <oddHeader>&amp;LA Társulás adósságot keletkeztető ügyleteibő eredő fizetési kötelezettség bemutatása&amp;R1. sz. kimutatás a .../2015.(...) határozathoz</oddHeader>
  </headerFooter>
  <rowBreaks count="1" manualBreakCount="1">
    <brk id="12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37"/>
  <sheetViews>
    <sheetView zoomScalePageLayoutView="0" workbookViewId="0" topLeftCell="A26">
      <selection activeCell="B41" sqref="B41"/>
    </sheetView>
  </sheetViews>
  <sheetFormatPr defaultColWidth="9.140625" defaultRowHeight="15"/>
  <cols>
    <col min="1" max="1" width="9.140625" style="39" customWidth="1"/>
    <col min="2" max="2" width="131.7109375" style="39" customWidth="1"/>
    <col min="3" max="12" width="9.8515625" style="39" bestFit="1" customWidth="1"/>
    <col min="13" max="13" width="11.421875" style="39" bestFit="1" customWidth="1"/>
    <col min="14" max="16384" width="9.140625" style="39" customWidth="1"/>
  </cols>
  <sheetData>
    <row r="1" ht="21" hidden="1"/>
    <row r="2" ht="21" hidden="1"/>
    <row r="3" spans="2:11" ht="115.5" customHeight="1" hidden="1">
      <c r="B3" s="37" t="s">
        <v>76</v>
      </c>
      <c r="C3" s="38">
        <v>2013</v>
      </c>
      <c r="D3" s="38">
        <v>2014</v>
      </c>
      <c r="E3" s="38">
        <v>2015</v>
      </c>
      <c r="F3" s="38">
        <v>2016</v>
      </c>
      <c r="G3" s="38">
        <v>2017</v>
      </c>
      <c r="H3" s="38">
        <v>2018</v>
      </c>
      <c r="I3" s="38">
        <v>2019</v>
      </c>
      <c r="J3" s="38">
        <v>2020</v>
      </c>
      <c r="K3" s="38">
        <v>2021</v>
      </c>
    </row>
    <row r="4" spans="2:11" ht="21" hidden="1">
      <c r="B4" s="40" t="s">
        <v>71</v>
      </c>
      <c r="C4" s="41">
        <v>773</v>
      </c>
      <c r="D4" s="41">
        <v>1517</v>
      </c>
      <c r="E4" s="41">
        <v>1517</v>
      </c>
      <c r="F4" s="41">
        <v>1517</v>
      </c>
      <c r="G4" s="41">
        <v>1517</v>
      </c>
      <c r="H4" s="41">
        <v>1517</v>
      </c>
      <c r="I4" s="41">
        <v>1517</v>
      </c>
      <c r="J4" s="41">
        <v>1517</v>
      </c>
      <c r="K4" s="41">
        <v>1517</v>
      </c>
    </row>
    <row r="5" spans="2:11" ht="21" hidden="1">
      <c r="B5" s="40" t="s">
        <v>72</v>
      </c>
      <c r="C5" s="41">
        <v>926</v>
      </c>
      <c r="D5" s="41">
        <v>1037</v>
      </c>
      <c r="E5" s="41">
        <v>973</v>
      </c>
      <c r="F5" s="41">
        <v>912</v>
      </c>
      <c r="G5" s="41">
        <v>846</v>
      </c>
      <c r="H5" s="41">
        <v>783</v>
      </c>
      <c r="I5" s="41">
        <v>719</v>
      </c>
      <c r="J5" s="41">
        <v>657</v>
      </c>
      <c r="K5" s="41">
        <v>592</v>
      </c>
    </row>
    <row r="6" spans="2:11" ht="21" hidden="1" thickBot="1">
      <c r="B6" s="42" t="s">
        <v>73</v>
      </c>
      <c r="C6" s="43">
        <v>10</v>
      </c>
      <c r="D6" s="43">
        <v>20</v>
      </c>
      <c r="E6" s="43">
        <v>20</v>
      </c>
      <c r="F6" s="43">
        <v>20</v>
      </c>
      <c r="G6" s="43">
        <v>20</v>
      </c>
      <c r="H6" s="43">
        <v>20</v>
      </c>
      <c r="I6" s="43">
        <v>20</v>
      </c>
      <c r="J6" s="43">
        <v>20</v>
      </c>
      <c r="K6" s="43">
        <v>20</v>
      </c>
    </row>
    <row r="7" spans="2:11" ht="21" hidden="1" thickTop="1">
      <c r="B7" s="44" t="s">
        <v>74</v>
      </c>
      <c r="C7" s="45">
        <f aca="true" t="shared" si="0" ref="C7:K7">SUM(C4:C6)</f>
        <v>1709</v>
      </c>
      <c r="D7" s="45">
        <f t="shared" si="0"/>
        <v>2574</v>
      </c>
      <c r="E7" s="45">
        <f t="shared" si="0"/>
        <v>2510</v>
      </c>
      <c r="F7" s="45">
        <f t="shared" si="0"/>
        <v>2449</v>
      </c>
      <c r="G7" s="45">
        <f t="shared" si="0"/>
        <v>2383</v>
      </c>
      <c r="H7" s="45">
        <f t="shared" si="0"/>
        <v>2320</v>
      </c>
      <c r="I7" s="45">
        <f t="shared" si="0"/>
        <v>2256</v>
      </c>
      <c r="J7" s="45">
        <f t="shared" si="0"/>
        <v>2194</v>
      </c>
      <c r="K7" s="45">
        <f t="shared" si="0"/>
        <v>2129</v>
      </c>
    </row>
    <row r="8" spans="2:21" ht="21" hidden="1"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</row>
    <row r="9" spans="2:21" ht="21" hidden="1">
      <c r="B9" s="46"/>
      <c r="C9" s="38">
        <v>2022</v>
      </c>
      <c r="D9" s="38">
        <v>2023</v>
      </c>
      <c r="E9" s="38">
        <v>2024</v>
      </c>
      <c r="F9" s="38">
        <v>2025</v>
      </c>
      <c r="G9" s="38">
        <v>2026</v>
      </c>
      <c r="H9" s="38">
        <v>2027</v>
      </c>
      <c r="I9" s="38">
        <v>2028</v>
      </c>
      <c r="J9" s="38">
        <v>2029</v>
      </c>
      <c r="K9" s="48">
        <v>2030</v>
      </c>
      <c r="L9" s="49" t="s">
        <v>75</v>
      </c>
      <c r="M9" s="47"/>
      <c r="N9" s="47"/>
      <c r="O9" s="47"/>
      <c r="P9" s="47"/>
      <c r="Q9" s="47"/>
      <c r="R9" s="47"/>
      <c r="S9" s="47"/>
      <c r="T9" s="47"/>
      <c r="U9" s="47"/>
    </row>
    <row r="10" spans="2:21" ht="21" hidden="1">
      <c r="B10" s="40" t="s">
        <v>71</v>
      </c>
      <c r="C10" s="41">
        <v>1517</v>
      </c>
      <c r="D10" s="41">
        <v>1517</v>
      </c>
      <c r="E10" s="41">
        <v>1517</v>
      </c>
      <c r="F10" s="41">
        <v>1517</v>
      </c>
      <c r="G10" s="41">
        <v>1517</v>
      </c>
      <c r="H10" s="41">
        <v>1517</v>
      </c>
      <c r="I10" s="41">
        <v>1517</v>
      </c>
      <c r="J10" s="41">
        <v>1517</v>
      </c>
      <c r="K10" s="41">
        <v>1138</v>
      </c>
      <c r="L10" s="50">
        <f>SUM(C4:K4,C10:K10)</f>
        <v>26183</v>
      </c>
      <c r="M10" s="47"/>
      <c r="N10" s="47"/>
      <c r="O10" s="47"/>
      <c r="P10" s="47"/>
      <c r="Q10" s="47"/>
      <c r="R10" s="47"/>
      <c r="S10" s="47"/>
      <c r="T10" s="47"/>
      <c r="U10" s="47"/>
    </row>
    <row r="11" spans="2:21" ht="21" hidden="1">
      <c r="B11" s="40" t="s">
        <v>72</v>
      </c>
      <c r="C11" s="41">
        <v>528</v>
      </c>
      <c r="D11" s="41">
        <v>465</v>
      </c>
      <c r="E11" s="41">
        <v>402</v>
      </c>
      <c r="F11" s="41">
        <v>337</v>
      </c>
      <c r="G11" s="41">
        <v>274</v>
      </c>
      <c r="H11" s="41">
        <v>210</v>
      </c>
      <c r="I11" s="41">
        <v>147</v>
      </c>
      <c r="J11" s="41">
        <v>83</v>
      </c>
      <c r="K11" s="51">
        <v>10</v>
      </c>
      <c r="L11" s="50">
        <f>SUM(C5:K5,C11:K11)</f>
        <v>9901</v>
      </c>
      <c r="M11" s="47"/>
      <c r="N11" s="47"/>
      <c r="O11" s="47"/>
      <c r="P11" s="47"/>
      <c r="Q11" s="47"/>
      <c r="R11" s="47"/>
      <c r="S11" s="47"/>
      <c r="T11" s="47"/>
      <c r="U11" s="47"/>
    </row>
    <row r="12" spans="2:21" ht="21" hidden="1" thickBot="1">
      <c r="B12" s="42" t="s">
        <v>73</v>
      </c>
      <c r="C12" s="43">
        <v>20</v>
      </c>
      <c r="D12" s="43">
        <v>20</v>
      </c>
      <c r="E12" s="43">
        <v>20</v>
      </c>
      <c r="F12" s="43">
        <v>20</v>
      </c>
      <c r="G12" s="43">
        <v>20</v>
      </c>
      <c r="H12" s="43">
        <v>20</v>
      </c>
      <c r="I12" s="43">
        <v>20</v>
      </c>
      <c r="J12" s="43">
        <v>20</v>
      </c>
      <c r="K12" s="43">
        <v>20</v>
      </c>
      <c r="L12" s="50">
        <f>SUM(C6:K6,C12:K12)</f>
        <v>350</v>
      </c>
      <c r="M12" s="47"/>
      <c r="N12" s="47"/>
      <c r="O12" s="47"/>
      <c r="P12" s="47"/>
      <c r="Q12" s="47"/>
      <c r="R12" s="47"/>
      <c r="S12" s="47"/>
      <c r="T12" s="47"/>
      <c r="U12" s="47"/>
    </row>
    <row r="13" spans="2:21" ht="21" hidden="1" thickTop="1">
      <c r="B13" s="44" t="s">
        <v>74</v>
      </c>
      <c r="C13" s="45">
        <f aca="true" t="shared" si="1" ref="C13:K13">SUM(C10:C12)</f>
        <v>2065</v>
      </c>
      <c r="D13" s="45">
        <f t="shared" si="1"/>
        <v>2002</v>
      </c>
      <c r="E13" s="45">
        <f t="shared" si="1"/>
        <v>1939</v>
      </c>
      <c r="F13" s="45">
        <f t="shared" si="1"/>
        <v>1874</v>
      </c>
      <c r="G13" s="45">
        <f t="shared" si="1"/>
        <v>1811</v>
      </c>
      <c r="H13" s="45">
        <f t="shared" si="1"/>
        <v>1747</v>
      </c>
      <c r="I13" s="45">
        <f t="shared" si="1"/>
        <v>1684</v>
      </c>
      <c r="J13" s="45">
        <f t="shared" si="1"/>
        <v>1620</v>
      </c>
      <c r="K13" s="52">
        <f t="shared" si="1"/>
        <v>1168</v>
      </c>
      <c r="L13" s="53">
        <f>SUM(C7:K7,C13:K13)</f>
        <v>36434</v>
      </c>
      <c r="M13" s="47"/>
      <c r="N13" s="47"/>
      <c r="O13" s="47"/>
      <c r="P13" s="47"/>
      <c r="Q13" s="47"/>
      <c r="R13" s="47"/>
      <c r="S13" s="47"/>
      <c r="T13" s="47"/>
      <c r="U13" s="47"/>
    </row>
    <row r="14" ht="21" hidden="1"/>
    <row r="15" spans="2:14" ht="113.25" customHeight="1" hidden="1">
      <c r="B15" s="37" t="s">
        <v>77</v>
      </c>
      <c r="C15" s="38">
        <v>2013</v>
      </c>
      <c r="D15" s="38">
        <v>2014</v>
      </c>
      <c r="E15" s="38">
        <v>2015</v>
      </c>
      <c r="F15" s="38">
        <v>2016</v>
      </c>
      <c r="G15" s="38">
        <v>2017</v>
      </c>
      <c r="H15" s="38">
        <v>2018</v>
      </c>
      <c r="I15" s="38">
        <v>2019</v>
      </c>
      <c r="J15" s="38">
        <v>2020</v>
      </c>
      <c r="K15" s="38">
        <v>2021</v>
      </c>
      <c r="L15" s="38">
        <v>2022</v>
      </c>
      <c r="M15" s="38">
        <v>2023</v>
      </c>
      <c r="N15" s="38">
        <v>2024</v>
      </c>
    </row>
    <row r="16" spans="2:14" ht="21" hidden="1">
      <c r="B16" s="40" t="s">
        <v>71</v>
      </c>
      <c r="C16" s="41">
        <v>0</v>
      </c>
      <c r="D16" s="41">
        <v>389</v>
      </c>
      <c r="E16" s="41">
        <v>1548</v>
      </c>
      <c r="F16" s="41">
        <v>1548.34</v>
      </c>
      <c r="G16" s="41">
        <v>1548.34</v>
      </c>
      <c r="H16" s="41">
        <v>1548.34</v>
      </c>
      <c r="I16" s="41">
        <v>1548.34</v>
      </c>
      <c r="J16" s="41">
        <v>1548.34</v>
      </c>
      <c r="K16" s="41">
        <v>1548.34</v>
      </c>
      <c r="L16" s="41">
        <v>1548.34</v>
      </c>
      <c r="M16" s="41">
        <v>1548.34</v>
      </c>
      <c r="N16" s="41">
        <v>1548.34</v>
      </c>
    </row>
    <row r="17" spans="2:14" ht="21" hidden="1">
      <c r="B17" s="40" t="s">
        <v>72</v>
      </c>
      <c r="C17" s="41">
        <v>1435</v>
      </c>
      <c r="D17" s="41">
        <v>1631</v>
      </c>
      <c r="E17" s="41">
        <v>1576</v>
      </c>
      <c r="F17" s="41">
        <v>1500</v>
      </c>
      <c r="G17" s="41">
        <v>1415</v>
      </c>
      <c r="H17" s="41">
        <v>1335</v>
      </c>
      <c r="I17" s="41">
        <v>1254</v>
      </c>
      <c r="J17" s="41">
        <v>1177</v>
      </c>
      <c r="K17" s="41">
        <v>1093</v>
      </c>
      <c r="L17" s="41">
        <v>1012</v>
      </c>
      <c r="M17" s="41">
        <v>931</v>
      </c>
      <c r="N17" s="41">
        <v>853</v>
      </c>
    </row>
    <row r="18" spans="2:14" ht="21" hidden="1" thickBot="1">
      <c r="B18" s="42" t="s">
        <v>73</v>
      </c>
      <c r="C18" s="43">
        <v>0</v>
      </c>
      <c r="D18" s="43">
        <v>20</v>
      </c>
      <c r="E18" s="43">
        <v>20</v>
      </c>
      <c r="F18" s="43">
        <v>20</v>
      </c>
      <c r="G18" s="43">
        <v>20</v>
      </c>
      <c r="H18" s="43">
        <v>20</v>
      </c>
      <c r="I18" s="43">
        <v>20</v>
      </c>
      <c r="J18" s="43">
        <v>20</v>
      </c>
      <c r="K18" s="43">
        <v>20</v>
      </c>
      <c r="L18" s="43">
        <v>20</v>
      </c>
      <c r="M18" s="43">
        <v>20</v>
      </c>
      <c r="N18" s="43">
        <v>20</v>
      </c>
    </row>
    <row r="19" spans="2:14" ht="21" hidden="1" thickTop="1">
      <c r="B19" s="44" t="s">
        <v>74</v>
      </c>
      <c r="C19" s="45">
        <f aca="true" t="shared" si="2" ref="C19:N19">SUM(C16:C18)</f>
        <v>1435</v>
      </c>
      <c r="D19" s="45">
        <f t="shared" si="2"/>
        <v>2040</v>
      </c>
      <c r="E19" s="45">
        <f t="shared" si="2"/>
        <v>3144</v>
      </c>
      <c r="F19" s="45">
        <f t="shared" si="2"/>
        <v>3068.34</v>
      </c>
      <c r="G19" s="45">
        <f t="shared" si="2"/>
        <v>2983.34</v>
      </c>
      <c r="H19" s="45">
        <f t="shared" si="2"/>
        <v>2903.34</v>
      </c>
      <c r="I19" s="45">
        <f t="shared" si="2"/>
        <v>2822.34</v>
      </c>
      <c r="J19" s="45">
        <f t="shared" si="2"/>
        <v>2745.34</v>
      </c>
      <c r="K19" s="45">
        <f t="shared" si="2"/>
        <v>2661.34</v>
      </c>
      <c r="L19" s="45">
        <f t="shared" si="2"/>
        <v>2580.34</v>
      </c>
      <c r="M19" s="45">
        <f t="shared" si="2"/>
        <v>2499.34</v>
      </c>
      <c r="N19" s="45">
        <f t="shared" si="2"/>
        <v>2421.34</v>
      </c>
    </row>
    <row r="20" ht="21" hidden="1"/>
    <row r="21" spans="3:13" ht="21" hidden="1">
      <c r="C21" s="38">
        <v>2025</v>
      </c>
      <c r="D21" s="38">
        <v>2026</v>
      </c>
      <c r="E21" s="38">
        <v>2027</v>
      </c>
      <c r="F21" s="38">
        <v>2028</v>
      </c>
      <c r="G21" s="38">
        <v>2029</v>
      </c>
      <c r="H21" s="38">
        <v>2030</v>
      </c>
      <c r="I21" s="38">
        <v>2031</v>
      </c>
      <c r="J21" s="38">
        <v>2032</v>
      </c>
      <c r="K21" s="38">
        <v>2033</v>
      </c>
      <c r="L21" s="38">
        <v>2034</v>
      </c>
      <c r="M21" s="49" t="s">
        <v>75</v>
      </c>
    </row>
    <row r="22" spans="2:13" ht="21" hidden="1">
      <c r="B22" s="40" t="s">
        <v>71</v>
      </c>
      <c r="C22" s="41">
        <v>1548.34</v>
      </c>
      <c r="D22" s="41">
        <v>1548.34</v>
      </c>
      <c r="E22" s="41">
        <v>1548.34</v>
      </c>
      <c r="F22" s="41">
        <v>1548.34</v>
      </c>
      <c r="G22" s="41">
        <v>1548.34</v>
      </c>
      <c r="H22" s="41">
        <v>1548.34</v>
      </c>
      <c r="I22" s="41">
        <v>1548.34</v>
      </c>
      <c r="J22" s="41">
        <v>1548.34</v>
      </c>
      <c r="K22" s="41">
        <v>1548.34</v>
      </c>
      <c r="L22" s="41">
        <v>1548.34</v>
      </c>
      <c r="M22" s="50">
        <f>SUM(C16:N16,C22:L22)</f>
        <v>31355.460000000003</v>
      </c>
    </row>
    <row r="23" spans="2:13" ht="21" hidden="1">
      <c r="B23" s="40" t="s">
        <v>72</v>
      </c>
      <c r="C23" s="41">
        <v>770</v>
      </c>
      <c r="D23" s="41">
        <v>690</v>
      </c>
      <c r="E23" s="41">
        <v>609</v>
      </c>
      <c r="F23" s="41">
        <v>530</v>
      </c>
      <c r="G23" s="41">
        <v>448</v>
      </c>
      <c r="H23" s="41">
        <v>367</v>
      </c>
      <c r="I23" s="41">
        <v>286</v>
      </c>
      <c r="J23" s="41">
        <v>206</v>
      </c>
      <c r="K23" s="41">
        <v>125</v>
      </c>
      <c r="L23" s="41">
        <v>30</v>
      </c>
      <c r="M23" s="50">
        <f>SUM(C17:N17,C23:L23)</f>
        <v>19273</v>
      </c>
    </row>
    <row r="24" spans="2:13" ht="21" hidden="1" thickBot="1">
      <c r="B24" s="42" t="s">
        <v>73</v>
      </c>
      <c r="C24" s="43">
        <v>20</v>
      </c>
      <c r="D24" s="43">
        <v>20</v>
      </c>
      <c r="E24" s="43">
        <v>20</v>
      </c>
      <c r="F24" s="43">
        <v>20</v>
      </c>
      <c r="G24" s="43">
        <v>20</v>
      </c>
      <c r="H24" s="43">
        <v>20</v>
      </c>
      <c r="I24" s="43">
        <v>20</v>
      </c>
      <c r="J24" s="43">
        <v>20</v>
      </c>
      <c r="K24" s="43">
        <v>20</v>
      </c>
      <c r="L24" s="43">
        <v>15</v>
      </c>
      <c r="M24" s="50">
        <f>SUM(C18:N18,C24:L24)</f>
        <v>415</v>
      </c>
    </row>
    <row r="25" spans="2:13" ht="21" hidden="1" thickTop="1">
      <c r="B25" s="44" t="s">
        <v>74</v>
      </c>
      <c r="C25" s="45">
        <f aca="true" t="shared" si="3" ref="C25:L25">SUM(C22:C24)</f>
        <v>2338.34</v>
      </c>
      <c r="D25" s="45">
        <f t="shared" si="3"/>
        <v>2258.34</v>
      </c>
      <c r="E25" s="45">
        <f t="shared" si="3"/>
        <v>2177.34</v>
      </c>
      <c r="F25" s="45">
        <f t="shared" si="3"/>
        <v>2098.34</v>
      </c>
      <c r="G25" s="45">
        <f t="shared" si="3"/>
        <v>2016.34</v>
      </c>
      <c r="H25" s="45">
        <f t="shared" si="3"/>
        <v>1935.34</v>
      </c>
      <c r="I25" s="45">
        <f t="shared" si="3"/>
        <v>1854.34</v>
      </c>
      <c r="J25" s="45">
        <f t="shared" si="3"/>
        <v>1774.34</v>
      </c>
      <c r="K25" s="45">
        <f t="shared" si="3"/>
        <v>1693.34</v>
      </c>
      <c r="L25" s="45">
        <f t="shared" si="3"/>
        <v>1593.34</v>
      </c>
      <c r="M25" s="53">
        <f>SUM(C19:N19,C25:L25)</f>
        <v>51043.45999999998</v>
      </c>
    </row>
    <row r="27" spans="2:14" ht="127.5" customHeight="1">
      <c r="B27" s="37" t="s">
        <v>186</v>
      </c>
      <c r="C27" s="38">
        <v>2015</v>
      </c>
      <c r="D27" s="38">
        <v>2016</v>
      </c>
      <c r="E27" s="38">
        <v>2017</v>
      </c>
      <c r="F27" s="38">
        <v>2018</v>
      </c>
      <c r="G27" s="38">
        <v>2019</v>
      </c>
      <c r="H27" s="38">
        <v>2020</v>
      </c>
      <c r="I27" s="38">
        <v>2021</v>
      </c>
      <c r="J27" s="38">
        <v>2022</v>
      </c>
      <c r="K27" s="38">
        <v>2023</v>
      </c>
      <c r="L27" s="38">
        <v>2024</v>
      </c>
      <c r="M27" s="38">
        <v>2025</v>
      </c>
      <c r="N27" s="54"/>
    </row>
    <row r="28" spans="2:14" ht="21">
      <c r="B28" s="40" t="s">
        <v>71</v>
      </c>
      <c r="C28" s="41">
        <v>0</v>
      </c>
      <c r="D28" s="41">
        <v>8779</v>
      </c>
      <c r="E28" s="41">
        <v>8429</v>
      </c>
      <c r="F28" s="41">
        <v>8429</v>
      </c>
      <c r="G28" s="41">
        <v>8429</v>
      </c>
      <c r="H28" s="41">
        <v>8429</v>
      </c>
      <c r="I28" s="41">
        <v>8429</v>
      </c>
      <c r="J28" s="41">
        <v>8429</v>
      </c>
      <c r="K28" s="41">
        <v>8429</v>
      </c>
      <c r="L28" s="41">
        <v>8429</v>
      </c>
      <c r="M28" s="41">
        <v>8429</v>
      </c>
      <c r="N28" s="55"/>
    </row>
    <row r="29" spans="2:14" ht="21">
      <c r="B29" s="40" t="s">
        <v>72</v>
      </c>
      <c r="C29" s="41">
        <v>1207</v>
      </c>
      <c r="D29" s="41">
        <v>4980</v>
      </c>
      <c r="E29" s="41">
        <v>4697</v>
      </c>
      <c r="F29" s="41">
        <v>4429</v>
      </c>
      <c r="G29" s="41">
        <v>4162</v>
      </c>
      <c r="H29" s="41">
        <v>3905</v>
      </c>
      <c r="I29" s="41">
        <v>3627</v>
      </c>
      <c r="J29" s="41">
        <v>3359</v>
      </c>
      <c r="K29" s="41">
        <v>3091</v>
      </c>
      <c r="L29" s="41">
        <v>2832</v>
      </c>
      <c r="M29" s="41">
        <v>2556</v>
      </c>
      <c r="N29" s="55"/>
    </row>
    <row r="30" spans="2:14" ht="21" thickBot="1">
      <c r="B30" s="42" t="s">
        <v>73</v>
      </c>
      <c r="C30" s="43">
        <v>732</v>
      </c>
      <c r="D30" s="43">
        <v>732</v>
      </c>
      <c r="E30" s="43">
        <v>732</v>
      </c>
      <c r="F30" s="43">
        <v>732</v>
      </c>
      <c r="G30" s="43">
        <v>732</v>
      </c>
      <c r="H30" s="43">
        <v>732</v>
      </c>
      <c r="I30" s="43">
        <v>732</v>
      </c>
      <c r="J30" s="43">
        <v>732</v>
      </c>
      <c r="K30" s="43">
        <v>732</v>
      </c>
      <c r="L30" s="43">
        <v>732</v>
      </c>
      <c r="M30" s="43">
        <v>732</v>
      </c>
      <c r="N30" s="55"/>
    </row>
    <row r="31" spans="2:14" ht="21" thickTop="1">
      <c r="B31" s="44" t="s">
        <v>74</v>
      </c>
      <c r="C31" s="45">
        <f aca="true" t="shared" si="4" ref="C31:M31">SUM(C28:C30)</f>
        <v>1939</v>
      </c>
      <c r="D31" s="45">
        <f t="shared" si="4"/>
        <v>14491</v>
      </c>
      <c r="E31" s="45">
        <f t="shared" si="4"/>
        <v>13858</v>
      </c>
      <c r="F31" s="45">
        <f t="shared" si="4"/>
        <v>13590</v>
      </c>
      <c r="G31" s="45">
        <f t="shared" si="4"/>
        <v>13323</v>
      </c>
      <c r="H31" s="45">
        <f t="shared" si="4"/>
        <v>13066</v>
      </c>
      <c r="I31" s="45">
        <f t="shared" si="4"/>
        <v>12788</v>
      </c>
      <c r="J31" s="45">
        <f t="shared" si="4"/>
        <v>12520</v>
      </c>
      <c r="K31" s="45">
        <f t="shared" si="4"/>
        <v>12252</v>
      </c>
      <c r="L31" s="45">
        <f t="shared" si="4"/>
        <v>11993</v>
      </c>
      <c r="M31" s="45">
        <f t="shared" si="4"/>
        <v>11717</v>
      </c>
      <c r="N31" s="56"/>
    </row>
    <row r="32" ht="21">
      <c r="N32" s="57"/>
    </row>
    <row r="33" spans="3:14" ht="21">
      <c r="C33" s="38">
        <v>2026</v>
      </c>
      <c r="D33" s="38">
        <v>2027</v>
      </c>
      <c r="E33" s="38">
        <v>2028</v>
      </c>
      <c r="F33" s="38">
        <v>2029</v>
      </c>
      <c r="G33" s="38">
        <v>2030</v>
      </c>
      <c r="H33" s="38">
        <v>2031</v>
      </c>
      <c r="I33" s="38">
        <v>2032</v>
      </c>
      <c r="J33" s="38">
        <v>2033</v>
      </c>
      <c r="K33" s="38">
        <v>2034</v>
      </c>
      <c r="L33" s="38">
        <v>2035</v>
      </c>
      <c r="M33" s="49" t="s">
        <v>75</v>
      </c>
      <c r="N33" s="58"/>
    </row>
    <row r="34" spans="2:14" ht="21">
      <c r="B34" s="40" t="s">
        <v>71</v>
      </c>
      <c r="C34" s="41">
        <v>8429</v>
      </c>
      <c r="D34" s="41">
        <v>8429</v>
      </c>
      <c r="E34" s="41">
        <v>8429</v>
      </c>
      <c r="F34" s="41">
        <v>8429</v>
      </c>
      <c r="G34" s="41">
        <v>8429</v>
      </c>
      <c r="H34" s="41">
        <v>8429</v>
      </c>
      <c r="I34" s="41">
        <v>8429</v>
      </c>
      <c r="J34" s="41">
        <v>8429</v>
      </c>
      <c r="K34" s="41">
        <v>8429</v>
      </c>
      <c r="L34" s="41">
        <v>0</v>
      </c>
      <c r="M34" s="50">
        <f>SUM(C28:M28,C34:L34)</f>
        <v>160501</v>
      </c>
      <c r="N34" s="59"/>
    </row>
    <row r="35" spans="2:14" ht="21">
      <c r="B35" s="40" t="s">
        <v>72</v>
      </c>
      <c r="C35" s="41">
        <v>2289</v>
      </c>
      <c r="D35" s="41">
        <v>2021</v>
      </c>
      <c r="E35" s="41">
        <v>1759</v>
      </c>
      <c r="F35" s="41">
        <v>1486</v>
      </c>
      <c r="G35" s="41">
        <v>1218</v>
      </c>
      <c r="H35" s="41">
        <v>951</v>
      </c>
      <c r="I35" s="41">
        <v>685</v>
      </c>
      <c r="J35" s="41">
        <v>415</v>
      </c>
      <c r="K35" s="41">
        <v>122</v>
      </c>
      <c r="L35" s="41">
        <v>0</v>
      </c>
      <c r="M35" s="50">
        <f>SUM(C29:M29,C35:L35)</f>
        <v>49791</v>
      </c>
      <c r="N35" s="59"/>
    </row>
    <row r="36" spans="2:14" ht="21" thickBot="1">
      <c r="B36" s="42" t="s">
        <v>73</v>
      </c>
      <c r="C36" s="43">
        <v>732</v>
      </c>
      <c r="D36" s="43">
        <v>732</v>
      </c>
      <c r="E36" s="43">
        <v>732</v>
      </c>
      <c r="F36" s="43">
        <v>732</v>
      </c>
      <c r="G36" s="43">
        <v>732</v>
      </c>
      <c r="H36" s="43">
        <v>732</v>
      </c>
      <c r="I36" s="43">
        <v>732</v>
      </c>
      <c r="J36" s="43">
        <v>732</v>
      </c>
      <c r="K36" s="43">
        <v>732</v>
      </c>
      <c r="L36" s="43">
        <v>0</v>
      </c>
      <c r="M36" s="50">
        <f>SUM(C30:M30,C36:L36)</f>
        <v>14640</v>
      </c>
      <c r="N36" s="59"/>
    </row>
    <row r="37" spans="2:14" ht="21" thickTop="1">
      <c r="B37" s="44" t="s">
        <v>74</v>
      </c>
      <c r="C37" s="45">
        <f aca="true" t="shared" si="5" ref="C37:L37">SUM(C34:C36)</f>
        <v>11450</v>
      </c>
      <c r="D37" s="45">
        <f t="shared" si="5"/>
        <v>11182</v>
      </c>
      <c r="E37" s="45">
        <f t="shared" si="5"/>
        <v>10920</v>
      </c>
      <c r="F37" s="45">
        <f t="shared" si="5"/>
        <v>10647</v>
      </c>
      <c r="G37" s="45">
        <f t="shared" si="5"/>
        <v>10379</v>
      </c>
      <c r="H37" s="45">
        <f t="shared" si="5"/>
        <v>10112</v>
      </c>
      <c r="I37" s="45">
        <f t="shared" si="5"/>
        <v>9846</v>
      </c>
      <c r="J37" s="45">
        <f t="shared" si="5"/>
        <v>9576</v>
      </c>
      <c r="K37" s="45">
        <f t="shared" si="5"/>
        <v>9283</v>
      </c>
      <c r="L37" s="45">
        <f t="shared" si="5"/>
        <v>0</v>
      </c>
      <c r="M37" s="53">
        <f>SUM(C31:M31,C37:L37)</f>
        <v>224932</v>
      </c>
      <c r="N37" s="59"/>
    </row>
  </sheetData>
  <sheetProtection/>
  <printOptions/>
  <pageMargins left="0.7086614173228347" right="0.7086614173228347" top="0.6299212598425197" bottom="0.4330708661417323" header="0.31496062992125984" footer="0.31496062992125984"/>
  <pageSetup fitToHeight="1" fitToWidth="1" horizontalDpi="600" verticalDpi="600" orientation="landscape" paperSize="9" scale="50" r:id="rId1"/>
  <headerFooter alignWithMargins="0">
    <oddHeader>&amp;C&amp;14A Kaposmenti Hulladékgazdálkodási Társulás "KEOP 1.1.1. Hulladékgazdálkodási Program" pályázatához kapcsolódó adósságszolgálatának várható alakulása
a felvett hitelösszegnek megfelelően&amp;R
2. sz. kimutatás a .../2015.(...) sz. határozathoz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C4:J20"/>
  <sheetViews>
    <sheetView zoomScalePageLayoutView="0" workbookViewId="0" topLeftCell="A1">
      <selection activeCell="E30" sqref="E30"/>
    </sheetView>
  </sheetViews>
  <sheetFormatPr defaultColWidth="9.140625" defaultRowHeight="15"/>
  <cols>
    <col min="3" max="3" width="15.28125" style="0" bestFit="1" customWidth="1"/>
    <col min="4" max="4" width="10.8515625" style="0" bestFit="1" customWidth="1"/>
    <col min="5" max="5" width="19.57421875" style="0" bestFit="1" customWidth="1"/>
    <col min="6" max="7" width="10.8515625" style="0" bestFit="1" customWidth="1"/>
  </cols>
  <sheetData>
    <row r="4" spans="3:6" ht="14.25">
      <c r="C4" s="260" t="s">
        <v>154</v>
      </c>
      <c r="D4" s="260"/>
      <c r="E4" s="260"/>
      <c r="F4" s="260"/>
    </row>
    <row r="5" spans="3:6" ht="14.25">
      <c r="C5" s="99"/>
      <c r="D5" s="99"/>
      <c r="E5" s="99"/>
      <c r="F5" s="99"/>
    </row>
    <row r="6" spans="3:10" ht="14.25">
      <c r="C6" s="100" t="s">
        <v>155</v>
      </c>
      <c r="D6" s="101" t="s">
        <v>156</v>
      </c>
      <c r="E6" s="100" t="s">
        <v>157</v>
      </c>
      <c r="F6" s="101" t="s">
        <v>158</v>
      </c>
      <c r="I6" s="102" t="s">
        <v>72</v>
      </c>
      <c r="J6" t="s">
        <v>159</v>
      </c>
    </row>
    <row r="7" spans="3:6" ht="14.25">
      <c r="C7" s="103">
        <v>42019</v>
      </c>
      <c r="D7" s="101">
        <v>8046001</v>
      </c>
      <c r="E7" s="100"/>
      <c r="F7" s="101"/>
    </row>
    <row r="8" spans="3:10" ht="14.25">
      <c r="C8" s="100"/>
      <c r="D8" s="101"/>
      <c r="E8" s="103">
        <v>42063</v>
      </c>
      <c r="F8" s="101">
        <v>4083369</v>
      </c>
      <c r="G8" s="60">
        <f>+D7-F8</f>
        <v>3962632</v>
      </c>
      <c r="H8" s="60" t="s">
        <v>160</v>
      </c>
      <c r="I8">
        <f>+G8*0.0583/12</f>
        <v>19251.78713333333</v>
      </c>
      <c r="J8">
        <f>+G8*0.005/12</f>
        <v>1651.0966666666666</v>
      </c>
    </row>
    <row r="9" spans="3:10" ht="14.25">
      <c r="C9" s="103">
        <v>42109</v>
      </c>
      <c r="D9" s="101">
        <v>14292742</v>
      </c>
      <c r="E9" s="100"/>
      <c r="F9" s="101"/>
      <c r="G9" s="60">
        <f>+D7-F8</f>
        <v>3962632</v>
      </c>
      <c r="H9" t="s">
        <v>161</v>
      </c>
      <c r="I9">
        <f>+G9*0.0583/12*3</f>
        <v>57755.361399999994</v>
      </c>
      <c r="J9">
        <f>+G9*0.005/12*3</f>
        <v>4953.29</v>
      </c>
    </row>
    <row r="10" spans="3:10" ht="14.25">
      <c r="C10" s="100"/>
      <c r="D10" s="101"/>
      <c r="E10" s="103">
        <v>42155</v>
      </c>
      <c r="F10" s="101">
        <v>18255374</v>
      </c>
      <c r="G10" s="60">
        <f>+D9</f>
        <v>14292742</v>
      </c>
      <c r="H10" s="60" t="s">
        <v>160</v>
      </c>
      <c r="I10">
        <f>+G10*0.0583/12</f>
        <v>69438.90488333332</v>
      </c>
      <c r="J10">
        <f>+G10*0.005/12</f>
        <v>5955.309166666667</v>
      </c>
    </row>
    <row r="11" spans="3:10" ht="14.25">
      <c r="C11" s="103">
        <v>42200</v>
      </c>
      <c r="D11" s="101">
        <v>3366749</v>
      </c>
      <c r="E11" s="100"/>
      <c r="F11" s="101"/>
      <c r="G11" s="60">
        <f>+D11</f>
        <v>3366749</v>
      </c>
      <c r="H11" t="s">
        <v>162</v>
      </c>
      <c r="I11">
        <f>+G11*0.0583/12*2</f>
        <v>32713.57778333333</v>
      </c>
      <c r="J11">
        <f>+G11*0.005/12*2</f>
        <v>2805.6241666666665</v>
      </c>
    </row>
    <row r="12" spans="3:10" ht="14.25">
      <c r="C12" s="103">
        <v>42231</v>
      </c>
      <c r="D12" s="101">
        <v>377909323</v>
      </c>
      <c r="E12" s="100"/>
      <c r="F12" s="101"/>
      <c r="G12" s="60">
        <f>+D12-F13</f>
        <v>363481582</v>
      </c>
      <c r="H12" s="60" t="s">
        <v>161</v>
      </c>
      <c r="I12">
        <f>+G12*0.0583/12*3</f>
        <v>5297744.05765</v>
      </c>
      <c r="J12">
        <f>+G12*0.005/12*3</f>
        <v>454351.97750000004</v>
      </c>
    </row>
    <row r="13" spans="3:10" ht="14.25">
      <c r="C13" s="100"/>
      <c r="D13" s="101"/>
      <c r="E13" s="103">
        <v>42247</v>
      </c>
      <c r="F13" s="101">
        <v>14427741</v>
      </c>
      <c r="G13" s="60">
        <f>+D14</f>
        <v>3157229</v>
      </c>
      <c r="H13" t="s">
        <v>160</v>
      </c>
      <c r="I13">
        <f>+G13*0.0583/12</f>
        <v>15338.870891666666</v>
      </c>
      <c r="J13">
        <f>+G13*0.005/12</f>
        <v>1315.5120833333333</v>
      </c>
    </row>
    <row r="14" spans="3:10" ht="14.25">
      <c r="C14" s="103">
        <v>42262</v>
      </c>
      <c r="D14" s="101">
        <v>3157229</v>
      </c>
      <c r="E14" s="100"/>
      <c r="F14" s="101"/>
      <c r="I14" s="60">
        <f>SUM(I8:I13)</f>
        <v>5492242.559741667</v>
      </c>
      <c r="J14" s="60">
        <f>SUM(J8:J13)</f>
        <v>471032.8095833334</v>
      </c>
    </row>
    <row r="15" spans="3:6" ht="14.25">
      <c r="C15" s="100"/>
      <c r="D15" s="101"/>
      <c r="E15" s="103">
        <v>42338</v>
      </c>
      <c r="F15" s="101">
        <v>370005560</v>
      </c>
    </row>
    <row r="16" spans="4:6" ht="14.25">
      <c r="D16" s="60">
        <f>SUM(D7:D15)</f>
        <v>406772044</v>
      </c>
      <c r="E16" s="60"/>
      <c r="F16" s="60">
        <f>SUM(F7:F15)</f>
        <v>406772044</v>
      </c>
    </row>
    <row r="17" spans="4:6" ht="14.25">
      <c r="D17" s="60"/>
      <c r="F17" s="60"/>
    </row>
    <row r="18" spans="4:6" ht="14.25">
      <c r="D18" s="60"/>
      <c r="F18" s="60"/>
    </row>
    <row r="19" spans="4:9" ht="14.25">
      <c r="D19" s="60"/>
      <c r="F19" s="60"/>
      <c r="I19" s="60">
        <f>SUM(I14,J14)</f>
        <v>5963275.369325</v>
      </c>
    </row>
    <row r="20" spans="4:6" ht="14.25">
      <c r="D20" s="60"/>
      <c r="F20" s="60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76" t="s">
        <v>83</v>
      </c>
      <c r="E9" s="276"/>
      <c r="F9" s="276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7312</v>
      </c>
    </row>
    <row r="15" spans="4:6" ht="14.25">
      <c r="D15" t="s">
        <v>108</v>
      </c>
      <c r="F15" s="65">
        <v>2700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3165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163177</v>
      </c>
      <c r="H18" t="s">
        <v>107</v>
      </c>
      <c r="I18" s="60">
        <v>46</v>
      </c>
    </row>
    <row r="19" spans="8:9" ht="14.25">
      <c r="H19" t="s">
        <v>101</v>
      </c>
      <c r="I19" s="60">
        <v>658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3197</v>
      </c>
    </row>
    <row r="24" spans="8:9" ht="14.25">
      <c r="H24" t="s">
        <v>110</v>
      </c>
      <c r="I24" s="60">
        <f>+F17-I23</f>
        <v>-32</v>
      </c>
    </row>
    <row r="25" spans="4:8" ht="14.25">
      <c r="D25" t="s">
        <v>99</v>
      </c>
      <c r="H25" s="66" t="s">
        <v>113</v>
      </c>
    </row>
    <row r="26" spans="4:8" ht="14.25">
      <c r="D26" t="s">
        <v>100</v>
      </c>
      <c r="F26" s="60">
        <v>7358</v>
      </c>
      <c r="H26" t="s">
        <v>121</v>
      </c>
    </row>
    <row r="27" spans="4:9" ht="14.25">
      <c r="D27" t="s">
        <v>101</v>
      </c>
      <c r="F27" s="60">
        <v>658</v>
      </c>
      <c r="I27" s="67"/>
    </row>
    <row r="28" spans="4:9" ht="14.25">
      <c r="D28" t="s">
        <v>102</v>
      </c>
      <c r="F28" s="60">
        <v>127</v>
      </c>
      <c r="I28" s="60"/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9" ht="14.25">
      <c r="D32" t="s">
        <v>112</v>
      </c>
      <c r="F32" s="60">
        <f>+B3-B5-F31</f>
        <v>1466</v>
      </c>
      <c r="I32" s="60"/>
    </row>
    <row r="33" spans="4:6" ht="14.25">
      <c r="D33" t="s">
        <v>90</v>
      </c>
      <c r="F33" s="60">
        <f>SUM(F26:F32)</f>
        <v>163209</v>
      </c>
    </row>
    <row r="34" spans="4:6" ht="14.25">
      <c r="D34" t="s">
        <v>116</v>
      </c>
      <c r="F34" s="60">
        <f>+F33-F18</f>
        <v>32</v>
      </c>
    </row>
    <row r="35" ht="14.25">
      <c r="F35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76" t="s">
        <v>83</v>
      </c>
      <c r="E9" s="276"/>
      <c r="F9" s="276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3165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163177</v>
      </c>
      <c r="H18" t="s">
        <v>107</v>
      </c>
      <c r="I18" s="60">
        <v>0</v>
      </c>
    </row>
    <row r="19" spans="8:9" ht="14.25">
      <c r="H19" t="s">
        <v>101</v>
      </c>
      <c r="I19" s="60">
        <v>623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3116</v>
      </c>
    </row>
    <row r="24" spans="8:9" ht="14.25">
      <c r="H24" t="s">
        <v>110</v>
      </c>
      <c r="I24" s="60">
        <f>+F17-I23</f>
        <v>49</v>
      </c>
    </row>
    <row r="25" spans="4:8" ht="14.25">
      <c r="D25" t="s">
        <v>99</v>
      </c>
      <c r="H25" s="66" t="s">
        <v>113</v>
      </c>
    </row>
    <row r="26" spans="4:9" ht="14.25">
      <c r="D26" t="s">
        <v>124</v>
      </c>
      <c r="F26" s="60">
        <v>7277</v>
      </c>
      <c r="H26" t="s">
        <v>125</v>
      </c>
      <c r="I26" t="s">
        <v>126</v>
      </c>
    </row>
    <row r="27" spans="4:9" ht="14.25">
      <c r="D27" t="s">
        <v>101</v>
      </c>
      <c r="F27" s="60">
        <v>658</v>
      </c>
      <c r="H27" t="s">
        <v>127</v>
      </c>
      <c r="I27" s="67" t="s">
        <v>128</v>
      </c>
    </row>
    <row r="28" spans="4:9" ht="14.25">
      <c r="D28" t="s">
        <v>102</v>
      </c>
      <c r="F28" s="60">
        <v>127</v>
      </c>
      <c r="I28" s="60" t="s">
        <v>129</v>
      </c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6" ht="14.25">
      <c r="D32" t="s">
        <v>112</v>
      </c>
      <c r="F32" s="60">
        <f>+B3-B5-F31</f>
        <v>1466</v>
      </c>
    </row>
    <row r="33" spans="4:6" ht="14.25">
      <c r="D33" t="s">
        <v>90</v>
      </c>
      <c r="F33" s="60">
        <f>SUM(F26:F32)</f>
        <v>163128</v>
      </c>
    </row>
    <row r="34" spans="4:6" ht="14.25">
      <c r="D34" t="s">
        <v>116</v>
      </c>
      <c r="F34" s="60">
        <f>+F33-F18</f>
        <v>-49</v>
      </c>
    </row>
    <row r="35" ht="14.25">
      <c r="F35" s="60"/>
    </row>
    <row r="38" ht="14.25">
      <c r="D38" t="s">
        <v>130</v>
      </c>
    </row>
    <row r="39" ht="14.25">
      <c r="D39" t="s">
        <v>99</v>
      </c>
    </row>
    <row r="40" spans="4:6" ht="14.25">
      <c r="D40" t="s">
        <v>124</v>
      </c>
      <c r="F40" s="60">
        <v>7326</v>
      </c>
    </row>
    <row r="41" spans="4:6" ht="14.25">
      <c r="D41" t="s">
        <v>101</v>
      </c>
      <c r="F41" s="60">
        <v>658</v>
      </c>
    </row>
    <row r="42" spans="4:6" ht="14.25">
      <c r="D42" t="s">
        <v>102</v>
      </c>
      <c r="F42" s="60">
        <v>127</v>
      </c>
    </row>
    <row r="43" spans="4:6" ht="14.25">
      <c r="D43" t="s">
        <v>115</v>
      </c>
      <c r="F43" s="60">
        <v>150000</v>
      </c>
    </row>
    <row r="44" spans="4:6" ht="14.25">
      <c r="D44" t="s">
        <v>120</v>
      </c>
      <c r="F44" s="60">
        <v>900</v>
      </c>
    </row>
    <row r="45" spans="4:6" ht="14.25">
      <c r="D45" t="s">
        <v>122</v>
      </c>
      <c r="F45" s="60">
        <v>2700</v>
      </c>
    </row>
    <row r="46" spans="4:6" ht="14.25">
      <c r="D46" t="s">
        <v>112</v>
      </c>
      <c r="F46" s="60">
        <f>+B3-B5-F31</f>
        <v>1466</v>
      </c>
    </row>
    <row r="47" spans="4:6" ht="14.25">
      <c r="D47" t="s">
        <v>90</v>
      </c>
      <c r="F47" s="60">
        <f>SUM(F40:F46)</f>
        <v>163177</v>
      </c>
    </row>
    <row r="48" spans="4:6" ht="14.25">
      <c r="D48" t="s">
        <v>116</v>
      </c>
      <c r="F48" s="60">
        <f>+F47-F18</f>
        <v>0</v>
      </c>
    </row>
    <row r="50" ht="14.25">
      <c r="D50" t="s">
        <v>94</v>
      </c>
    </row>
    <row r="51" spans="4:6" ht="14.25">
      <c r="D51" t="s">
        <v>95</v>
      </c>
      <c r="F51" s="60">
        <v>5040</v>
      </c>
    </row>
    <row r="52" spans="4:6" ht="14.25">
      <c r="D52" t="s">
        <v>96</v>
      </c>
      <c r="F52" s="60">
        <v>1373</v>
      </c>
    </row>
    <row r="53" spans="4:6" ht="14.25">
      <c r="D53" t="s">
        <v>97</v>
      </c>
      <c r="F53" s="60">
        <v>899</v>
      </c>
    </row>
    <row r="54" spans="6:9" ht="14.25">
      <c r="F54" s="63">
        <f>SUM(F51:F53)</f>
        <v>7312</v>
      </c>
      <c r="G54" s="64" t="s">
        <v>106</v>
      </c>
      <c r="H54" t="s">
        <v>111</v>
      </c>
      <c r="I54" s="60">
        <v>7312</v>
      </c>
    </row>
    <row r="55" spans="4:6" ht="14.25">
      <c r="D55" t="s">
        <v>108</v>
      </c>
      <c r="F55" s="65">
        <v>2700</v>
      </c>
    </row>
    <row r="56" spans="4:6" ht="14.25">
      <c r="D56" t="s">
        <v>114</v>
      </c>
      <c r="F56" s="65">
        <v>150000</v>
      </c>
    </row>
    <row r="57" spans="4:8" ht="14.25">
      <c r="D57" t="s">
        <v>98</v>
      </c>
      <c r="F57" s="60">
        <v>3165</v>
      </c>
      <c r="G57" s="64" t="s">
        <v>106</v>
      </c>
      <c r="H57" t="s">
        <v>105</v>
      </c>
    </row>
    <row r="58" spans="4:9" ht="14.25">
      <c r="D58" t="s">
        <v>90</v>
      </c>
      <c r="F58" s="60">
        <f>SUM(F54:F57)</f>
        <v>163177</v>
      </c>
      <c r="H58" t="s">
        <v>107</v>
      </c>
      <c r="I58" s="60">
        <v>14</v>
      </c>
    </row>
    <row r="59" spans="8:9" ht="14.25">
      <c r="H59" t="s">
        <v>101</v>
      </c>
      <c r="I59" s="60">
        <v>658</v>
      </c>
    </row>
    <row r="60" spans="8:9" ht="14.25">
      <c r="H60" t="s">
        <v>102</v>
      </c>
      <c r="I60" s="60">
        <v>127</v>
      </c>
    </row>
    <row r="61" spans="8:9" ht="14.25">
      <c r="H61" t="s">
        <v>109</v>
      </c>
      <c r="I61" s="60">
        <f>+B3-I5-F45</f>
        <v>1466</v>
      </c>
    </row>
    <row r="62" spans="8:9" ht="14.25">
      <c r="H62" t="s">
        <v>120</v>
      </c>
      <c r="I62" s="60">
        <v>900</v>
      </c>
    </row>
    <row r="63" spans="8:9" ht="14.25">
      <c r="H63" t="s">
        <v>90</v>
      </c>
      <c r="I63" s="60">
        <f>SUM(I58:I62)</f>
        <v>3165</v>
      </c>
    </row>
    <row r="64" spans="8:9" ht="14.25">
      <c r="H64" t="s">
        <v>110</v>
      </c>
      <c r="I64" s="60">
        <f>+F57-I63</f>
        <v>0</v>
      </c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76" t="s">
        <v>83</v>
      </c>
      <c r="E9" s="276"/>
      <c r="F9" s="276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899</v>
      </c>
    </row>
    <row r="14" spans="6:9" ht="14.25">
      <c r="F14" s="63">
        <f>SUM(F11:F13)</f>
        <v>7312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3:8" ht="14.25">
      <c r="C17" t="s">
        <v>131</v>
      </c>
      <c r="D17" t="s">
        <v>98</v>
      </c>
      <c r="F17" s="60">
        <v>3116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163128</v>
      </c>
      <c r="H18" t="s">
        <v>107</v>
      </c>
      <c r="I18" s="60">
        <v>0</v>
      </c>
    </row>
    <row r="19" spans="8:9" ht="14.25">
      <c r="H19" t="s">
        <v>101</v>
      </c>
      <c r="I19" s="60">
        <v>623</v>
      </c>
    </row>
    <row r="20" spans="8:9" ht="14.25">
      <c r="H20" t="s">
        <v>102</v>
      </c>
      <c r="I20" s="60">
        <v>127</v>
      </c>
    </row>
    <row r="21" spans="8:9" ht="14.25">
      <c r="H21" t="s">
        <v>109</v>
      </c>
      <c r="I21" s="60">
        <f>+B3-I5-F31</f>
        <v>1466</v>
      </c>
    </row>
    <row r="22" spans="8:9" ht="14.25">
      <c r="H22" t="s">
        <v>120</v>
      </c>
      <c r="I22" s="60">
        <v>900</v>
      </c>
    </row>
    <row r="23" spans="8:9" ht="14.25">
      <c r="H23" t="s">
        <v>90</v>
      </c>
      <c r="I23" s="60">
        <f>SUM(I18:I22)</f>
        <v>3116</v>
      </c>
    </row>
    <row r="24" spans="8:9" ht="14.25">
      <c r="H24" t="s">
        <v>110</v>
      </c>
      <c r="I24" s="60">
        <f>+F17-I23</f>
        <v>0</v>
      </c>
    </row>
    <row r="25" spans="4:8" ht="14.25">
      <c r="D25" t="s">
        <v>99</v>
      </c>
      <c r="H25" s="66" t="s">
        <v>113</v>
      </c>
    </row>
    <row r="26" spans="4:8" ht="14.25">
      <c r="D26" t="s">
        <v>124</v>
      </c>
      <c r="F26" s="60">
        <v>7277</v>
      </c>
      <c r="H26" t="s">
        <v>121</v>
      </c>
    </row>
    <row r="27" spans="4:9" ht="14.25">
      <c r="D27" t="s">
        <v>101</v>
      </c>
      <c r="F27" s="60">
        <v>658</v>
      </c>
      <c r="I27" s="67"/>
    </row>
    <row r="28" spans="4:9" ht="14.25">
      <c r="D28" t="s">
        <v>102</v>
      </c>
      <c r="F28" s="60">
        <v>127</v>
      </c>
      <c r="I28" s="60"/>
    </row>
    <row r="29" spans="4:9" ht="14.25">
      <c r="D29" t="s">
        <v>115</v>
      </c>
      <c r="F29" s="60">
        <v>150000</v>
      </c>
      <c r="I29" s="60"/>
    </row>
    <row r="30" spans="4:6" ht="14.25">
      <c r="D30" t="s">
        <v>120</v>
      </c>
      <c r="F30" s="60">
        <v>900</v>
      </c>
    </row>
    <row r="31" spans="4:6" ht="14.25">
      <c r="D31" t="s">
        <v>122</v>
      </c>
      <c r="F31" s="60">
        <v>2700</v>
      </c>
    </row>
    <row r="32" spans="4:6" ht="14.25">
      <c r="D32" t="s">
        <v>112</v>
      </c>
      <c r="F32" s="60">
        <f>+B3-B5-F31</f>
        <v>1466</v>
      </c>
    </row>
    <row r="33" spans="4:6" ht="14.25">
      <c r="D33" t="s">
        <v>90</v>
      </c>
      <c r="F33" s="60">
        <f>SUM(F26:F32)</f>
        <v>163128</v>
      </c>
    </row>
    <row r="34" spans="4:6" ht="14.25">
      <c r="D34" t="s">
        <v>116</v>
      </c>
      <c r="F34" s="60">
        <f>+F33-F18</f>
        <v>0</v>
      </c>
    </row>
    <row r="35" ht="14.25">
      <c r="F35" s="60"/>
    </row>
    <row r="40" ht="14.25">
      <c r="F40" s="60"/>
    </row>
    <row r="41" ht="14.25">
      <c r="F41" s="60"/>
    </row>
    <row r="42" ht="14.25">
      <c r="F42" s="60"/>
    </row>
    <row r="43" ht="14.25">
      <c r="F43" s="60"/>
    </row>
    <row r="44" ht="14.25">
      <c r="F44" s="60"/>
    </row>
    <row r="45" ht="14.25">
      <c r="F45" s="60"/>
    </row>
    <row r="46" ht="14.25">
      <c r="F46" s="60"/>
    </row>
    <row r="47" ht="14.25">
      <c r="F47" s="60"/>
    </row>
    <row r="48" ht="14.25">
      <c r="F48" s="60"/>
    </row>
    <row r="51" ht="14.25">
      <c r="F51" s="60"/>
    </row>
    <row r="52" ht="14.25">
      <c r="F52" s="60"/>
    </row>
    <row r="53" ht="14.25">
      <c r="F53" s="60"/>
    </row>
    <row r="54" spans="6:9" ht="14.25">
      <c r="F54" s="63"/>
      <c r="G54" s="64"/>
      <c r="I54" s="60"/>
    </row>
    <row r="55" ht="14.25">
      <c r="F55" s="65"/>
    </row>
    <row r="56" ht="14.25">
      <c r="F56" s="65"/>
    </row>
    <row r="57" spans="6:7" ht="14.25">
      <c r="F57" s="60"/>
      <c r="G57" s="64"/>
    </row>
    <row r="58" spans="6:9" ht="14.25">
      <c r="F58" s="60"/>
      <c r="I58" s="60"/>
    </row>
    <row r="59" ht="14.25">
      <c r="I59" s="60"/>
    </row>
    <row r="60" ht="14.25">
      <c r="I60" s="60"/>
    </row>
    <row r="61" ht="14.25">
      <c r="I61" s="60"/>
    </row>
    <row r="62" ht="14.25">
      <c r="I62" s="60"/>
    </row>
    <row r="63" ht="14.25">
      <c r="I63" s="60"/>
    </row>
    <row r="64" ht="14.25">
      <c r="I64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I62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14.00390625" style="0" bestFit="1" customWidth="1"/>
    <col min="4" max="4" width="21.140625" style="0" bestFit="1" customWidth="1"/>
    <col min="8" max="8" width="32.140625" style="0" bestFit="1" customWidth="1"/>
  </cols>
  <sheetData>
    <row r="2" spans="1:8" ht="15">
      <c r="A2" s="276" t="s">
        <v>89</v>
      </c>
      <c r="B2" s="276"/>
      <c r="C2" s="276"/>
      <c r="D2" s="276" t="s">
        <v>84</v>
      </c>
      <c r="E2" s="276"/>
      <c r="F2" s="276"/>
      <c r="G2" s="62"/>
      <c r="H2" s="62"/>
    </row>
    <row r="3" spans="2:9" ht="15">
      <c r="B3" s="61">
        <v>8695</v>
      </c>
      <c r="D3" s="277" t="s">
        <v>85</v>
      </c>
      <c r="E3" s="277"/>
      <c r="F3" s="277"/>
      <c r="H3" s="260" t="s">
        <v>103</v>
      </c>
      <c r="I3" s="260"/>
    </row>
    <row r="4" spans="1:9" ht="14.25">
      <c r="A4" t="s">
        <v>91</v>
      </c>
      <c r="D4" t="s">
        <v>86</v>
      </c>
      <c r="F4" s="60">
        <v>2886</v>
      </c>
      <c r="H4" t="s">
        <v>104</v>
      </c>
      <c r="I4" s="60">
        <v>648</v>
      </c>
    </row>
    <row r="5" spans="1:9" ht="14.25">
      <c r="A5" t="s">
        <v>92</v>
      </c>
      <c r="B5" s="60">
        <v>4529</v>
      </c>
      <c r="D5" t="s">
        <v>87</v>
      </c>
      <c r="F5" s="60">
        <v>44</v>
      </c>
      <c r="H5" t="s">
        <v>123</v>
      </c>
      <c r="I5" s="60">
        <v>4529</v>
      </c>
    </row>
    <row r="6" spans="1:9" ht="14.25">
      <c r="A6" t="s">
        <v>93</v>
      </c>
      <c r="B6" s="60">
        <f>+B3-B5</f>
        <v>4166</v>
      </c>
      <c r="D6" t="s">
        <v>88</v>
      </c>
      <c r="F6" s="60">
        <v>2247</v>
      </c>
      <c r="H6" t="s">
        <v>90</v>
      </c>
      <c r="I6" s="60">
        <f>SUM(I4:I5)</f>
        <v>5177</v>
      </c>
    </row>
    <row r="7" spans="4:6" ht="14.25">
      <c r="D7" t="s">
        <v>90</v>
      </c>
      <c r="F7" s="60">
        <f>SUM(F4:F6)</f>
        <v>5177</v>
      </c>
    </row>
    <row r="9" spans="4:6" ht="15">
      <c r="D9" s="276" t="s">
        <v>83</v>
      </c>
      <c r="E9" s="276"/>
      <c r="F9" s="276"/>
    </row>
    <row r="10" ht="14.25">
      <c r="D10" t="s">
        <v>94</v>
      </c>
    </row>
    <row r="11" spans="4:6" ht="14.25">
      <c r="D11" t="s">
        <v>95</v>
      </c>
      <c r="F11" s="60">
        <v>5040</v>
      </c>
    </row>
    <row r="12" spans="4:6" ht="14.25">
      <c r="D12" t="s">
        <v>96</v>
      </c>
      <c r="F12" s="60">
        <v>1373</v>
      </c>
    </row>
    <row r="13" spans="4:6" ht="14.25">
      <c r="D13" t="s">
        <v>97</v>
      </c>
      <c r="F13" s="60">
        <v>772</v>
      </c>
    </row>
    <row r="14" spans="6:9" ht="14.25">
      <c r="F14" s="63">
        <f>SUM(F11:F13)</f>
        <v>7185</v>
      </c>
      <c r="G14" s="64" t="s">
        <v>106</v>
      </c>
      <c r="H14" t="s">
        <v>111</v>
      </c>
      <c r="I14" s="60">
        <v>7277</v>
      </c>
    </row>
    <row r="15" spans="4:9" ht="14.25">
      <c r="D15" t="s">
        <v>108</v>
      </c>
      <c r="F15" s="65">
        <v>2700</v>
      </c>
      <c r="H15" t="s">
        <v>101</v>
      </c>
      <c r="I15">
        <v>35</v>
      </c>
    </row>
    <row r="16" spans="4:6" ht="14.25">
      <c r="D16" t="s">
        <v>114</v>
      </c>
      <c r="F16" s="65">
        <v>150000</v>
      </c>
    </row>
    <row r="17" spans="4:8" ht="14.25">
      <c r="D17" t="s">
        <v>98</v>
      </c>
      <c r="F17" s="60">
        <v>3116</v>
      </c>
      <c r="G17" s="64" t="s">
        <v>106</v>
      </c>
      <c r="H17" t="s">
        <v>105</v>
      </c>
    </row>
    <row r="18" spans="4:9" ht="14.25">
      <c r="D18" t="s">
        <v>90</v>
      </c>
      <c r="F18" s="60">
        <f>SUM(F14:F17)</f>
        <v>163001</v>
      </c>
      <c r="H18" t="s">
        <v>107</v>
      </c>
      <c r="I18" s="60">
        <v>92</v>
      </c>
    </row>
    <row r="19" spans="8:9" ht="14.25">
      <c r="H19" t="s">
        <v>101</v>
      </c>
      <c r="I19" s="60">
        <v>658</v>
      </c>
    </row>
    <row r="20" spans="8:9" ht="14.25">
      <c r="H20" t="s">
        <v>109</v>
      </c>
      <c r="I20" s="60">
        <f>+B3-I5-F29</f>
        <v>1466</v>
      </c>
    </row>
    <row r="21" spans="8:9" ht="14.25">
      <c r="H21" t="s">
        <v>120</v>
      </c>
      <c r="I21" s="60">
        <v>900</v>
      </c>
    </row>
    <row r="22" spans="8:9" ht="14.25">
      <c r="H22" t="s">
        <v>90</v>
      </c>
      <c r="I22" s="60">
        <f>SUM(I18:I21)</f>
        <v>3116</v>
      </c>
    </row>
    <row r="23" spans="8:9" ht="14.25">
      <c r="H23" t="s">
        <v>110</v>
      </c>
      <c r="I23" s="60">
        <f>+F17-I22</f>
        <v>0</v>
      </c>
    </row>
    <row r="24" spans="4:8" ht="14.25">
      <c r="D24" t="s">
        <v>99</v>
      </c>
      <c r="H24" s="66" t="s">
        <v>113</v>
      </c>
    </row>
    <row r="25" spans="4:8" ht="14.25">
      <c r="D25" t="s">
        <v>124</v>
      </c>
      <c r="F25" s="60">
        <v>7277</v>
      </c>
      <c r="H25" t="s">
        <v>121</v>
      </c>
    </row>
    <row r="26" spans="4:9" ht="14.25">
      <c r="D26" t="s">
        <v>101</v>
      </c>
      <c r="F26" s="60">
        <v>658</v>
      </c>
      <c r="I26" s="67"/>
    </row>
    <row r="27" spans="4:9" ht="14.25">
      <c r="D27" t="s">
        <v>115</v>
      </c>
      <c r="F27" s="60">
        <v>150000</v>
      </c>
      <c r="I27" s="60"/>
    </row>
    <row r="28" spans="4:6" ht="14.25">
      <c r="D28" t="s">
        <v>120</v>
      </c>
      <c r="F28" s="60">
        <v>900</v>
      </c>
    </row>
    <row r="29" spans="4:6" ht="14.25">
      <c r="D29" t="s">
        <v>122</v>
      </c>
      <c r="F29" s="60">
        <v>2700</v>
      </c>
    </row>
    <row r="30" spans="4:6" ht="14.25">
      <c r="D30" t="s">
        <v>112</v>
      </c>
      <c r="F30" s="60">
        <f>+B3-B5-F29</f>
        <v>1466</v>
      </c>
    </row>
    <row r="31" spans="4:6" ht="14.25">
      <c r="D31" t="s">
        <v>90</v>
      </c>
      <c r="F31" s="60">
        <f>SUM(F25:F30)</f>
        <v>163001</v>
      </c>
    </row>
    <row r="32" spans="4:6" ht="14.25">
      <c r="D32" t="s">
        <v>116</v>
      </c>
      <c r="F32" s="60">
        <f>+F31-F18</f>
        <v>0</v>
      </c>
    </row>
    <row r="33" ht="14.25">
      <c r="F33" s="60"/>
    </row>
    <row r="38" ht="14.25">
      <c r="F38" s="60"/>
    </row>
    <row r="39" ht="14.25">
      <c r="F39" s="60"/>
    </row>
    <row r="40" ht="14.25">
      <c r="F40" s="60"/>
    </row>
    <row r="41" ht="14.25">
      <c r="F41" s="60"/>
    </row>
    <row r="42" ht="14.25">
      <c r="F42" s="60"/>
    </row>
    <row r="43" ht="14.25">
      <c r="F43" s="60"/>
    </row>
    <row r="44" ht="14.25">
      <c r="F44" s="60"/>
    </row>
    <row r="45" ht="14.25">
      <c r="F45" s="60"/>
    </row>
    <row r="46" ht="14.25">
      <c r="F46" s="60"/>
    </row>
    <row r="49" ht="14.25">
      <c r="F49" s="60"/>
    </row>
    <row r="50" ht="14.25">
      <c r="F50" s="60"/>
    </row>
    <row r="51" ht="14.25">
      <c r="F51" s="60"/>
    </row>
    <row r="52" spans="6:9" ht="14.25">
      <c r="F52" s="63"/>
      <c r="G52" s="64"/>
      <c r="I52" s="60"/>
    </row>
    <row r="53" ht="14.25">
      <c r="F53" s="65"/>
    </row>
    <row r="54" ht="14.25">
      <c r="F54" s="65"/>
    </row>
    <row r="55" spans="6:7" ht="14.25">
      <c r="F55" s="60"/>
      <c r="G55" s="64"/>
    </row>
    <row r="56" spans="6:9" ht="14.25">
      <c r="F56" s="60"/>
      <c r="I56" s="60"/>
    </row>
    <row r="57" ht="14.25">
      <c r="I57" s="60"/>
    </row>
    <row r="58" ht="14.25">
      <c r="I58" s="60"/>
    </row>
    <row r="59" ht="14.25">
      <c r="I59" s="60"/>
    </row>
    <row r="60" ht="14.25">
      <c r="I60" s="60"/>
    </row>
    <row r="61" ht="14.25">
      <c r="I61" s="60"/>
    </row>
    <row r="62" ht="14.25">
      <c r="I62" s="60"/>
    </row>
  </sheetData>
  <sheetProtection/>
  <mergeCells count="5">
    <mergeCell ref="D9:F9"/>
    <mergeCell ref="H3:I3"/>
    <mergeCell ref="D3:F3"/>
    <mergeCell ref="A2:C2"/>
    <mergeCell ref="D2:F2"/>
  </mergeCells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3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9.140625" defaultRowHeight="15"/>
  <cols>
    <col min="1" max="1" width="9.7109375" style="1" customWidth="1"/>
    <col min="2" max="2" width="85.00390625" style="1" customWidth="1"/>
    <col min="3" max="3" width="11.28125" style="3" customWidth="1"/>
    <col min="4" max="4" width="11.28125" style="1" customWidth="1"/>
    <col min="5" max="5" width="11.421875" style="1" customWidth="1"/>
    <col min="6" max="6" width="11.28125" style="1" customWidth="1"/>
    <col min="7" max="16384" width="9.140625" style="1" customWidth="1"/>
  </cols>
  <sheetData>
    <row r="1" spans="1:3" ht="31.5" customHeight="1">
      <c r="A1" s="11"/>
      <c r="B1" s="10"/>
      <c r="C1" s="12"/>
    </row>
    <row r="2" spans="1:6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33</v>
      </c>
    </row>
    <row r="3" spans="1:6" s="2" customFormat="1" ht="31.5" customHeight="1">
      <c r="A3" s="4"/>
      <c r="B3" s="4" t="s">
        <v>26</v>
      </c>
      <c r="C3" s="13">
        <v>3213</v>
      </c>
      <c r="D3" s="13">
        <v>4996</v>
      </c>
      <c r="E3" s="13">
        <v>12157</v>
      </c>
      <c r="F3" s="13">
        <f>C3+D3+E3</f>
        <v>20366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Hulladékgazdálkodási Program&amp;R&amp;"Times New Roman,Normál"&amp;9 &amp;12 8. sz. melléklet a .../2012. (...) sz. határozathoz</oddHeader>
    <oddFooter xml:space="preserve">&amp;L&amp;"Times New Roman,Normál"&amp;9&amp;D &amp;T&amp;R&amp;"Times New Roman,Normál"&amp;9&amp;Z&amp;F </oddFooter>
  </headerFooter>
  <rowBreaks count="1" manualBreakCount="1">
    <brk id="3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5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"/>
    </sheetView>
  </sheetViews>
  <sheetFormatPr defaultColWidth="9.140625" defaultRowHeight="15"/>
  <cols>
    <col min="1" max="1" width="9.7109375" style="1" customWidth="1"/>
    <col min="2" max="2" width="73.57421875" style="1" customWidth="1"/>
    <col min="3" max="3" width="11.28125" style="3" customWidth="1"/>
    <col min="4" max="4" width="11.28125" style="1" customWidth="1"/>
    <col min="5" max="5" width="11.421875" style="1" customWidth="1"/>
    <col min="6" max="7" width="11.28125" style="1" customWidth="1"/>
    <col min="8" max="16384" width="9.140625" style="1" customWidth="1"/>
  </cols>
  <sheetData>
    <row r="1" spans="1:3" ht="31.5" customHeight="1">
      <c r="A1" s="11"/>
      <c r="B1" s="10"/>
      <c r="C1" s="12"/>
    </row>
    <row r="2" spans="1:7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33</v>
      </c>
    </row>
    <row r="3" spans="1:7" ht="31.5" customHeight="1">
      <c r="A3" s="4"/>
      <c r="B3" s="7" t="s">
        <v>9</v>
      </c>
      <c r="C3" s="13"/>
      <c r="D3" s="13"/>
      <c r="E3" s="13"/>
      <c r="F3" s="13"/>
      <c r="G3" s="13"/>
    </row>
    <row r="4" spans="1:7" s="2" customFormat="1" ht="31.5" customHeight="1">
      <c r="A4" s="4" t="s">
        <v>4</v>
      </c>
      <c r="B4" s="4" t="s">
        <v>61</v>
      </c>
      <c r="C4" s="13">
        <f>C5+C6+C7+C8+C9+C10+C11+C12</f>
        <v>487683</v>
      </c>
      <c r="D4" s="13">
        <f>D5+D6+D7+D8+D9+D10+D11+D12+D13</f>
        <v>1268381</v>
      </c>
      <c r="E4" s="13">
        <f>E5+E6+E7+E8+E9+E10+E11+E12+E13</f>
        <v>1907214</v>
      </c>
      <c r="F4" s="13">
        <f>F5+F6+F7+F8+F9+F10+F11+F12+F13</f>
        <v>717747</v>
      </c>
      <c r="G4" s="13">
        <f>C4+D4+E4+F4</f>
        <v>4381025</v>
      </c>
    </row>
    <row r="5" spans="1:7" s="2" customFormat="1" ht="31.5" customHeight="1">
      <c r="A5" s="4"/>
      <c r="B5" s="4" t="s">
        <v>13</v>
      </c>
      <c r="C5" s="13">
        <v>24607</v>
      </c>
      <c r="D5" s="13">
        <v>46006</v>
      </c>
      <c r="E5" s="13">
        <v>40000</v>
      </c>
      <c r="F5" s="13">
        <v>6364</v>
      </c>
      <c r="G5" s="13">
        <f>C5+D5+E5+F5</f>
        <v>116977</v>
      </c>
    </row>
    <row r="6" spans="1:7" s="2" customFormat="1" ht="31.5" customHeight="1">
      <c r="A6" s="4"/>
      <c r="B6" s="4" t="s">
        <v>14</v>
      </c>
      <c r="C6" s="13">
        <v>11200</v>
      </c>
      <c r="D6" s="13">
        <v>0</v>
      </c>
      <c r="E6" s="13">
        <v>0</v>
      </c>
      <c r="F6" s="13">
        <v>2800</v>
      </c>
      <c r="G6" s="13">
        <f aca="true" t="shared" si="0" ref="G6:G14">C6+D6+E6+F6</f>
        <v>14000</v>
      </c>
    </row>
    <row r="7" spans="1:7" s="2" customFormat="1" ht="31.5" customHeight="1">
      <c r="A7" s="4"/>
      <c r="B7" s="4" t="s">
        <v>15</v>
      </c>
      <c r="C7" s="13">
        <v>7983</v>
      </c>
      <c r="D7" s="13">
        <v>7983</v>
      </c>
      <c r="E7" s="13">
        <v>5984</v>
      </c>
      <c r="F7" s="13">
        <v>2000</v>
      </c>
      <c r="G7" s="13">
        <f t="shared" si="0"/>
        <v>23950</v>
      </c>
    </row>
    <row r="8" spans="1:7" s="2" customFormat="1" ht="31.5" customHeight="1">
      <c r="A8" s="4"/>
      <c r="B8" s="4" t="s">
        <v>16</v>
      </c>
      <c r="C8" s="13">
        <v>20000</v>
      </c>
      <c r="D8" s="13">
        <v>20000</v>
      </c>
      <c r="E8" s="13">
        <v>28000</v>
      </c>
      <c r="F8" s="13">
        <v>12000</v>
      </c>
      <c r="G8" s="13">
        <f t="shared" si="0"/>
        <v>80000</v>
      </c>
    </row>
    <row r="9" spans="1:7" s="2" customFormat="1" ht="31.5" customHeight="1">
      <c r="A9" s="4"/>
      <c r="B9" s="4" t="s">
        <v>17</v>
      </c>
      <c r="C9" s="13">
        <v>1500</v>
      </c>
      <c r="D9" s="13">
        <v>1500</v>
      </c>
      <c r="E9" s="13">
        <v>2000</v>
      </c>
      <c r="F9" s="13">
        <v>0</v>
      </c>
      <c r="G9" s="13">
        <f t="shared" si="0"/>
        <v>5000</v>
      </c>
    </row>
    <row r="10" spans="1:7" s="2" customFormat="1" ht="31.5" customHeight="1">
      <c r="A10" s="4"/>
      <c r="B10" s="4" t="s">
        <v>18</v>
      </c>
      <c r="C10" s="13">
        <v>40000</v>
      </c>
      <c r="D10" s="13">
        <v>24000</v>
      </c>
      <c r="E10" s="13">
        <v>0</v>
      </c>
      <c r="F10" s="13">
        <v>0</v>
      </c>
      <c r="G10" s="13">
        <f t="shared" si="0"/>
        <v>64000</v>
      </c>
    </row>
    <row r="11" spans="1:7" s="2" customFormat="1" ht="31.5" customHeight="1">
      <c r="A11" s="4"/>
      <c r="B11" s="4" t="s">
        <v>19</v>
      </c>
      <c r="C11" s="13">
        <v>16000</v>
      </c>
      <c r="D11" s="13">
        <v>0</v>
      </c>
      <c r="E11" s="13">
        <v>0</v>
      </c>
      <c r="F11" s="13">
        <v>0</v>
      </c>
      <c r="G11" s="13">
        <f t="shared" si="0"/>
        <v>16000</v>
      </c>
    </row>
    <row r="12" spans="1:7" s="2" customFormat="1" ht="31.5" customHeight="1">
      <c r="A12" s="4"/>
      <c r="B12" s="4" t="s">
        <v>20</v>
      </c>
      <c r="C12" s="13">
        <v>366393</v>
      </c>
      <c r="D12" s="13">
        <v>1168892</v>
      </c>
      <c r="E12" s="13">
        <f>712668+118562</f>
        <v>831230</v>
      </c>
      <c r="F12" s="13">
        <v>0</v>
      </c>
      <c r="G12" s="13">
        <f t="shared" si="0"/>
        <v>2366515</v>
      </c>
    </row>
    <row r="13" spans="1:7" s="2" customFormat="1" ht="31.5" customHeight="1">
      <c r="A13" s="4"/>
      <c r="B13" s="4" t="s">
        <v>39</v>
      </c>
      <c r="C13" s="13">
        <v>0</v>
      </c>
      <c r="D13" s="13">
        <v>0</v>
      </c>
      <c r="E13" s="13">
        <v>1000000</v>
      </c>
      <c r="F13" s="13">
        <v>694583</v>
      </c>
      <c r="G13" s="13">
        <f t="shared" si="0"/>
        <v>1694583</v>
      </c>
    </row>
    <row r="14" spans="1:7" s="2" customFormat="1" ht="31.5" customHeight="1">
      <c r="A14" s="4" t="s">
        <v>5</v>
      </c>
      <c r="B14" s="4" t="s">
        <v>49</v>
      </c>
      <c r="C14" s="13">
        <v>131674</v>
      </c>
      <c r="D14" s="13">
        <v>342463</v>
      </c>
      <c r="E14" s="13">
        <v>514948</v>
      </c>
      <c r="F14" s="13">
        <v>193792</v>
      </c>
      <c r="G14" s="13">
        <f t="shared" si="0"/>
        <v>1182877</v>
      </c>
    </row>
    <row r="15" spans="1:7" ht="31.5" customHeight="1">
      <c r="A15" s="4" t="s">
        <v>48</v>
      </c>
      <c r="B15" s="4" t="s">
        <v>59</v>
      </c>
      <c r="C15" s="13">
        <f>C14+C4</f>
        <v>619357</v>
      </c>
      <c r="D15" s="13">
        <f>D14+D4</f>
        <v>1610844</v>
      </c>
      <c r="E15" s="13">
        <f>E14+E4</f>
        <v>2422162</v>
      </c>
      <c r="F15" s="13">
        <f>F14+F4</f>
        <v>911539</v>
      </c>
      <c r="G15" s="13">
        <f>C15+D15+E15+F15</f>
        <v>5563902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Kaposmenti Hulladékgazdálkodási Program&amp;R&amp;"Times New Roman,Normál"&amp;9 &amp;12 5.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5" max="1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E11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9" sqref="D9"/>
    </sheetView>
  </sheetViews>
  <sheetFormatPr defaultColWidth="9.140625" defaultRowHeight="15"/>
  <cols>
    <col min="1" max="1" width="9.7109375" style="1" customWidth="1"/>
    <col min="2" max="2" width="95.57421875" style="1" customWidth="1"/>
    <col min="3" max="3" width="11.28125" style="3" customWidth="1"/>
    <col min="4" max="5" width="11.28125" style="1" customWidth="1"/>
    <col min="6" max="16384" width="9.140625" style="1" customWidth="1"/>
  </cols>
  <sheetData>
    <row r="1" spans="1:5" ht="31.5" customHeight="1">
      <c r="A1" s="11"/>
      <c r="B1" s="10"/>
      <c r="C1" s="12"/>
      <c r="D1" s="12"/>
      <c r="E1" s="12"/>
    </row>
    <row r="2" spans="1:5" ht="31.5" customHeight="1">
      <c r="A2" s="6" t="s">
        <v>8</v>
      </c>
      <c r="B2" s="6" t="s">
        <v>7</v>
      </c>
      <c r="C2" s="6" t="s">
        <v>34</v>
      </c>
      <c r="D2" s="6" t="s">
        <v>35</v>
      </c>
      <c r="E2" s="6" t="s">
        <v>33</v>
      </c>
    </row>
    <row r="3" spans="1:5" ht="31.5" customHeight="1">
      <c r="A3" s="4"/>
      <c r="B3" s="14" t="s">
        <v>9</v>
      </c>
      <c r="C3" s="13"/>
      <c r="D3" s="13"/>
      <c r="E3" s="13"/>
    </row>
    <row r="4" spans="1:5" s="2" customFormat="1" ht="31.5" customHeight="1">
      <c r="A4" s="4" t="s">
        <v>4</v>
      </c>
      <c r="B4" s="4" t="s">
        <v>25</v>
      </c>
      <c r="C4" s="13">
        <v>711544</v>
      </c>
      <c r="D4" s="13">
        <f>D5+D6+D7+D8+D9+D10</f>
        <v>1151980</v>
      </c>
      <c r="E4" s="13">
        <f>C4+D4</f>
        <v>1863524</v>
      </c>
    </row>
    <row r="5" spans="1:5" s="2" customFormat="1" ht="31.5" customHeight="1">
      <c r="A5" s="4"/>
      <c r="B5" s="4" t="s">
        <v>10</v>
      </c>
      <c r="C5" s="13">
        <v>614168</v>
      </c>
      <c r="D5" s="13">
        <v>1118156</v>
      </c>
      <c r="E5" s="13">
        <f aca="true" t="shared" si="0" ref="E5:E11">C5+D5</f>
        <v>1732324</v>
      </c>
    </row>
    <row r="6" spans="1:5" s="2" customFormat="1" ht="31.5" customHeight="1">
      <c r="A6" s="4"/>
      <c r="B6" s="4" t="s">
        <v>15</v>
      </c>
      <c r="C6" s="13">
        <v>14670</v>
      </c>
      <c r="D6" s="13">
        <v>9780</v>
      </c>
      <c r="E6" s="13">
        <f t="shared" si="0"/>
        <v>24450</v>
      </c>
    </row>
    <row r="7" spans="1:5" s="2" customFormat="1" ht="31.5" customHeight="1">
      <c r="A7" s="4"/>
      <c r="B7" s="4" t="s">
        <v>11</v>
      </c>
      <c r="C7" s="13">
        <v>2250</v>
      </c>
      <c r="D7" s="13">
        <v>1500</v>
      </c>
      <c r="E7" s="13">
        <f t="shared" si="0"/>
        <v>3750</v>
      </c>
    </row>
    <row r="8" spans="1:5" s="2" customFormat="1" ht="31.5" customHeight="1">
      <c r="A8" s="4"/>
      <c r="B8" s="4" t="s">
        <v>12</v>
      </c>
      <c r="C8" s="13">
        <v>65756</v>
      </c>
      <c r="D8" s="13">
        <v>16244</v>
      </c>
      <c r="E8" s="13">
        <f t="shared" si="0"/>
        <v>82000</v>
      </c>
    </row>
    <row r="9" spans="1:5" s="2" customFormat="1" ht="31.5" customHeight="1">
      <c r="A9" s="4"/>
      <c r="B9" s="4" t="s">
        <v>13</v>
      </c>
      <c r="C9" s="13">
        <v>14700</v>
      </c>
      <c r="D9" s="13">
        <v>4050</v>
      </c>
      <c r="E9" s="13">
        <f t="shared" si="0"/>
        <v>18750</v>
      </c>
    </row>
    <row r="10" spans="1:5" s="2" customFormat="1" ht="31.5" customHeight="1">
      <c r="A10" s="4"/>
      <c r="B10" s="4" t="s">
        <v>38</v>
      </c>
      <c r="C10" s="13">
        <v>0</v>
      </c>
      <c r="D10" s="13">
        <v>2250</v>
      </c>
      <c r="E10" s="13">
        <f t="shared" si="0"/>
        <v>2250</v>
      </c>
    </row>
    <row r="11" spans="1:5" s="2" customFormat="1" ht="31.5" customHeight="1">
      <c r="A11" s="4"/>
      <c r="B11" s="4" t="s">
        <v>59</v>
      </c>
      <c r="C11" s="13">
        <f>C4</f>
        <v>711544</v>
      </c>
      <c r="D11" s="13">
        <f>D4</f>
        <v>1151980</v>
      </c>
      <c r="E11" s="13">
        <f t="shared" si="0"/>
        <v>1863524</v>
      </c>
    </row>
  </sheetData>
  <sheetProtection/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Roman,Normál"&amp;12Több éves kötelezettségvállalások Rekultivációs Program&amp;C&amp;"Times New Roman,Normál"&amp;9         &amp;R&amp;"Times New Roman,Normál"&amp;8 &amp;9 &amp;12 6. sz. melléklet a .../2012.(...) sz. határozathoz</oddHeader>
    <oddFooter xml:space="preserve">&amp;L&amp;"Times New Roman,Normál"&amp;9&amp;D &amp;T&amp;R&amp;"Times New Roman,Normál"&amp;9&amp;Z&amp;F </oddFooter>
  </headerFooter>
  <rowBreaks count="1" manualBreakCount="1">
    <brk id="11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35"/>
  <sheetViews>
    <sheetView view="pageBreakPreview" zoomScale="70" zoomScaleNormal="80" zoomScaleSheetLayoutView="70" zoomScalePageLayoutView="0" workbookViewId="0" topLeftCell="A1">
      <pane xSplit="2" ySplit="2" topLeftCell="C3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C27" sqref="C27:D33"/>
    </sheetView>
  </sheetViews>
  <sheetFormatPr defaultColWidth="9.140625" defaultRowHeight="15"/>
  <cols>
    <col min="1" max="1" width="11.140625" style="1" customWidth="1"/>
    <col min="2" max="2" width="104.140625" style="1" customWidth="1"/>
    <col min="3" max="5" width="15.7109375" style="1" customWidth="1"/>
    <col min="6" max="16384" width="9.140625" style="1" customWidth="1"/>
  </cols>
  <sheetData>
    <row r="1" spans="1:2" ht="36.75" customHeight="1">
      <c r="A1" s="258" t="s">
        <v>182</v>
      </c>
      <c r="B1" s="258"/>
    </row>
    <row r="2" spans="1:2" ht="31.5" customHeight="1">
      <c r="A2" s="11"/>
      <c r="B2" s="10"/>
    </row>
    <row r="3" spans="1:5" ht="46.5">
      <c r="A3" s="21" t="s">
        <v>8</v>
      </c>
      <c r="B3" s="21" t="s">
        <v>7</v>
      </c>
      <c r="C3" s="5" t="s">
        <v>238</v>
      </c>
      <c r="D3" s="5" t="s">
        <v>238</v>
      </c>
      <c r="E3" s="5" t="s">
        <v>247</v>
      </c>
    </row>
    <row r="4" spans="1:5" ht="31.5" customHeight="1">
      <c r="A4" s="22"/>
      <c r="B4" s="143" t="s">
        <v>0</v>
      </c>
      <c r="C4" s="4"/>
      <c r="D4" s="5"/>
      <c r="E4" s="5"/>
    </row>
    <row r="5" spans="1:5" s="2" customFormat="1" ht="31.5" customHeight="1">
      <c r="A5" s="22"/>
      <c r="B5" s="22" t="s">
        <v>56</v>
      </c>
      <c r="C5" s="32">
        <v>7942</v>
      </c>
      <c r="D5" s="32">
        <v>7911</v>
      </c>
      <c r="E5" s="135">
        <f>D5-C5</f>
        <v>-31</v>
      </c>
    </row>
    <row r="6" spans="1:5" s="2" customFormat="1" ht="31.5" customHeight="1">
      <c r="A6" s="22"/>
      <c r="B6" s="22" t="s">
        <v>57</v>
      </c>
      <c r="C6" s="32">
        <v>0</v>
      </c>
      <c r="D6" s="32">
        <v>337</v>
      </c>
      <c r="E6" s="135">
        <f aca="true" t="shared" si="0" ref="E6:E12">D6-C6</f>
        <v>337</v>
      </c>
    </row>
    <row r="7" spans="1:5" s="2" customFormat="1" ht="45.75" customHeight="1">
      <c r="A7" s="22"/>
      <c r="B7" s="148" t="s">
        <v>243</v>
      </c>
      <c r="C7" s="32">
        <v>10000</v>
      </c>
      <c r="D7" s="32">
        <f>10000+11811</f>
        <v>21811</v>
      </c>
      <c r="E7" s="135">
        <f t="shared" si="0"/>
        <v>11811</v>
      </c>
    </row>
    <row r="8" spans="1:5" s="2" customFormat="1" ht="45.75" customHeight="1">
      <c r="A8" s="22"/>
      <c r="B8" s="148" t="s">
        <v>249</v>
      </c>
      <c r="C8" s="32">
        <v>24300</v>
      </c>
      <c r="D8" s="32">
        <v>5889</v>
      </c>
      <c r="E8" s="135">
        <f t="shared" si="0"/>
        <v>-18411</v>
      </c>
    </row>
    <row r="9" spans="1:5" s="2" customFormat="1" ht="31.5" customHeight="1">
      <c r="A9" s="22"/>
      <c r="B9" s="22" t="s">
        <v>231</v>
      </c>
      <c r="C9" s="32">
        <v>0</v>
      </c>
      <c r="D9" s="32">
        <v>10000</v>
      </c>
      <c r="E9" s="135">
        <f t="shared" si="0"/>
        <v>10000</v>
      </c>
    </row>
    <row r="10" spans="1:5" ht="31.5" customHeight="1">
      <c r="A10" s="22"/>
      <c r="B10" s="24" t="s">
        <v>65</v>
      </c>
      <c r="C10" s="32"/>
      <c r="D10" s="32"/>
      <c r="E10" s="135">
        <f t="shared" si="0"/>
        <v>0</v>
      </c>
    </row>
    <row r="11" spans="1:5" s="20" customFormat="1" ht="41.25" customHeight="1">
      <c r="A11" s="146"/>
      <c r="B11" s="147" t="s">
        <v>225</v>
      </c>
      <c r="C11" s="32">
        <v>0</v>
      </c>
      <c r="D11" s="32">
        <v>315</v>
      </c>
      <c r="E11" s="135">
        <f t="shared" si="0"/>
        <v>315</v>
      </c>
    </row>
    <row r="12" spans="1:5" s="20" customFormat="1" ht="31.5" customHeight="1">
      <c r="A12" s="146"/>
      <c r="B12" s="22" t="s">
        <v>119</v>
      </c>
      <c r="C12" s="32">
        <v>0</v>
      </c>
      <c r="D12" s="32">
        <v>95394</v>
      </c>
      <c r="E12" s="135">
        <f t="shared" si="0"/>
        <v>95394</v>
      </c>
    </row>
    <row r="13" spans="1:5" s="20" customFormat="1" ht="31.5" customHeight="1">
      <c r="A13" s="146"/>
      <c r="B13" s="22" t="s">
        <v>50</v>
      </c>
      <c r="C13" s="33">
        <f>SUM(C5:C12)</f>
        <v>42242</v>
      </c>
      <c r="D13" s="33">
        <f>SUM(D5:D12)</f>
        <v>141657</v>
      </c>
      <c r="E13" s="33">
        <f>SUM(E5:E12)</f>
        <v>99415</v>
      </c>
    </row>
    <row r="14" spans="1:5" ht="31.5" customHeight="1">
      <c r="A14" s="22"/>
      <c r="B14" s="22"/>
      <c r="C14" s="31"/>
      <c r="D14" s="33"/>
      <c r="E14" s="33"/>
    </row>
    <row r="15" spans="1:5" ht="31.5" customHeight="1">
      <c r="A15" s="22"/>
      <c r="B15" s="143" t="s">
        <v>9</v>
      </c>
      <c r="C15" s="31"/>
      <c r="D15" s="32"/>
      <c r="E15" s="32"/>
    </row>
    <row r="16" spans="1:5" ht="42">
      <c r="A16" s="22" t="s">
        <v>24</v>
      </c>
      <c r="B16" s="148" t="s">
        <v>175</v>
      </c>
      <c r="C16" s="33" t="e">
        <f>+#REF!</f>
        <v>#REF!</v>
      </c>
      <c r="D16" s="33" t="e">
        <f>+#REF!</f>
        <v>#REF!</v>
      </c>
      <c r="E16" s="33" t="e">
        <f>+#REF!</f>
        <v>#REF!</v>
      </c>
    </row>
    <row r="17" spans="1:5" ht="31.5" customHeight="1" hidden="1">
      <c r="A17" s="22" t="s">
        <v>117</v>
      </c>
      <c r="B17" s="149" t="s">
        <v>1</v>
      </c>
      <c r="C17" s="136"/>
      <c r="D17" s="33"/>
      <c r="E17" s="33"/>
    </row>
    <row r="18" spans="1:5" ht="31.5" customHeight="1" hidden="1">
      <c r="A18" s="22"/>
      <c r="B18" s="149" t="s">
        <v>31</v>
      </c>
      <c r="C18" s="136"/>
      <c r="D18" s="32"/>
      <c r="E18" s="32"/>
    </row>
    <row r="19" spans="1:5" ht="31.5" customHeight="1" hidden="1">
      <c r="A19" s="22"/>
      <c r="B19" s="149" t="s">
        <v>62</v>
      </c>
      <c r="C19" s="136"/>
      <c r="D19" s="32"/>
      <c r="E19" s="32"/>
    </row>
    <row r="20" spans="1:5" ht="31.5" customHeight="1" hidden="1">
      <c r="A20" s="22"/>
      <c r="B20" s="149" t="s">
        <v>32</v>
      </c>
      <c r="C20" s="136"/>
      <c r="D20" s="32"/>
      <c r="E20" s="32"/>
    </row>
    <row r="21" spans="1:5" ht="31.5" customHeight="1" hidden="1">
      <c r="A21" s="22" t="s">
        <v>118</v>
      </c>
      <c r="B21" s="149" t="s">
        <v>2</v>
      </c>
      <c r="C21" s="136"/>
      <c r="D21" s="32"/>
      <c r="E21" s="32"/>
    </row>
    <row r="22" spans="1:5" ht="31.5" customHeight="1" hidden="1">
      <c r="A22" s="22" t="s">
        <v>29</v>
      </c>
      <c r="B22" s="149" t="s">
        <v>3</v>
      </c>
      <c r="C22" s="136"/>
      <c r="D22" s="32"/>
      <c r="E22" s="32"/>
    </row>
    <row r="23" spans="1:5" ht="31.5" customHeight="1" hidden="1">
      <c r="A23" s="22"/>
      <c r="B23" s="149" t="s">
        <v>21</v>
      </c>
      <c r="C23" s="136"/>
      <c r="D23" s="32"/>
      <c r="E23" s="32"/>
    </row>
    <row r="24" spans="1:5" ht="31.5" customHeight="1" hidden="1">
      <c r="A24" s="22"/>
      <c r="B24" s="149" t="s">
        <v>22</v>
      </c>
      <c r="C24" s="136"/>
      <c r="D24" s="32"/>
      <c r="E24" s="32"/>
    </row>
    <row r="25" spans="1:5" ht="31.5" customHeight="1" hidden="1">
      <c r="A25" s="22"/>
      <c r="B25" s="149" t="s">
        <v>63</v>
      </c>
      <c r="C25" s="136"/>
      <c r="D25" s="32"/>
      <c r="E25" s="32"/>
    </row>
    <row r="26" spans="1:5" ht="31.5" customHeight="1" hidden="1">
      <c r="A26" s="22"/>
      <c r="B26" s="149" t="s">
        <v>172</v>
      </c>
      <c r="C26" s="136"/>
      <c r="D26" s="32"/>
      <c r="E26" s="32"/>
    </row>
    <row r="27" spans="1:5" ht="31.5" customHeight="1">
      <c r="A27" s="22" t="s">
        <v>30</v>
      </c>
      <c r="B27" s="22" t="s">
        <v>152</v>
      </c>
      <c r="C27" s="32">
        <v>0</v>
      </c>
      <c r="D27" s="32">
        <v>118489</v>
      </c>
      <c r="E27" s="135">
        <f aca="true" t="shared" si="1" ref="E27:E33">D27-C27</f>
        <v>118489</v>
      </c>
    </row>
    <row r="28" spans="1:5" ht="31.5" customHeight="1">
      <c r="A28" s="22" t="s">
        <v>209</v>
      </c>
      <c r="B28" s="22" t="s">
        <v>28</v>
      </c>
      <c r="C28" s="32">
        <v>26607</v>
      </c>
      <c r="D28" s="32">
        <v>2307</v>
      </c>
      <c r="E28" s="135">
        <f t="shared" si="1"/>
        <v>-24300</v>
      </c>
    </row>
    <row r="29" spans="1:5" ht="31.5" customHeight="1">
      <c r="A29" s="22"/>
      <c r="B29" s="22" t="s">
        <v>241</v>
      </c>
      <c r="C29" s="32">
        <v>155</v>
      </c>
      <c r="D29" s="32">
        <v>155</v>
      </c>
      <c r="E29" s="135">
        <f t="shared" si="1"/>
        <v>0</v>
      </c>
    </row>
    <row r="30" spans="1:5" ht="56.25" customHeight="1">
      <c r="A30" s="22"/>
      <c r="B30" s="69" t="s">
        <v>242</v>
      </c>
      <c r="C30" s="32">
        <v>300</v>
      </c>
      <c r="D30" s="32">
        <v>300</v>
      </c>
      <c r="E30" s="135">
        <f t="shared" si="1"/>
        <v>0</v>
      </c>
    </row>
    <row r="31" spans="1:5" ht="31.5" customHeight="1">
      <c r="A31" s="22"/>
      <c r="B31" s="24" t="s">
        <v>65</v>
      </c>
      <c r="C31" s="32"/>
      <c r="D31" s="32"/>
      <c r="E31" s="135">
        <f t="shared" si="1"/>
        <v>0</v>
      </c>
    </row>
    <row r="32" spans="1:5" ht="31.5" customHeight="1">
      <c r="A32" s="22"/>
      <c r="B32" s="22" t="s">
        <v>81</v>
      </c>
      <c r="C32" s="32">
        <v>0</v>
      </c>
      <c r="D32" s="32">
        <v>532000</v>
      </c>
      <c r="E32" s="135">
        <f t="shared" si="1"/>
        <v>532000</v>
      </c>
    </row>
    <row r="33" spans="1:5" ht="31.5" customHeight="1">
      <c r="A33" s="22"/>
      <c r="B33" s="22" t="s">
        <v>82</v>
      </c>
      <c r="C33" s="32">
        <v>5500</v>
      </c>
      <c r="D33" s="32">
        <v>10000</v>
      </c>
      <c r="E33" s="135">
        <f t="shared" si="1"/>
        <v>4500</v>
      </c>
    </row>
    <row r="34" spans="1:5" s="2" customFormat="1" ht="31.5" customHeight="1">
      <c r="A34" s="137" t="s">
        <v>199</v>
      </c>
      <c r="B34" s="137" t="s">
        <v>58</v>
      </c>
      <c r="C34" s="142" t="e">
        <f>SUM(C16,C27:C33)</f>
        <v>#REF!</v>
      </c>
      <c r="D34" s="142" t="e">
        <f>SUM(D16,D27:D33)</f>
        <v>#REF!</v>
      </c>
      <c r="E34" s="142" t="e">
        <f>SUM(E16,E27:E33)</f>
        <v>#REF!</v>
      </c>
    </row>
    <row r="35" spans="1:5" ht="24" customHeight="1">
      <c r="A35" s="22"/>
      <c r="B35" s="143" t="s">
        <v>187</v>
      </c>
      <c r="C35" s="121" t="s">
        <v>244</v>
      </c>
      <c r="D35" s="152">
        <v>0</v>
      </c>
      <c r="E35" s="152">
        <v>0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60" r:id="rId1"/>
  <headerFooter alignWithMargins="0">
    <oddHeader>&amp;L&amp;"Times New Roman,Normál"&amp;12 A Kaposmenti Hulladékgazdálkodási Társulás 2016. évre tervezett bevételei és kiadásai&amp;R&amp;"Times New Roman,Normál"&amp;9 &amp;10 &amp;12 2. sz. melléklet a .../2016.(...) sz. határozathoz
</oddHeader>
    <oddFooter xml:space="preserve">&amp;L&amp;"Times New Roman,Normál"&amp;9&amp;D &amp;T&amp;R&amp;"Times New Roman,Normál"&amp;9&amp;Z &amp;F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F4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140625" defaultRowHeight="15"/>
  <cols>
    <col min="1" max="1" width="8.421875" style="1" bestFit="1" customWidth="1"/>
    <col min="2" max="2" width="86.8515625" style="1" customWidth="1"/>
    <col min="3" max="3" width="11.28125" style="3" customWidth="1"/>
    <col min="4" max="4" width="11.28125" style="1" customWidth="1"/>
    <col min="5" max="5" width="11.421875" style="1" customWidth="1"/>
    <col min="6" max="6" width="11.57421875" style="1" customWidth="1"/>
    <col min="7" max="16384" width="9.140625" style="1" customWidth="1"/>
  </cols>
  <sheetData>
    <row r="1" spans="1:6" ht="31.5" customHeight="1">
      <c r="A1" s="15"/>
      <c r="B1" s="5"/>
      <c r="C1" s="278" t="s">
        <v>41</v>
      </c>
      <c r="D1" s="278"/>
      <c r="E1" s="278" t="s">
        <v>42</v>
      </c>
      <c r="F1" s="278"/>
    </row>
    <row r="2" spans="1:6" ht="31.5" customHeight="1">
      <c r="A2" s="6" t="s">
        <v>8</v>
      </c>
      <c r="B2" s="6" t="s">
        <v>7</v>
      </c>
      <c r="C2" s="6" t="s">
        <v>43</v>
      </c>
      <c r="D2" s="6" t="s">
        <v>44</v>
      </c>
      <c r="E2" s="6" t="s">
        <v>43</v>
      </c>
      <c r="F2" s="6" t="s">
        <v>44</v>
      </c>
    </row>
    <row r="3" spans="1:6" ht="31.5" customHeight="1">
      <c r="A3" s="4" t="s">
        <v>45</v>
      </c>
      <c r="B3" s="14" t="s">
        <v>40</v>
      </c>
      <c r="C3" s="13">
        <v>189715</v>
      </c>
      <c r="D3" s="13">
        <v>711544</v>
      </c>
      <c r="E3" s="13">
        <v>189715</v>
      </c>
      <c r="F3" s="13">
        <v>711544</v>
      </c>
    </row>
    <row r="4" spans="1:6" s="2" customFormat="1" ht="31.5" customHeight="1">
      <c r="A4" s="4" t="s">
        <v>46</v>
      </c>
      <c r="B4" s="4" t="s">
        <v>47</v>
      </c>
      <c r="C4" s="13">
        <v>0</v>
      </c>
      <c r="D4" s="13">
        <v>619357</v>
      </c>
      <c r="E4" s="13">
        <v>0</v>
      </c>
      <c r="F4" s="13">
        <f>354984+72984</f>
        <v>427968</v>
      </c>
    </row>
  </sheetData>
  <sheetProtection/>
  <mergeCells count="2">
    <mergeCell ref="C1:D1"/>
    <mergeCell ref="E1:F1"/>
  </mergeCells>
  <printOptions/>
  <pageMargins left="0.2755905511811024" right="0.2755905511811024" top="0.984251968503937" bottom="0.4330708661417323" header="0.5118110236220472" footer="0.1968503937007874"/>
  <pageSetup fitToHeight="1" fitToWidth="1" horizontalDpi="600" verticalDpi="600" orientation="landscape" paperSize="9" r:id="rId1"/>
  <headerFooter alignWithMargins="0">
    <oddHeader>&amp;L&amp;"Times New Roman,Normál"&amp;12Európai uniós támogatással megvalósuló projektek bevételei, kiadásai&amp;C&amp;"Times New Roman,Normál"&amp;9         &amp;R&amp;"Times New Roman,Normál"&amp;8 &amp;12 7. sz. melléklet a .../2012. sz. határozathoz</oddHeader>
    <oddFooter xml:space="preserve">&amp;L&amp;"Times New Roman,Normál"&amp;9&amp;D &amp;T&amp;R&amp;"Times New Roman,Normál"&amp;9&amp;Z&amp;F </oddFooter>
  </headerFooter>
  <rowBreaks count="1" manualBreakCount="1">
    <brk id="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view="pageBreakPreview" zoomScale="70" zoomScaleNormal="80" zoomScaleSheetLayoutView="70" zoomScalePageLayoutView="0" workbookViewId="0" topLeftCell="A1">
      <pane xSplit="2" ySplit="3" topLeftCell="C4" activePane="bottomRight" state="frozen"/>
      <selection pane="topLeft" activeCell="D20" sqref="D20"/>
      <selection pane="topRight" activeCell="D20" sqref="D20"/>
      <selection pane="bottomLeft" activeCell="D20" sqref="D20"/>
      <selection pane="bottomRight" activeCell="J11" sqref="J11"/>
    </sheetView>
  </sheetViews>
  <sheetFormatPr defaultColWidth="9.140625" defaultRowHeight="15"/>
  <cols>
    <col min="1" max="1" width="11.140625" style="1" customWidth="1"/>
    <col min="2" max="2" width="96.28125" style="1" customWidth="1"/>
    <col min="3" max="6" width="15.7109375" style="1" customWidth="1"/>
    <col min="7" max="16384" width="9.140625" style="1" customWidth="1"/>
  </cols>
  <sheetData>
    <row r="1" spans="1:2" ht="36.75" customHeight="1">
      <c r="A1" s="258" t="s">
        <v>181</v>
      </c>
      <c r="B1" s="258"/>
    </row>
    <row r="2" spans="1:2" ht="36.75" customHeight="1">
      <c r="A2" s="110"/>
      <c r="B2" s="110"/>
    </row>
    <row r="3" spans="1:6" ht="46.5">
      <c r="A3" s="69"/>
      <c r="B3" s="21" t="s">
        <v>7</v>
      </c>
      <c r="C3" s="5" t="s">
        <v>290</v>
      </c>
      <c r="D3" s="5" t="s">
        <v>342</v>
      </c>
      <c r="E3" s="5" t="s">
        <v>403</v>
      </c>
      <c r="F3" s="5" t="s">
        <v>404</v>
      </c>
    </row>
    <row r="4" spans="1:6" ht="60.75">
      <c r="A4" s="137" t="s">
        <v>24</v>
      </c>
      <c r="B4" s="169" t="s">
        <v>132</v>
      </c>
      <c r="C4" s="142">
        <f>+C5+C10+C11</f>
        <v>8489</v>
      </c>
      <c r="D4" s="142">
        <f>+D5+D10+D11</f>
        <v>8489</v>
      </c>
      <c r="E4" s="142">
        <f>+E5+E10+E11</f>
        <v>6573</v>
      </c>
      <c r="F4" s="142">
        <f>+F5+F10+F11</f>
        <v>1916</v>
      </c>
    </row>
    <row r="5" spans="1:6" ht="31.5" customHeight="1">
      <c r="A5" s="22" t="s">
        <v>117</v>
      </c>
      <c r="B5" s="149" t="s">
        <v>1</v>
      </c>
      <c r="C5" s="33">
        <f>SUM(C6:C9)</f>
        <v>6539</v>
      </c>
      <c r="D5" s="33">
        <f>SUM(D6:D9)</f>
        <v>6539</v>
      </c>
      <c r="E5" s="33">
        <f>SUM(E6:E9)</f>
        <v>5219</v>
      </c>
      <c r="F5" s="33">
        <f>SUM(F6:F9)</f>
        <v>1320</v>
      </c>
    </row>
    <row r="6" spans="1:6" ht="31.5" customHeight="1">
      <c r="A6" s="22"/>
      <c r="B6" s="149" t="s">
        <v>31</v>
      </c>
      <c r="C6" s="32">
        <v>5061</v>
      </c>
      <c r="D6" s="32">
        <v>5061</v>
      </c>
      <c r="E6" s="32">
        <f>2873+2168</f>
        <v>5041</v>
      </c>
      <c r="F6" s="135">
        <f>D6-E6</f>
        <v>20</v>
      </c>
    </row>
    <row r="7" spans="1:6" ht="31.5" customHeight="1">
      <c r="A7" s="22"/>
      <c r="B7" s="149" t="s">
        <v>62</v>
      </c>
      <c r="C7" s="32">
        <f>650+650</f>
        <v>1300</v>
      </c>
      <c r="D7" s="32">
        <f>650+650</f>
        <v>1300</v>
      </c>
      <c r="E7" s="32">
        <v>0</v>
      </c>
      <c r="F7" s="135">
        <f>D7-E7</f>
        <v>1300</v>
      </c>
    </row>
    <row r="8" spans="1:6" ht="31.5" customHeight="1">
      <c r="A8" s="22"/>
      <c r="B8" s="149" t="s">
        <v>32</v>
      </c>
      <c r="C8" s="32">
        <v>173</v>
      </c>
      <c r="D8" s="32">
        <v>173</v>
      </c>
      <c r="E8" s="32">
        <v>173</v>
      </c>
      <c r="F8" s="135">
        <f>D8-E8</f>
        <v>0</v>
      </c>
    </row>
    <row r="9" spans="1:6" ht="31.5" customHeight="1">
      <c r="A9" s="22"/>
      <c r="B9" s="149" t="s">
        <v>240</v>
      </c>
      <c r="C9" s="32">
        <v>5</v>
      </c>
      <c r="D9" s="32">
        <v>5</v>
      </c>
      <c r="E9" s="32">
        <v>5</v>
      </c>
      <c r="F9" s="135">
        <f>D9-E9</f>
        <v>0</v>
      </c>
    </row>
    <row r="10" spans="1:6" ht="31.5" customHeight="1">
      <c r="A10" s="22" t="s">
        <v>118</v>
      </c>
      <c r="B10" s="149" t="s">
        <v>2</v>
      </c>
      <c r="C10" s="32">
        <f>1601+176</f>
        <v>1777</v>
      </c>
      <c r="D10" s="32">
        <f>1601+176</f>
        <v>1777</v>
      </c>
      <c r="E10" s="32">
        <f>686+507</f>
        <v>1193</v>
      </c>
      <c r="F10" s="135">
        <f>D10-E10</f>
        <v>584</v>
      </c>
    </row>
    <row r="11" spans="1:6" ht="31.5" customHeight="1">
      <c r="A11" s="22" t="s">
        <v>29</v>
      </c>
      <c r="B11" s="149" t="s">
        <v>3</v>
      </c>
      <c r="C11" s="33">
        <f>SUM(C12:C15)</f>
        <v>173</v>
      </c>
      <c r="D11" s="33">
        <f>SUM(D12:D15)</f>
        <v>173</v>
      </c>
      <c r="E11" s="33">
        <f>SUM(E12:E15)</f>
        <v>161</v>
      </c>
      <c r="F11" s="33">
        <f>SUM(F12:F15)</f>
        <v>12</v>
      </c>
    </row>
    <row r="12" spans="1:6" ht="31.5" customHeight="1">
      <c r="A12" s="22"/>
      <c r="B12" s="149" t="s">
        <v>21</v>
      </c>
      <c r="C12" s="32">
        <v>23</v>
      </c>
      <c r="D12" s="32">
        <v>23</v>
      </c>
      <c r="E12" s="32">
        <f>22+14</f>
        <v>36</v>
      </c>
      <c r="F12" s="135">
        <f>D12-E12</f>
        <v>-13</v>
      </c>
    </row>
    <row r="13" spans="1:6" ht="31.5" customHeight="1">
      <c r="A13" s="22"/>
      <c r="B13" s="149" t="s">
        <v>22</v>
      </c>
      <c r="C13" s="32">
        <v>100</v>
      </c>
      <c r="D13" s="32">
        <v>100</v>
      </c>
      <c r="E13" s="32">
        <f>56+66</f>
        <v>122</v>
      </c>
      <c r="F13" s="135">
        <f>D13-E13</f>
        <v>-22</v>
      </c>
    </row>
    <row r="14" spans="1:6" ht="31.5" customHeight="1">
      <c r="A14" s="22"/>
      <c r="B14" s="149" t="s">
        <v>246</v>
      </c>
      <c r="C14" s="32">
        <v>0</v>
      </c>
      <c r="D14" s="32">
        <v>0</v>
      </c>
      <c r="E14" s="32">
        <v>0</v>
      </c>
      <c r="F14" s="135">
        <f>D14-E14</f>
        <v>0</v>
      </c>
    </row>
    <row r="15" spans="1:6" ht="31.5" customHeight="1">
      <c r="A15" s="22"/>
      <c r="B15" s="149" t="s">
        <v>245</v>
      </c>
      <c r="C15" s="32">
        <v>50</v>
      </c>
      <c r="D15" s="32">
        <v>50</v>
      </c>
      <c r="E15" s="32">
        <v>3</v>
      </c>
      <c r="F15" s="135">
        <f>D15-E15</f>
        <v>47</v>
      </c>
    </row>
    <row r="16" spans="1:6" ht="30" customHeight="1">
      <c r="A16" s="137" t="s">
        <v>292</v>
      </c>
      <c r="B16" s="168" t="s">
        <v>291</v>
      </c>
      <c r="C16" s="151">
        <f>C17+C18</f>
        <v>1728</v>
      </c>
      <c r="D16" s="151">
        <f>D17+D18</f>
        <v>1728</v>
      </c>
      <c r="E16" s="151">
        <f>E17+E18</f>
        <v>1728</v>
      </c>
      <c r="F16" s="151">
        <f>F17+F18</f>
        <v>0</v>
      </c>
    </row>
    <row r="17" spans="1:6" ht="30" customHeight="1">
      <c r="A17" s="22"/>
      <c r="B17" s="149" t="s">
        <v>293</v>
      </c>
      <c r="C17" s="32">
        <v>1360</v>
      </c>
      <c r="D17" s="32">
        <v>1360</v>
      </c>
      <c r="E17" s="32">
        <v>1360</v>
      </c>
      <c r="F17" s="135">
        <f>D17-E17</f>
        <v>0</v>
      </c>
    </row>
    <row r="18" spans="1:6" ht="30" customHeight="1">
      <c r="A18" s="22"/>
      <c r="B18" s="149" t="s">
        <v>295</v>
      </c>
      <c r="C18" s="32">
        <v>368</v>
      </c>
      <c r="D18" s="32">
        <v>368</v>
      </c>
      <c r="E18" s="32">
        <v>368</v>
      </c>
      <c r="F18" s="135">
        <f>D18-E18</f>
        <v>0</v>
      </c>
    </row>
    <row r="19" spans="1:6" ht="82.5" customHeight="1">
      <c r="A19" s="137" t="s">
        <v>294</v>
      </c>
      <c r="B19" s="169" t="s">
        <v>341</v>
      </c>
      <c r="C19" s="151">
        <f>C16+C4</f>
        <v>10217</v>
      </c>
      <c r="D19" s="151">
        <f>D16+D4</f>
        <v>10217</v>
      </c>
      <c r="E19" s="151">
        <f>E16+E4</f>
        <v>8301</v>
      </c>
      <c r="F19" s="151">
        <f>F16+F4</f>
        <v>1916</v>
      </c>
    </row>
    <row r="46" ht="15">
      <c r="B46" s="1" t="s">
        <v>79</v>
      </c>
    </row>
  </sheetData>
  <sheetProtection/>
  <mergeCells count="1">
    <mergeCell ref="A1:B1"/>
  </mergeCells>
  <printOptions/>
  <pageMargins left="0.2755905511811024" right="0.2755905511811024" top="0.984251968503937" bottom="0.4330708661417323" header="0.5118110236220472" footer="0.1968503937007874"/>
  <pageSetup fitToHeight="3" fitToWidth="1" horizontalDpi="600" verticalDpi="600" orientation="portrait" paperSize="9" scale="57" r:id="rId1"/>
  <headerFooter alignWithMargins="0">
    <oddHeader xml:space="preserve">&amp;L&amp;"Times New Roman,Normál"&amp;12 A Kaposmenti Hulladékgazdálkodási Társulás 2017. évre tervezett bevételei és kiadásai&amp;R&amp;"Times New Roman,Normál"&amp;9 &amp;10 &amp;12 2. sz.táblázat
 </oddHeader>
    <oddFooter xml:space="preserve">&amp;L&amp;"Times New Roman,Normál"&amp;9&amp;D &amp;T&amp;R&amp;"Times New Roman,Normál"&amp;9&amp;Z &amp;F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7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353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343</v>
      </c>
      <c r="B4" s="219" t="s">
        <v>344</v>
      </c>
      <c r="C4" s="219" t="s">
        <v>345</v>
      </c>
      <c r="D4" s="219" t="s">
        <v>346</v>
      </c>
      <c r="E4" s="219" t="s">
        <v>347</v>
      </c>
      <c r="F4" s="219" t="s">
        <v>348</v>
      </c>
      <c r="G4" s="219" t="s">
        <v>351</v>
      </c>
      <c r="H4" s="219" t="s">
        <v>349</v>
      </c>
      <c r="I4" s="220" t="s">
        <v>350</v>
      </c>
      <c r="J4" s="219" t="s">
        <v>352</v>
      </c>
      <c r="K4" s="217"/>
    </row>
    <row r="5" spans="1:11" ht="28.5">
      <c r="A5" s="100" t="s">
        <v>354</v>
      </c>
      <c r="B5" s="218" t="s">
        <v>358</v>
      </c>
      <c r="C5" s="218" t="s">
        <v>359</v>
      </c>
      <c r="D5" s="218" t="s">
        <v>360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57">
      <c r="A6" s="100" t="s">
        <v>354</v>
      </c>
      <c r="B6" s="218" t="s">
        <v>379</v>
      </c>
      <c r="C6" s="218" t="s">
        <v>375</v>
      </c>
      <c r="D6" s="218" t="s">
        <v>376</v>
      </c>
      <c r="E6" s="101">
        <v>100330000</v>
      </c>
      <c r="F6" s="221">
        <f aca="true" t="shared" si="0" ref="F6:F15">E6-G6</f>
        <v>21330000</v>
      </c>
      <c r="G6" s="101">
        <v>79000000</v>
      </c>
      <c r="H6" s="221">
        <f aca="true" t="shared" si="1" ref="H6:H15">G6</f>
        <v>79000000</v>
      </c>
      <c r="I6" s="101">
        <v>70999999</v>
      </c>
      <c r="J6" s="221">
        <f aca="true" t="shared" si="2" ref="J6:J15">H6-I6</f>
        <v>8000001</v>
      </c>
      <c r="K6" s="217"/>
    </row>
    <row r="7" spans="1:11" ht="28.5">
      <c r="A7" s="100" t="s">
        <v>354</v>
      </c>
      <c r="B7" s="100" t="s">
        <v>362</v>
      </c>
      <c r="C7" s="218" t="s">
        <v>363</v>
      </c>
      <c r="D7" s="218" t="s">
        <v>363</v>
      </c>
      <c r="E7" s="101">
        <v>20066000</v>
      </c>
      <c r="F7" s="221">
        <f t="shared" si="0"/>
        <v>4266000</v>
      </c>
      <c r="G7" s="101">
        <v>15800000</v>
      </c>
      <c r="H7" s="221">
        <f t="shared" si="1"/>
        <v>15800000</v>
      </c>
      <c r="I7" s="101">
        <v>14200000</v>
      </c>
      <c r="J7" s="221">
        <f t="shared" si="2"/>
        <v>1600000</v>
      </c>
      <c r="K7" s="217"/>
    </row>
    <row r="8" spans="1:11" ht="42.75">
      <c r="A8" s="100" t="s">
        <v>354</v>
      </c>
      <c r="B8" s="218" t="s">
        <v>358</v>
      </c>
      <c r="C8" s="218" t="s">
        <v>364</v>
      </c>
      <c r="D8" s="218" t="s">
        <v>365</v>
      </c>
      <c r="E8" s="101">
        <v>18485052</v>
      </c>
      <c r="F8" s="221">
        <f t="shared" si="0"/>
        <v>947052</v>
      </c>
      <c r="G8" s="101">
        <v>17538000</v>
      </c>
      <c r="H8" s="221">
        <f t="shared" si="1"/>
        <v>17538000</v>
      </c>
      <c r="I8" s="101">
        <v>15762000</v>
      </c>
      <c r="J8" s="221">
        <f t="shared" si="2"/>
        <v>1776000</v>
      </c>
      <c r="K8" s="217"/>
    </row>
    <row r="9" spans="1:11" ht="28.5">
      <c r="A9" s="100" t="s">
        <v>354</v>
      </c>
      <c r="B9" s="218" t="s">
        <v>366</v>
      </c>
      <c r="C9" s="218" t="s">
        <v>367</v>
      </c>
      <c r="D9" s="100" t="s">
        <v>368</v>
      </c>
      <c r="E9" s="101">
        <v>54378860</v>
      </c>
      <c r="F9" s="221">
        <f t="shared" si="0"/>
        <v>11560860</v>
      </c>
      <c r="G9" s="101">
        <v>42818000</v>
      </c>
      <c r="H9" s="221">
        <f t="shared" si="1"/>
        <v>42818000</v>
      </c>
      <c r="I9" s="101">
        <v>38482000</v>
      </c>
      <c r="J9" s="221">
        <f t="shared" si="2"/>
        <v>4336000</v>
      </c>
      <c r="K9" s="217"/>
    </row>
    <row r="10" spans="1:11" ht="14.25">
      <c r="A10" s="222" t="s">
        <v>355</v>
      </c>
      <c r="B10" s="222"/>
      <c r="C10" s="222"/>
      <c r="D10" s="222"/>
      <c r="E10" s="223">
        <f aca="true" t="shared" si="3" ref="E10:J10">SUM(E5:E9)</f>
        <v>206904792</v>
      </c>
      <c r="F10" s="223">
        <f t="shared" si="3"/>
        <v>41004792</v>
      </c>
      <c r="G10" s="223">
        <f t="shared" si="3"/>
        <v>165900000</v>
      </c>
      <c r="H10" s="223">
        <f t="shared" si="3"/>
        <v>165900000</v>
      </c>
      <c r="I10" s="223">
        <f t="shared" si="3"/>
        <v>149099999</v>
      </c>
      <c r="J10" s="223">
        <f t="shared" si="3"/>
        <v>16800001</v>
      </c>
      <c r="K10" s="217"/>
    </row>
    <row r="11" spans="1:11" ht="14.2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2.75">
      <c r="A12" s="100" t="s">
        <v>356</v>
      </c>
      <c r="B12" s="218" t="s">
        <v>369</v>
      </c>
      <c r="C12" s="218" t="s">
        <v>370</v>
      </c>
      <c r="D12" s="100" t="s">
        <v>371</v>
      </c>
      <c r="E12" s="101">
        <v>300200000</v>
      </c>
      <c r="F12" s="221">
        <f t="shared" si="0"/>
        <v>0</v>
      </c>
      <c r="G12" s="101">
        <v>300200000</v>
      </c>
      <c r="H12" s="221">
        <f t="shared" si="1"/>
        <v>300200000</v>
      </c>
      <c r="I12" s="101">
        <v>269799998</v>
      </c>
      <c r="J12" s="221">
        <f t="shared" si="2"/>
        <v>30400002</v>
      </c>
      <c r="K12" s="217"/>
    </row>
    <row r="13" spans="1:11" ht="14.25">
      <c r="A13" s="100" t="s">
        <v>356</v>
      </c>
      <c r="B13" s="100" t="s">
        <v>361</v>
      </c>
      <c r="C13" s="100" t="s">
        <v>361</v>
      </c>
      <c r="D13" s="100" t="s">
        <v>361</v>
      </c>
      <c r="E13" s="101">
        <v>1027000000</v>
      </c>
      <c r="F13" s="221">
        <f t="shared" si="0"/>
        <v>0</v>
      </c>
      <c r="G13" s="101">
        <v>1027000000</v>
      </c>
      <c r="H13" s="221">
        <f t="shared" si="1"/>
        <v>1027000000</v>
      </c>
      <c r="I13" s="101">
        <v>922999993</v>
      </c>
      <c r="J13" s="221">
        <f t="shared" si="2"/>
        <v>104000007</v>
      </c>
      <c r="K13" s="217"/>
    </row>
    <row r="14" spans="1:11" ht="28.5">
      <c r="A14" s="100" t="s">
        <v>356</v>
      </c>
      <c r="B14" s="100" t="s">
        <v>372</v>
      </c>
      <c r="C14" s="218" t="s">
        <v>377</v>
      </c>
      <c r="D14" s="100" t="s">
        <v>378</v>
      </c>
      <c r="E14" s="101">
        <v>79000000</v>
      </c>
      <c r="F14" s="221">
        <f t="shared" si="0"/>
        <v>0</v>
      </c>
      <c r="G14" s="101">
        <v>79000000</v>
      </c>
      <c r="H14" s="221">
        <f t="shared" si="1"/>
        <v>79000000</v>
      </c>
      <c r="I14" s="101">
        <v>70999999</v>
      </c>
      <c r="J14" s="221">
        <f t="shared" si="2"/>
        <v>8000001</v>
      </c>
      <c r="K14" s="217"/>
    </row>
    <row r="15" spans="1:11" ht="57">
      <c r="A15" s="100" t="s">
        <v>356</v>
      </c>
      <c r="B15" s="218" t="s">
        <v>372</v>
      </c>
      <c r="C15" s="218" t="s">
        <v>373</v>
      </c>
      <c r="D15" s="100" t="s">
        <v>374</v>
      </c>
      <c r="E15" s="101">
        <v>7900000</v>
      </c>
      <c r="F15" s="221">
        <f t="shared" si="0"/>
        <v>0</v>
      </c>
      <c r="G15" s="101">
        <v>7900000</v>
      </c>
      <c r="H15" s="221">
        <f t="shared" si="1"/>
        <v>7900000</v>
      </c>
      <c r="I15" s="101">
        <v>7100000</v>
      </c>
      <c r="J15" s="221">
        <f t="shared" si="2"/>
        <v>800000</v>
      </c>
      <c r="K15" s="217"/>
    </row>
    <row r="16" spans="1:11" ht="14.25">
      <c r="A16" s="100" t="s">
        <v>355</v>
      </c>
      <c r="B16" s="100"/>
      <c r="C16" s="100"/>
      <c r="D16" s="100"/>
      <c r="E16" s="223">
        <f aca="true" t="shared" si="4" ref="E16:J16">SUM(E12:E15)</f>
        <v>1414100000</v>
      </c>
      <c r="F16" s="223">
        <f t="shared" si="4"/>
        <v>0</v>
      </c>
      <c r="G16" s="223">
        <f t="shared" si="4"/>
        <v>1414100000</v>
      </c>
      <c r="H16" s="223">
        <f t="shared" si="4"/>
        <v>1414100000</v>
      </c>
      <c r="I16" s="223">
        <f t="shared" si="4"/>
        <v>1270899990</v>
      </c>
      <c r="J16" s="223">
        <f t="shared" si="4"/>
        <v>143200010</v>
      </c>
      <c r="K16" s="217"/>
    </row>
    <row r="17" spans="1:11" ht="14.25">
      <c r="A17" s="100" t="s">
        <v>357</v>
      </c>
      <c r="B17" s="100"/>
      <c r="C17" s="100"/>
      <c r="D17" s="100"/>
      <c r="E17" s="223">
        <f aca="true" t="shared" si="5" ref="E17:J17">E10+E16</f>
        <v>1621004792</v>
      </c>
      <c r="F17" s="223">
        <f t="shared" si="5"/>
        <v>41004792</v>
      </c>
      <c r="G17" s="223">
        <f t="shared" si="5"/>
        <v>1580000000</v>
      </c>
      <c r="H17" s="223">
        <f t="shared" si="5"/>
        <v>1580000000</v>
      </c>
      <c r="I17" s="223">
        <f t="shared" si="5"/>
        <v>1419999989</v>
      </c>
      <c r="J17" s="223">
        <f t="shared" si="5"/>
        <v>160000011</v>
      </c>
      <c r="K17" s="217"/>
    </row>
    <row r="18" spans="1:11" ht="14.2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4.2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4.2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K20"/>
  <sheetViews>
    <sheetView view="pageBreakPreview" zoomScaleSheetLayoutView="100" zoomScalePageLayoutView="0" workbookViewId="0" topLeftCell="A4">
      <selection activeCell="A8" sqref="A8:N8"/>
    </sheetView>
  </sheetViews>
  <sheetFormatPr defaultColWidth="9.140625" defaultRowHeight="15"/>
  <cols>
    <col min="1" max="1" width="17.57421875" style="0" bestFit="1" customWidth="1"/>
    <col min="2" max="2" width="15.28125" style="0" customWidth="1"/>
    <col min="3" max="3" width="21.00390625" style="0" customWidth="1"/>
    <col min="4" max="4" width="15.140625" style="0" customWidth="1"/>
    <col min="5" max="5" width="12.57421875" style="0" customWidth="1"/>
    <col min="6" max="6" width="12.7109375" style="0" customWidth="1"/>
    <col min="7" max="7" width="12.28125" style="0" bestFit="1" customWidth="1"/>
    <col min="8" max="8" width="12.7109375" style="0" customWidth="1"/>
    <col min="9" max="9" width="12.140625" style="0" customWidth="1"/>
    <col min="10" max="10" width="15.7109375" style="0" customWidth="1"/>
  </cols>
  <sheetData>
    <row r="2" spans="2:9" ht="58.5" customHeight="1">
      <c r="B2" s="259" t="s">
        <v>353</v>
      </c>
      <c r="C2" s="259"/>
      <c r="D2" s="259"/>
      <c r="E2" s="259"/>
      <c r="F2" s="259"/>
      <c r="G2" s="259"/>
      <c r="H2" s="259"/>
      <c r="I2" s="259"/>
    </row>
    <row r="4" spans="1:11" ht="63" customHeight="1">
      <c r="A4" s="219" t="s">
        <v>343</v>
      </c>
      <c r="B4" s="219" t="s">
        <v>344</v>
      </c>
      <c r="C4" s="219" t="s">
        <v>345</v>
      </c>
      <c r="D4" s="219" t="s">
        <v>346</v>
      </c>
      <c r="E4" s="219" t="s">
        <v>347</v>
      </c>
      <c r="F4" s="219" t="s">
        <v>348</v>
      </c>
      <c r="G4" s="219" t="s">
        <v>351</v>
      </c>
      <c r="H4" s="219" t="s">
        <v>349</v>
      </c>
      <c r="I4" s="220" t="s">
        <v>350</v>
      </c>
      <c r="J4" s="219" t="s">
        <v>352</v>
      </c>
      <c r="K4" s="217"/>
    </row>
    <row r="5" spans="1:11" ht="28.5">
      <c r="A5" s="100" t="s">
        <v>354</v>
      </c>
      <c r="B5" s="218" t="s">
        <v>358</v>
      </c>
      <c r="C5" s="218" t="s">
        <v>359</v>
      </c>
      <c r="D5" s="218" t="s">
        <v>360</v>
      </c>
      <c r="E5" s="101">
        <v>13644880</v>
      </c>
      <c r="F5" s="221">
        <f>E5-G5</f>
        <v>2900880</v>
      </c>
      <c r="G5" s="101">
        <v>10744000</v>
      </c>
      <c r="H5" s="221">
        <f>G5</f>
        <v>10744000</v>
      </c>
      <c r="I5" s="101">
        <v>9656000</v>
      </c>
      <c r="J5" s="221">
        <f>H5-I5</f>
        <v>1088000</v>
      </c>
      <c r="K5" s="217"/>
    </row>
    <row r="6" spans="1:11" ht="57">
      <c r="A6" s="100" t="s">
        <v>354</v>
      </c>
      <c r="B6" s="218" t="s">
        <v>379</v>
      </c>
      <c r="C6" s="218" t="s">
        <v>375</v>
      </c>
      <c r="D6" s="218" t="s">
        <v>376</v>
      </c>
      <c r="E6" s="101">
        <v>100330000</v>
      </c>
      <c r="F6" s="221">
        <f>E6-G6</f>
        <v>21330000</v>
      </c>
      <c r="G6" s="101">
        <v>79000000</v>
      </c>
      <c r="H6" s="221">
        <f aca="true" t="shared" si="0" ref="H6:H15">G6</f>
        <v>79000000</v>
      </c>
      <c r="I6" s="101">
        <v>70999999</v>
      </c>
      <c r="J6" s="221">
        <f aca="true" t="shared" si="1" ref="J6:J15">H6-I6</f>
        <v>8000001</v>
      </c>
      <c r="K6" s="217"/>
    </row>
    <row r="7" spans="1:11" ht="28.5">
      <c r="A7" s="100" t="s">
        <v>354</v>
      </c>
      <c r="B7" s="100" t="s">
        <v>362</v>
      </c>
      <c r="C7" s="218" t="s">
        <v>363</v>
      </c>
      <c r="D7" s="218" t="s">
        <v>363</v>
      </c>
      <c r="E7" s="101">
        <v>20066000</v>
      </c>
      <c r="F7" s="221">
        <f>E7-G7</f>
        <v>4266000</v>
      </c>
      <c r="G7" s="101">
        <v>15800000</v>
      </c>
      <c r="H7" s="221">
        <f t="shared" si="0"/>
        <v>15800000</v>
      </c>
      <c r="I7" s="101">
        <v>14200000</v>
      </c>
      <c r="J7" s="221">
        <f t="shared" si="1"/>
        <v>1600000</v>
      </c>
      <c r="K7" s="217"/>
    </row>
    <row r="8" spans="1:11" ht="42.75">
      <c r="A8" s="100" t="s">
        <v>354</v>
      </c>
      <c r="B8" s="218" t="s">
        <v>358</v>
      </c>
      <c r="C8" s="218" t="s">
        <v>364</v>
      </c>
      <c r="D8" s="218" t="s">
        <v>365</v>
      </c>
      <c r="E8" s="101">
        <v>18485052</v>
      </c>
      <c r="F8" s="221">
        <f>E8-G8</f>
        <v>947052</v>
      </c>
      <c r="G8" s="101">
        <v>17538000</v>
      </c>
      <c r="H8" s="221">
        <f t="shared" si="0"/>
        <v>17538000</v>
      </c>
      <c r="I8" s="101">
        <v>15762000</v>
      </c>
      <c r="J8" s="221">
        <f t="shared" si="1"/>
        <v>1776000</v>
      </c>
      <c r="K8" s="217"/>
    </row>
    <row r="9" spans="1:11" ht="28.5">
      <c r="A9" s="100" t="s">
        <v>354</v>
      </c>
      <c r="B9" s="218" t="s">
        <v>366</v>
      </c>
      <c r="C9" s="218" t="s">
        <v>367</v>
      </c>
      <c r="D9" s="100" t="s">
        <v>368</v>
      </c>
      <c r="E9" s="101">
        <v>54378860</v>
      </c>
      <c r="F9" s="221">
        <f>E9-G9</f>
        <v>11560860</v>
      </c>
      <c r="G9" s="101">
        <v>42818000</v>
      </c>
      <c r="H9" s="221">
        <f t="shared" si="0"/>
        <v>42818000</v>
      </c>
      <c r="I9" s="101">
        <v>38482000</v>
      </c>
      <c r="J9" s="221">
        <f t="shared" si="1"/>
        <v>4336000</v>
      </c>
      <c r="K9" s="217"/>
    </row>
    <row r="10" spans="1:11" ht="14.25">
      <c r="A10" s="222" t="s">
        <v>355</v>
      </c>
      <c r="B10" s="222"/>
      <c r="C10" s="222"/>
      <c r="D10" s="222"/>
      <c r="E10" s="223">
        <f aca="true" t="shared" si="2" ref="E10:J10">SUM(E5:E9)</f>
        <v>206904792</v>
      </c>
      <c r="F10" s="223">
        <f t="shared" si="2"/>
        <v>41004792</v>
      </c>
      <c r="G10" s="223">
        <f t="shared" si="2"/>
        <v>165900000</v>
      </c>
      <c r="H10" s="223">
        <f t="shared" si="2"/>
        <v>165900000</v>
      </c>
      <c r="I10" s="223">
        <f t="shared" si="2"/>
        <v>149099999</v>
      </c>
      <c r="J10" s="223">
        <f t="shared" si="2"/>
        <v>16800001</v>
      </c>
      <c r="K10" s="217"/>
    </row>
    <row r="11" spans="1:11" ht="14.25">
      <c r="A11" s="222"/>
      <c r="B11" s="222"/>
      <c r="C11" s="222"/>
      <c r="D11" s="222"/>
      <c r="E11" s="223"/>
      <c r="F11" s="223"/>
      <c r="G11" s="223"/>
      <c r="H11" s="223"/>
      <c r="I11" s="223"/>
      <c r="J11" s="223"/>
      <c r="K11" s="217"/>
    </row>
    <row r="12" spans="1:11" ht="42.75">
      <c r="A12" s="100" t="s">
        <v>356</v>
      </c>
      <c r="B12" s="218" t="s">
        <v>369</v>
      </c>
      <c r="C12" s="218" t="s">
        <v>370</v>
      </c>
      <c r="D12" s="100" t="s">
        <v>371</v>
      </c>
      <c r="E12" s="221">
        <f>F12+G12</f>
        <v>381254000</v>
      </c>
      <c r="F12" s="221">
        <f>G12*0.27</f>
        <v>81054000</v>
      </c>
      <c r="G12" s="101">
        <v>300200000</v>
      </c>
      <c r="H12" s="221">
        <f t="shared" si="0"/>
        <v>300200000</v>
      </c>
      <c r="I12" s="101">
        <v>269799998</v>
      </c>
      <c r="J12" s="221">
        <f t="shared" si="1"/>
        <v>30400002</v>
      </c>
      <c r="K12" s="217"/>
    </row>
    <row r="13" spans="1:11" ht="14.25">
      <c r="A13" s="100" t="s">
        <v>356</v>
      </c>
      <c r="B13" s="100" t="s">
        <v>361</v>
      </c>
      <c r="C13" s="100" t="s">
        <v>361</v>
      </c>
      <c r="D13" s="100" t="s">
        <v>361</v>
      </c>
      <c r="E13" s="221">
        <f>F13+G13</f>
        <v>1304290000</v>
      </c>
      <c r="F13" s="221">
        <f>G13*0.27</f>
        <v>277290000</v>
      </c>
      <c r="G13" s="101">
        <v>1027000000</v>
      </c>
      <c r="H13" s="221">
        <f t="shared" si="0"/>
        <v>1027000000</v>
      </c>
      <c r="I13" s="101">
        <v>922999993</v>
      </c>
      <c r="J13" s="221">
        <f t="shared" si="1"/>
        <v>104000007</v>
      </c>
      <c r="K13" s="217"/>
    </row>
    <row r="14" spans="1:11" ht="28.5">
      <c r="A14" s="100" t="s">
        <v>356</v>
      </c>
      <c r="B14" s="100" t="s">
        <v>372</v>
      </c>
      <c r="C14" s="218" t="s">
        <v>377</v>
      </c>
      <c r="D14" s="100" t="s">
        <v>378</v>
      </c>
      <c r="E14" s="221">
        <f>F14+G14</f>
        <v>100330000</v>
      </c>
      <c r="F14" s="221">
        <f>G14*0.27</f>
        <v>21330000</v>
      </c>
      <c r="G14" s="101">
        <v>79000000</v>
      </c>
      <c r="H14" s="221">
        <f t="shared" si="0"/>
        <v>79000000</v>
      </c>
      <c r="I14" s="101">
        <v>70999999</v>
      </c>
      <c r="J14" s="221">
        <f t="shared" si="1"/>
        <v>8000001</v>
      </c>
      <c r="K14" s="217"/>
    </row>
    <row r="15" spans="1:11" ht="57">
      <c r="A15" s="100" t="s">
        <v>356</v>
      </c>
      <c r="B15" s="218" t="s">
        <v>372</v>
      </c>
      <c r="C15" s="218" t="s">
        <v>373</v>
      </c>
      <c r="D15" s="100" t="s">
        <v>374</v>
      </c>
      <c r="E15" s="221">
        <f>F15+G15</f>
        <v>10033000</v>
      </c>
      <c r="F15" s="221">
        <f>G15*0.27</f>
        <v>2133000</v>
      </c>
      <c r="G15" s="101">
        <v>7900000</v>
      </c>
      <c r="H15" s="221">
        <f t="shared" si="0"/>
        <v>7900000</v>
      </c>
      <c r="I15" s="101">
        <v>7100000</v>
      </c>
      <c r="J15" s="221">
        <f t="shared" si="1"/>
        <v>800000</v>
      </c>
      <c r="K15" s="217"/>
    </row>
    <row r="16" spans="1:11" ht="14.25">
      <c r="A16" s="100" t="s">
        <v>355</v>
      </c>
      <c r="B16" s="100"/>
      <c r="C16" s="100"/>
      <c r="D16" s="100"/>
      <c r="E16" s="223">
        <f aca="true" t="shared" si="3" ref="E16:J16">SUM(E12:E15)</f>
        <v>1795907000</v>
      </c>
      <c r="F16" s="223">
        <f t="shared" si="3"/>
        <v>381807000</v>
      </c>
      <c r="G16" s="223">
        <f t="shared" si="3"/>
        <v>1414100000</v>
      </c>
      <c r="H16" s="223">
        <f t="shared" si="3"/>
        <v>1414100000</v>
      </c>
      <c r="I16" s="223">
        <f t="shared" si="3"/>
        <v>1270899990</v>
      </c>
      <c r="J16" s="223">
        <f t="shared" si="3"/>
        <v>143200010</v>
      </c>
      <c r="K16" s="217"/>
    </row>
    <row r="17" spans="1:11" ht="14.25">
      <c r="A17" s="100" t="s">
        <v>357</v>
      </c>
      <c r="B17" s="100"/>
      <c r="C17" s="100"/>
      <c r="D17" s="100"/>
      <c r="E17" s="223">
        <f aca="true" t="shared" si="4" ref="E17:J17">E10+E16</f>
        <v>2002811792</v>
      </c>
      <c r="F17" s="223">
        <f t="shared" si="4"/>
        <v>422811792</v>
      </c>
      <c r="G17" s="223">
        <f t="shared" si="4"/>
        <v>1580000000</v>
      </c>
      <c r="H17" s="223">
        <f t="shared" si="4"/>
        <v>1580000000</v>
      </c>
      <c r="I17" s="223">
        <f t="shared" si="4"/>
        <v>1419999989</v>
      </c>
      <c r="J17" s="223">
        <f t="shared" si="4"/>
        <v>160000011</v>
      </c>
      <c r="K17" s="217"/>
    </row>
    <row r="18" spans="1:11" ht="14.25">
      <c r="A18" s="100"/>
      <c r="B18" s="100"/>
      <c r="C18" s="100"/>
      <c r="D18" s="100"/>
      <c r="E18" s="100"/>
      <c r="F18" s="100"/>
      <c r="G18" s="100"/>
      <c r="H18" s="100"/>
      <c r="I18" s="216"/>
      <c r="J18" s="100"/>
      <c r="K18" s="217"/>
    </row>
    <row r="19" spans="1:11" ht="14.25">
      <c r="A19" s="100"/>
      <c r="B19" s="100"/>
      <c r="C19" s="100"/>
      <c r="D19" s="100"/>
      <c r="E19" s="100"/>
      <c r="F19" s="100"/>
      <c r="G19" s="100"/>
      <c r="H19" s="100"/>
      <c r="I19" s="216"/>
      <c r="J19" s="100"/>
      <c r="K19" s="217"/>
    </row>
    <row r="20" spans="1:11" ht="14.25">
      <c r="A20" s="100"/>
      <c r="B20" s="100"/>
      <c r="C20" s="100"/>
      <c r="D20" s="100"/>
      <c r="E20" s="100"/>
      <c r="F20" s="100"/>
      <c r="G20" s="100"/>
      <c r="H20" s="100"/>
      <c r="I20" s="216"/>
      <c r="J20" s="100"/>
      <c r="K20" s="217"/>
    </row>
  </sheetData>
  <sheetProtection/>
  <mergeCells count="1">
    <mergeCell ref="B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selection activeCell="B1" sqref="B1:D1"/>
    </sheetView>
  </sheetViews>
  <sheetFormatPr defaultColWidth="9.140625" defaultRowHeight="15"/>
  <cols>
    <col min="1" max="1" width="11.8515625" style="0" customWidth="1"/>
    <col min="2" max="2" width="16.57421875" style="0" customWidth="1"/>
    <col min="3" max="3" width="11.28125" style="0" bestFit="1" customWidth="1"/>
    <col min="4" max="4" width="22.140625" style="0" bestFit="1" customWidth="1"/>
    <col min="5" max="5" width="15.00390625" style="0" bestFit="1" customWidth="1"/>
  </cols>
  <sheetData>
    <row r="1" spans="2:4" ht="14.25">
      <c r="B1" s="260" t="s">
        <v>452</v>
      </c>
      <c r="C1" s="260"/>
      <c r="D1" s="260"/>
    </row>
    <row r="3" spans="1:5" ht="15">
      <c r="A3" s="239" t="s">
        <v>444</v>
      </c>
      <c r="B3" s="240">
        <v>2034533681</v>
      </c>
      <c r="C3" s="242"/>
      <c r="D3" s="239" t="s">
        <v>446</v>
      </c>
      <c r="E3" s="240">
        <v>1129572219</v>
      </c>
    </row>
    <row r="4" spans="1:5" ht="15">
      <c r="A4" s="239" t="s">
        <v>41</v>
      </c>
      <c r="B4" s="240">
        <v>926630478</v>
      </c>
      <c r="C4" s="242"/>
      <c r="D4" s="239" t="s">
        <v>447</v>
      </c>
      <c r="E4" s="240">
        <v>65653680</v>
      </c>
    </row>
    <row r="5" spans="1:5" ht="15">
      <c r="A5" s="239" t="s">
        <v>445</v>
      </c>
      <c r="B5" s="240">
        <f>B3-B4</f>
        <v>1107903203</v>
      </c>
      <c r="C5" s="242"/>
      <c r="D5" s="239" t="s">
        <v>448</v>
      </c>
      <c r="E5" s="240">
        <v>3003718</v>
      </c>
    </row>
    <row r="6" spans="1:5" ht="15">
      <c r="A6" s="242"/>
      <c r="B6" s="243"/>
      <c r="C6" s="242"/>
      <c r="D6" s="239" t="s">
        <v>449</v>
      </c>
      <c r="E6" s="240">
        <v>48384034</v>
      </c>
    </row>
    <row r="7" spans="1:5" ht="15">
      <c r="A7" s="242"/>
      <c r="B7" s="243"/>
      <c r="C7" s="242"/>
      <c r="D7" s="239" t="s">
        <v>450</v>
      </c>
      <c r="E7" s="240">
        <f>E3+E4+E5-E6</f>
        <v>1149845583</v>
      </c>
    </row>
    <row r="8" spans="1:5" ht="15">
      <c r="A8" s="242"/>
      <c r="B8" s="243"/>
      <c r="C8" s="242"/>
      <c r="D8" s="244"/>
      <c r="E8" s="241"/>
    </row>
    <row r="9" spans="1:5" ht="15">
      <c r="A9" s="242"/>
      <c r="B9" s="240" t="s">
        <v>451</v>
      </c>
      <c r="C9" s="240">
        <f>E7-B5</f>
        <v>41942380</v>
      </c>
      <c r="D9" s="244"/>
      <c r="E9" s="241"/>
    </row>
    <row r="10" spans="2:5" ht="15">
      <c r="B10" s="60"/>
      <c r="D10" s="217"/>
      <c r="E10" s="241"/>
    </row>
    <row r="11" spans="2:5" ht="15">
      <c r="B11" s="60"/>
      <c r="D11" s="217"/>
      <c r="E11" s="241"/>
    </row>
    <row r="12" ht="14.25">
      <c r="B12" s="60"/>
    </row>
    <row r="13" ht="14.25">
      <c r="B13" s="60"/>
    </row>
    <row r="14" ht="14.25">
      <c r="B14" s="60"/>
    </row>
    <row r="15" ht="14.25">
      <c r="B15" s="60"/>
    </row>
    <row r="16" ht="14.25">
      <c r="B16" s="60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E35"/>
  <sheetViews>
    <sheetView view="pageBreakPreview" zoomScaleSheetLayoutView="100" zoomScalePageLayoutView="0" workbookViewId="0" topLeftCell="A17">
      <selection activeCell="E18" sqref="E18:E34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453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>
        <v>300001</v>
      </c>
      <c r="B4" s="156" t="s">
        <v>406</v>
      </c>
      <c r="C4" s="227" t="s">
        <v>383</v>
      </c>
      <c r="D4" s="156" t="s">
        <v>407</v>
      </c>
      <c r="E4" s="159"/>
    </row>
    <row r="5" spans="1:5" ht="34.5" customHeight="1">
      <c r="A5" s="156">
        <v>300001</v>
      </c>
      <c r="B5" s="156" t="s">
        <v>406</v>
      </c>
      <c r="C5" s="227" t="s">
        <v>273</v>
      </c>
      <c r="D5" s="156" t="s">
        <v>408</v>
      </c>
      <c r="E5" s="159"/>
    </row>
    <row r="6" spans="1:5" ht="34.5" customHeight="1">
      <c r="A6" s="156">
        <v>300001</v>
      </c>
      <c r="B6" s="156" t="s">
        <v>406</v>
      </c>
      <c r="C6" s="227" t="s">
        <v>277</v>
      </c>
      <c r="D6" s="156" t="s">
        <v>278</v>
      </c>
      <c r="E6" s="159"/>
    </row>
    <row r="7" spans="1:5" ht="34.5" customHeight="1">
      <c r="A7" s="156">
        <v>711401</v>
      </c>
      <c r="B7" s="156" t="s">
        <v>388</v>
      </c>
      <c r="C7" s="227" t="s">
        <v>409</v>
      </c>
      <c r="D7" s="156" t="s">
        <v>410</v>
      </c>
      <c r="E7" s="159"/>
    </row>
    <row r="8" spans="1:5" ht="34.5" customHeight="1">
      <c r="A8" s="156">
        <v>711402</v>
      </c>
      <c r="B8" s="156" t="s">
        <v>67</v>
      </c>
      <c r="C8" s="227" t="s">
        <v>270</v>
      </c>
      <c r="D8" s="156" t="s">
        <v>411</v>
      </c>
      <c r="E8" s="159"/>
    </row>
    <row r="9" spans="1:5" ht="34.5" customHeight="1">
      <c r="A9" s="156">
        <v>711402</v>
      </c>
      <c r="B9" s="156" t="s">
        <v>67</v>
      </c>
      <c r="C9" s="227" t="s">
        <v>272</v>
      </c>
      <c r="D9" s="156" t="s">
        <v>412</v>
      </c>
      <c r="E9" s="159"/>
    </row>
    <row r="10" spans="1:5" ht="34.5" customHeight="1">
      <c r="A10" s="156">
        <v>711411</v>
      </c>
      <c r="B10" s="156" t="s">
        <v>413</v>
      </c>
      <c r="C10" s="227" t="s">
        <v>270</v>
      </c>
      <c r="D10" s="156" t="s">
        <v>271</v>
      </c>
      <c r="E10" s="159"/>
    </row>
    <row r="11" spans="1:5" s="160" customFormat="1" ht="34.5" customHeight="1">
      <c r="A11" s="156">
        <v>721412</v>
      </c>
      <c r="B11" s="156" t="s">
        <v>279</v>
      </c>
      <c r="C11" s="156" t="s">
        <v>273</v>
      </c>
      <c r="D11" s="156" t="s">
        <v>274</v>
      </c>
      <c r="E11" s="159"/>
    </row>
    <row r="12" spans="1:5" ht="34.5" customHeight="1">
      <c r="A12" s="156">
        <v>721414</v>
      </c>
      <c r="B12" s="156" t="s">
        <v>414</v>
      </c>
      <c r="C12" s="227" t="s">
        <v>415</v>
      </c>
      <c r="D12" s="156" t="s">
        <v>416</v>
      </c>
      <c r="E12" s="159"/>
    </row>
    <row r="13" spans="1:5" ht="34.5" customHeight="1">
      <c r="A13" s="156">
        <v>721415</v>
      </c>
      <c r="B13" s="156" t="s">
        <v>417</v>
      </c>
      <c r="C13" s="227" t="s">
        <v>418</v>
      </c>
      <c r="D13" s="156" t="s">
        <v>419</v>
      </c>
      <c r="E13" s="159"/>
    </row>
    <row r="14" spans="1:5" ht="34.5" customHeight="1">
      <c r="A14" s="156">
        <v>726401</v>
      </c>
      <c r="B14" s="156" t="s">
        <v>420</v>
      </c>
      <c r="C14" s="227" t="s">
        <v>268</v>
      </c>
      <c r="D14" s="156" t="s">
        <v>269</v>
      </c>
      <c r="E14" s="159"/>
    </row>
    <row r="15" spans="1:5" ht="34.5" customHeight="1">
      <c r="A15" s="156">
        <v>726401</v>
      </c>
      <c r="B15" s="156" t="s">
        <v>420</v>
      </c>
      <c r="C15" s="227" t="s">
        <v>421</v>
      </c>
      <c r="D15" s="156" t="s">
        <v>422</v>
      </c>
      <c r="E15" s="159"/>
    </row>
    <row r="16" spans="1:5" ht="34.5" customHeight="1">
      <c r="A16" s="156"/>
      <c r="B16" s="156"/>
      <c r="C16" s="156"/>
      <c r="D16" s="161" t="s">
        <v>280</v>
      </c>
      <c r="E16" s="162">
        <f>SUM(E4:E15)</f>
        <v>0</v>
      </c>
    </row>
    <row r="17" spans="1:5" ht="34.5" customHeight="1">
      <c r="A17" s="156"/>
      <c r="B17" s="156"/>
      <c r="C17" s="156"/>
      <c r="D17" s="156"/>
      <c r="E17" s="159"/>
    </row>
    <row r="18" spans="1:5" ht="34.5" customHeight="1">
      <c r="A18" s="156">
        <v>300001</v>
      </c>
      <c r="B18" s="156" t="s">
        <v>406</v>
      </c>
      <c r="C18" s="163" t="s">
        <v>281</v>
      </c>
      <c r="D18" s="163" t="s">
        <v>282</v>
      </c>
      <c r="E18" s="164"/>
    </row>
    <row r="19" spans="1:5" ht="34.5" customHeight="1">
      <c r="A19" s="156">
        <v>300001</v>
      </c>
      <c r="B19" s="156" t="s">
        <v>406</v>
      </c>
      <c r="C19" s="237" t="s">
        <v>393</v>
      </c>
      <c r="D19" s="163" t="s">
        <v>423</v>
      </c>
      <c r="E19" s="164"/>
    </row>
    <row r="20" spans="1:5" ht="34.5" customHeight="1">
      <c r="A20" s="156">
        <v>300001</v>
      </c>
      <c r="B20" s="156" t="s">
        <v>406</v>
      </c>
      <c r="C20" s="237" t="s">
        <v>395</v>
      </c>
      <c r="D20" s="163" t="s">
        <v>424</v>
      </c>
      <c r="E20" s="164"/>
    </row>
    <row r="21" spans="1:5" ht="34.5" customHeight="1">
      <c r="A21" s="156">
        <v>300001</v>
      </c>
      <c r="B21" s="156" t="s">
        <v>406</v>
      </c>
      <c r="C21" s="237" t="s">
        <v>397</v>
      </c>
      <c r="D21" s="163" t="s">
        <v>425</v>
      </c>
      <c r="E21" s="164"/>
    </row>
    <row r="22" spans="1:5" ht="34.5" customHeight="1">
      <c r="A22" s="156">
        <v>300001</v>
      </c>
      <c r="B22" s="156" t="s">
        <v>406</v>
      </c>
      <c r="C22" s="237" t="s">
        <v>398</v>
      </c>
      <c r="D22" s="163" t="s">
        <v>426</v>
      </c>
      <c r="E22" s="164"/>
    </row>
    <row r="23" spans="1:5" ht="34.5" customHeight="1">
      <c r="A23" s="163">
        <v>726419</v>
      </c>
      <c r="B23" s="163" t="s">
        <v>427</v>
      </c>
      <c r="C23" s="237" t="s">
        <v>283</v>
      </c>
      <c r="D23" s="163" t="s">
        <v>428</v>
      </c>
      <c r="E23" s="159"/>
    </row>
    <row r="24" spans="1:5" ht="34.5" customHeight="1">
      <c r="A24" s="163">
        <v>726401</v>
      </c>
      <c r="B24" s="163" t="s">
        <v>420</v>
      </c>
      <c r="C24" s="238" t="s">
        <v>285</v>
      </c>
      <c r="D24" s="156" t="s">
        <v>286</v>
      </c>
      <c r="E24" s="159"/>
    </row>
    <row r="25" spans="1:5" ht="34.5" customHeight="1">
      <c r="A25" s="156">
        <v>721415</v>
      </c>
      <c r="B25" s="156" t="s">
        <v>417</v>
      </c>
      <c r="C25" s="227" t="s">
        <v>429</v>
      </c>
      <c r="D25" s="156" t="s">
        <v>430</v>
      </c>
      <c r="E25" s="159"/>
    </row>
    <row r="26" spans="1:5" ht="34.5" customHeight="1">
      <c r="A26" s="156">
        <v>716401</v>
      </c>
      <c r="B26" s="156" t="s">
        <v>211</v>
      </c>
      <c r="C26" s="227" t="s">
        <v>400</v>
      </c>
      <c r="D26" s="156" t="s">
        <v>431</v>
      </c>
      <c r="E26" s="159"/>
    </row>
    <row r="27" spans="1:5" ht="34.5" customHeight="1">
      <c r="A27" s="156">
        <v>716401</v>
      </c>
      <c r="B27" s="156" t="s">
        <v>211</v>
      </c>
      <c r="C27" s="227" t="s">
        <v>432</v>
      </c>
      <c r="D27" s="156" t="s">
        <v>433</v>
      </c>
      <c r="E27" s="159"/>
    </row>
    <row r="28" spans="1:5" ht="34.5" customHeight="1">
      <c r="A28" s="156">
        <v>716401</v>
      </c>
      <c r="B28" s="156" t="s">
        <v>211</v>
      </c>
      <c r="C28" s="227" t="s">
        <v>398</v>
      </c>
      <c r="D28" s="156" t="s">
        <v>434</v>
      </c>
      <c r="E28" s="159"/>
    </row>
    <row r="29" spans="1:5" ht="34.5" customHeight="1">
      <c r="A29" s="156">
        <v>716401</v>
      </c>
      <c r="B29" s="156" t="s">
        <v>211</v>
      </c>
      <c r="C29" s="227" t="s">
        <v>284</v>
      </c>
      <c r="D29" s="156" t="s">
        <v>435</v>
      </c>
      <c r="E29" s="159"/>
    </row>
    <row r="30" spans="1:5" ht="34.5" customHeight="1">
      <c r="A30" s="156">
        <v>716401</v>
      </c>
      <c r="B30" s="156" t="s">
        <v>211</v>
      </c>
      <c r="C30" s="227" t="s">
        <v>436</v>
      </c>
      <c r="D30" s="156" t="s">
        <v>286</v>
      </c>
      <c r="E30" s="159"/>
    </row>
    <row r="31" spans="1:5" ht="34.5" customHeight="1">
      <c r="A31" s="156">
        <v>716401</v>
      </c>
      <c r="B31" s="156" t="s">
        <v>211</v>
      </c>
      <c r="C31" s="227" t="s">
        <v>437</v>
      </c>
      <c r="D31" s="156" t="s">
        <v>438</v>
      </c>
      <c r="E31" s="159"/>
    </row>
    <row r="32" spans="1:5" ht="34.5" customHeight="1">
      <c r="A32" s="156">
        <v>716401</v>
      </c>
      <c r="B32" s="156" t="s">
        <v>211</v>
      </c>
      <c r="C32" s="227" t="s">
        <v>281</v>
      </c>
      <c r="D32" s="156" t="s">
        <v>439</v>
      </c>
      <c r="E32" s="159"/>
    </row>
    <row r="33" spans="1:5" ht="34.5" customHeight="1">
      <c r="A33" s="156">
        <v>716401</v>
      </c>
      <c r="B33" s="156" t="s">
        <v>211</v>
      </c>
      <c r="C33" s="227" t="s">
        <v>283</v>
      </c>
      <c r="D33" s="156" t="s">
        <v>428</v>
      </c>
      <c r="E33" s="159"/>
    </row>
    <row r="34" spans="1:5" ht="34.5" customHeight="1">
      <c r="A34" s="156">
        <v>716401</v>
      </c>
      <c r="B34" s="156" t="s">
        <v>211</v>
      </c>
      <c r="C34" s="227" t="s">
        <v>393</v>
      </c>
      <c r="D34" s="156" t="s">
        <v>423</v>
      </c>
      <c r="E34" s="159"/>
    </row>
    <row r="35" spans="4:5" ht="34.5" customHeight="1">
      <c r="D35" s="165" t="s">
        <v>287</v>
      </c>
      <c r="E35" s="166">
        <f>SUM(E18:E34)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E8"/>
  <sheetViews>
    <sheetView view="pageBreakPreview" zoomScaleSheetLayoutView="100" zoomScalePageLayoutView="0" workbookViewId="0" topLeftCell="A1">
      <selection activeCell="E4" sqref="E4:E7"/>
    </sheetView>
  </sheetViews>
  <sheetFormatPr defaultColWidth="9.140625" defaultRowHeight="15"/>
  <cols>
    <col min="1" max="1" width="13.7109375" style="154" customWidth="1"/>
    <col min="2" max="2" width="36.28125" style="154" customWidth="1"/>
    <col min="3" max="3" width="21.28125" style="154" bestFit="1" customWidth="1"/>
    <col min="4" max="4" width="46.421875" style="154" bestFit="1" customWidth="1"/>
    <col min="5" max="5" width="27.140625" style="154" bestFit="1" customWidth="1"/>
    <col min="6" max="16384" width="9.140625" style="154" customWidth="1"/>
  </cols>
  <sheetData>
    <row r="1" spans="1:5" ht="34.5" customHeight="1">
      <c r="A1" s="254" t="s">
        <v>440</v>
      </c>
      <c r="B1" s="255"/>
      <c r="C1" s="255"/>
      <c r="D1" s="255"/>
      <c r="E1" s="256"/>
    </row>
    <row r="2" spans="1:5" ht="34.5" customHeight="1">
      <c r="A2" s="155" t="s">
        <v>259</v>
      </c>
      <c r="B2" s="156" t="s">
        <v>260</v>
      </c>
      <c r="C2" s="157"/>
      <c r="D2" s="157"/>
      <c r="E2" s="157"/>
    </row>
    <row r="3" spans="1:5" ht="34.5" customHeight="1">
      <c r="A3" s="158" t="s">
        <v>261</v>
      </c>
      <c r="B3" s="158" t="s">
        <v>262</v>
      </c>
      <c r="C3" s="158" t="s">
        <v>263</v>
      </c>
      <c r="D3" s="158" t="s">
        <v>264</v>
      </c>
      <c r="E3" s="158" t="s">
        <v>265</v>
      </c>
    </row>
    <row r="4" spans="1:5" ht="34.5" customHeight="1">
      <c r="A4" s="156">
        <v>716401</v>
      </c>
      <c r="B4" s="156" t="s">
        <v>211</v>
      </c>
      <c r="C4" s="227" t="s">
        <v>441</v>
      </c>
      <c r="D4" s="156" t="s">
        <v>442</v>
      </c>
      <c r="E4" s="159"/>
    </row>
    <row r="5" spans="1:5" ht="34.5" customHeight="1">
      <c r="A5" s="156">
        <v>716401</v>
      </c>
      <c r="B5" s="156" t="s">
        <v>211</v>
      </c>
      <c r="C5" s="227" t="s">
        <v>398</v>
      </c>
      <c r="D5" s="156" t="s">
        <v>434</v>
      </c>
      <c r="E5" s="159"/>
    </row>
    <row r="6" spans="1:5" ht="34.5" customHeight="1">
      <c r="A6" s="156">
        <v>716401</v>
      </c>
      <c r="B6" s="156" t="s">
        <v>211</v>
      </c>
      <c r="C6" s="227" t="s">
        <v>283</v>
      </c>
      <c r="D6" s="156" t="s">
        <v>428</v>
      </c>
      <c r="E6" s="159"/>
    </row>
    <row r="7" spans="1:5" ht="34.5" customHeight="1">
      <c r="A7" s="156">
        <v>716401</v>
      </c>
      <c r="B7" s="156" t="s">
        <v>211</v>
      </c>
      <c r="C7" s="227" t="s">
        <v>393</v>
      </c>
      <c r="D7" s="156" t="s">
        <v>423</v>
      </c>
      <c r="E7" s="159"/>
    </row>
    <row r="8" spans="4:5" ht="34.5" customHeight="1">
      <c r="D8" s="165" t="s">
        <v>287</v>
      </c>
      <c r="E8" s="166">
        <f>SUM(E4:E7)</f>
        <v>0</v>
      </c>
    </row>
  </sheetData>
  <sheetProtection/>
  <mergeCells count="1">
    <mergeCell ref="A1:E1"/>
  </mergeCells>
  <printOptions/>
  <pageMargins left="0" right="0" top="0" bottom="0" header="0.5118110236220472" footer="0.5118110236220472"/>
  <pageSetup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KHÖT</dc:creator>
  <cp:keywords/>
  <dc:description/>
  <cp:lastModifiedBy>huszaranett</cp:lastModifiedBy>
  <cp:lastPrinted>2021-01-28T09:52:28Z</cp:lastPrinted>
  <dcterms:created xsi:type="dcterms:W3CDTF">2009-02-02T11:57:21Z</dcterms:created>
  <dcterms:modified xsi:type="dcterms:W3CDTF">2021-01-28T10:11:01Z</dcterms:modified>
  <cp:category/>
  <cp:version/>
  <cp:contentType/>
  <cp:contentStatus/>
</cp:coreProperties>
</file>