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95" tabRatio="601" firstSheet="29" activeTab="29"/>
  </bookViews>
  <sheets>
    <sheet name="előlap" sheetId="1" state="hidden" r:id="rId1"/>
    <sheet name="1998. évi 200 MFt (...03)" sheetId="2" state="hidden" r:id="rId2"/>
    <sheet name="1999. évi 200 MFt (...04)" sheetId="3" state="hidden" r:id="rId3"/>
    <sheet name="2000. dec-i 250 MFt (...05)" sheetId="4" state="hidden" r:id="rId4"/>
    <sheet name="2000. júl-i 200 MFt (...06)" sheetId="5" state="hidden" r:id="rId5"/>
    <sheet name="NA600-as vezeték (...07)" sheetId="6" state="hidden" r:id="rId6"/>
    <sheet name="2001.dec. - 2002.jún. (...08) " sheetId="7" state="hidden" r:id="rId7"/>
    <sheet name="2002. dec-i 305.133 eFt (...09)" sheetId="8" state="hidden" r:id="rId8"/>
    <sheet name="2003. okt. és dec. (...10)" sheetId="9" state="hidden" r:id="rId9"/>
    <sheet name="2004. szept. 718.793 eFt (..11)" sheetId="10" state="hidden" r:id="rId10"/>
    <sheet name="2005. évi 179.173 eFt (..12)" sheetId="11" state="hidden" r:id="rId11"/>
    <sheet name="2005. évi 607.314 eFt (..13)" sheetId="12" state="hidden" r:id="rId12"/>
    <sheet name="2006. évi 10.350 eFt (...14)" sheetId="13" state="hidden" r:id="rId13"/>
    <sheet name="2006. évi 11.007,9 eFt (...15)" sheetId="14" state="hidden" r:id="rId14"/>
    <sheet name="2006. évi 204.214,5 eFt (...16)" sheetId="15" state="hidden" r:id="rId15"/>
    <sheet name="2006. évi 226.086,3 eFt (...17)" sheetId="16" state="hidden" r:id="rId16"/>
    <sheet name="69 db bérlakásépítés (...11)" sheetId="17" state="hidden" r:id="rId17"/>
    <sheet name="59 db bérlakás (...12)" sheetId="18" state="hidden" r:id="rId18"/>
    <sheet name="Kecelhegyi bérlakás (...13)" sheetId="19" state="hidden" r:id="rId19"/>
    <sheet name="Panel_Plusz 633.336 eFt" sheetId="20" state="hidden" r:id="rId20"/>
    <sheet name="Panel_Plusz 494.917 eFt (...18)" sheetId="21" state="hidden" r:id="rId21"/>
    <sheet name="2007. évi fejl. hit 1. hitelcél" sheetId="22" state="hidden" r:id="rId22"/>
    <sheet name="2007. évi fejl. hit 2. hitelcél" sheetId="23" state="hidden" r:id="rId23"/>
    <sheet name="2007. évi fejl. hit 7. hitelcél" sheetId="24" state="hidden" r:id="rId24"/>
    <sheet name="2008. évi 3,64MrdFt - 2. hitelc" sheetId="25" state="hidden" r:id="rId25"/>
    <sheet name="2008. évi 760 MFt - 3. hitelc" sheetId="26" state="hidden" r:id="rId26"/>
    <sheet name="2008. évi 3,25 mrdFt-8. hitelc" sheetId="27" state="hidden" r:id="rId27"/>
    <sheet name="2008. évi 1,35 mrd Ft Bérlakás" sheetId="28" state="hidden" r:id="rId28"/>
    <sheet name="kötvény 5,2 Mrd Ft" sheetId="29" state="hidden" r:id="rId29"/>
    <sheet name="összesítő" sheetId="30" r:id="rId30"/>
  </sheets>
  <definedNames>
    <definedName name="_xlnm.Print_Titles" localSheetId="1">'1998. évi 200 MFt (...03)'!$1:$6</definedName>
    <definedName name="_xlnm.Print_Titles" localSheetId="2">'1999. évi 200 MFt (...04)'!$1:$6</definedName>
    <definedName name="_xlnm.Print_Titles" localSheetId="3">'2000. dec-i 250 MFt (...05)'!$1:$6</definedName>
    <definedName name="_xlnm.Print_Titles" localSheetId="4">'2000. júl-i 200 MFt (...06)'!$1:$6</definedName>
    <definedName name="_xlnm.Print_Titles" localSheetId="6">'2001.dec. - 2002.jún. (...08) '!$1:$7</definedName>
    <definedName name="_xlnm.Print_Titles" localSheetId="7">'2002. dec-i 305.133 eFt (...09)'!$1:$7</definedName>
    <definedName name="_xlnm.Print_Titles" localSheetId="8">'2003. okt. és dec. (...10)'!$1:$7</definedName>
    <definedName name="_xlnm.Print_Titles" localSheetId="9">'2004. szept. 718.793 eFt (..11)'!$1:$7</definedName>
    <definedName name="_xlnm.Print_Titles" localSheetId="10">'2005. évi 179.173 eFt (..12)'!$1:$6</definedName>
    <definedName name="_xlnm.Print_Titles" localSheetId="11">'2005. évi 607.314 eFt (..13)'!$2:$6</definedName>
    <definedName name="_xlnm.Print_Titles" localSheetId="12">'2006. évi 10.350 eFt (...14)'!$4:$6</definedName>
    <definedName name="_xlnm.Print_Titles" localSheetId="13">'2006. évi 11.007,9 eFt (...15)'!$4:$6</definedName>
    <definedName name="_xlnm.Print_Titles" localSheetId="14">'2006. évi 204.214,5 eFt (...16)'!$4:$6</definedName>
    <definedName name="_xlnm.Print_Titles" localSheetId="15">'2006. évi 226.086,3 eFt (...17)'!$4:$6</definedName>
    <definedName name="_xlnm.Print_Titles" localSheetId="21">'2007. évi fejl. hit 1. hitelcél'!$6:$8</definedName>
    <definedName name="_xlnm.Print_Titles" localSheetId="22">'2007. évi fejl. hit 2. hitelcél'!$6:$8</definedName>
    <definedName name="_xlnm.Print_Titles" localSheetId="23">'2007. évi fejl. hit 7. hitelcél'!$6:$8</definedName>
    <definedName name="_xlnm.Print_Titles" localSheetId="27">'2008. évi 1,35 mrd Ft Bérlakás'!$6:$8</definedName>
    <definedName name="_xlnm.Print_Titles" localSheetId="26">'2008. évi 3,25 mrdFt-8. hitelc'!$6:$8</definedName>
    <definedName name="_xlnm.Print_Titles" localSheetId="24">'2008. évi 3,64MrdFt - 2. hitelc'!$6:$8</definedName>
    <definedName name="_xlnm.Print_Titles" localSheetId="25">'2008. évi 760 MFt - 3. hitelc'!$6:$8</definedName>
    <definedName name="_xlnm.Print_Titles" localSheetId="17">'59 db bérlakás (...12)'!$1:$7</definedName>
    <definedName name="_xlnm.Print_Titles" localSheetId="16">'69 db bérlakásépítés (...11)'!$1:$7</definedName>
    <definedName name="_xlnm.Print_Titles" localSheetId="18">'Kecelhegyi bérlakás (...13)'!$1:$7</definedName>
    <definedName name="_xlnm.Print_Titles" localSheetId="28">'kötvény 5,2 Mrd Ft'!$5:$7</definedName>
    <definedName name="_xlnm.Print_Titles" localSheetId="5">'NA600-as vezeték (...07)'!$1:$7</definedName>
    <definedName name="_xlnm.Print_Titles" localSheetId="29">'összesítő'!$A:$A</definedName>
    <definedName name="_xlnm.Print_Titles" localSheetId="20">'Panel_Plusz 494.917 eFt (...18)'!$1:$5</definedName>
    <definedName name="_xlnm.Print_Titles" localSheetId="19">'Panel_Plusz 633.336 eFt'!$1:$5</definedName>
  </definedNames>
  <calcPr fullCalcOnLoad="1"/>
</workbook>
</file>

<file path=xl/sharedStrings.xml><?xml version="1.0" encoding="utf-8"?>
<sst xmlns="http://schemas.openxmlformats.org/spreadsheetml/2006/main" count="3519" uniqueCount="341">
  <si>
    <t xml:space="preserve">Kamat mértéke: 3 hónapos DKJ + 0,4 vagy 3 hónapos BUBOR + 0,2 </t>
  </si>
  <si>
    <t>Kamat mértéke: 3 hónapos BUBOR + 0,05</t>
  </si>
  <si>
    <t>(forint-ban)</t>
  </si>
  <si>
    <t>Dátum</t>
  </si>
  <si>
    <t>Napok</t>
  </si>
  <si>
    <t>Napvégi</t>
  </si>
  <si>
    <t>Éves</t>
  </si>
  <si>
    <t>száma</t>
  </si>
  <si>
    <t>egyenleg</t>
  </si>
  <si>
    <t>kamatteher</t>
  </si>
  <si>
    <t>adósság-</t>
  </si>
  <si>
    <t>tőke-</t>
  </si>
  <si>
    <t>szolgálat</t>
  </si>
  <si>
    <t>törlesztés</t>
  </si>
  <si>
    <t>Összesen:</t>
  </si>
  <si>
    <t>Kamat mértéke: 3 hónapos BUBOR + 0,1 %</t>
  </si>
  <si>
    <t>Türelmi idő: 1 év     Törlesztés: 7 év</t>
  </si>
  <si>
    <t>Türelmi idő: 1 év     Törlesztés: 9 év</t>
  </si>
  <si>
    <t>Kamatláb</t>
  </si>
  <si>
    <t>(%)</t>
  </si>
  <si>
    <t>Kamat-</t>
  </si>
  <si>
    <t>Tőke-</t>
  </si>
  <si>
    <t>Megnevezés</t>
  </si>
  <si>
    <t>2003. évi</t>
  </si>
  <si>
    <t>2004. évi</t>
  </si>
  <si>
    <t>2005. évi</t>
  </si>
  <si>
    <t>2006. évi</t>
  </si>
  <si>
    <t>2007. évi</t>
  </si>
  <si>
    <t>2008. évi</t>
  </si>
  <si>
    <t>2009. évi</t>
  </si>
  <si>
    <t>2010. évi</t>
  </si>
  <si>
    <t>2011. évi</t>
  </si>
  <si>
    <t>Kötelezett-</t>
  </si>
  <si>
    <t>Törlesztés</t>
  </si>
  <si>
    <t>ség I. 1-jén</t>
  </si>
  <si>
    <t>-</t>
  </si>
  <si>
    <t>NA 600-as vezeték kiváltásához szükséges hitel</t>
  </si>
  <si>
    <t>Hiteltartozás összesen</t>
  </si>
  <si>
    <t>Kamat</t>
  </si>
  <si>
    <t>Adósságszolgálat mindösszesen</t>
  </si>
  <si>
    <t>Türelmi idő: 1 év   Törlesztés: 10 év</t>
  </si>
  <si>
    <t>%</t>
  </si>
  <si>
    <t>Türelmi idő: 1 év   Törlesztés: 20 év</t>
  </si>
  <si>
    <t>Kamat mértéke: 3,69 %</t>
  </si>
  <si>
    <t>2012. évi</t>
  </si>
  <si>
    <t>2013. évi</t>
  </si>
  <si>
    <t>2014. évi</t>
  </si>
  <si>
    <t>2015. évi</t>
  </si>
  <si>
    <t>2016. évi</t>
  </si>
  <si>
    <t>2017. évi</t>
  </si>
  <si>
    <t>2018. évi</t>
  </si>
  <si>
    <t>2019. évi</t>
  </si>
  <si>
    <t>2020. évi</t>
  </si>
  <si>
    <t>2021. évi</t>
  </si>
  <si>
    <t>2022. évi</t>
  </si>
  <si>
    <t>Bérlakás építésre felvett hitel   2002. évi (59 db)</t>
  </si>
  <si>
    <t>Bérlakás építésre felvett hitel   2001. évi (69 db)</t>
  </si>
  <si>
    <t>láb</t>
  </si>
  <si>
    <t xml:space="preserve">Türelmi idő: 1 év </t>
  </si>
  <si>
    <t>Törlesztés: 7 év</t>
  </si>
  <si>
    <t>Türelmi idő: 1 év    Törlesztés: 5 év</t>
  </si>
  <si>
    <t>2002. decemberben felvett hitel</t>
  </si>
  <si>
    <t>9 év futamidő</t>
  </si>
  <si>
    <t>2002. évi</t>
  </si>
  <si>
    <t xml:space="preserve">1998. évben felvett fejlesztési célú hitel </t>
  </si>
  <si>
    <t xml:space="preserve">1999. évben felvett fejlesztési célú hitel </t>
  </si>
  <si>
    <r>
      <t>2003. oktben és decben felvett 713.171 eFt</t>
    </r>
    <r>
      <rPr>
        <sz val="10"/>
        <rFont val="Times New Roman CE"/>
        <family val="1"/>
      </rPr>
      <t xml:space="preserve"> hitel</t>
    </r>
  </si>
  <si>
    <t>Az önkormányzat fejlesztési célú</t>
  </si>
  <si>
    <t>adósságszolgálatának alakulása</t>
  </si>
  <si>
    <t>Utolsó módosítás:</t>
  </si>
  <si>
    <t>1 év türelmi idő, 9 év futamidő</t>
  </si>
  <si>
    <t xml:space="preserve">I. részletének felvétele: </t>
  </si>
  <si>
    <t>2004. szeptember 22.</t>
  </si>
  <si>
    <t>I. részletének felvétele:</t>
  </si>
  <si>
    <t>2003. október 21.</t>
  </si>
  <si>
    <t>2003. december 4.</t>
  </si>
  <si>
    <t>2003. december 31.</t>
  </si>
  <si>
    <t>2004. június 4.</t>
  </si>
  <si>
    <t>II. részletének felvétele:</t>
  </si>
  <si>
    <t>III. részletének felvétele:</t>
  </si>
  <si>
    <t>IV. részletének felvétele:</t>
  </si>
  <si>
    <t>V. részletének felvétele:</t>
  </si>
  <si>
    <t>VI. részletének felvétele:</t>
  </si>
  <si>
    <t>2004. szeptember 24.</t>
  </si>
  <si>
    <t>2004. november 2.</t>
  </si>
  <si>
    <r>
      <t>2004. szept-okt-decben felvett 718.793 eFt</t>
    </r>
    <r>
      <rPr>
        <sz val="10"/>
        <rFont val="Times New Roman CE"/>
        <family val="1"/>
      </rPr>
      <t xml:space="preserve"> hitel</t>
    </r>
  </si>
  <si>
    <t>I. részletének felvétele: 2002. december 28-án</t>
  </si>
  <si>
    <t>II. részletének felvétele: 2003. április 18-án</t>
  </si>
  <si>
    <t>III. részletének felvétele:2003. május 27-én</t>
  </si>
  <si>
    <t>IV. részletének felvétele:2003. június 11-én</t>
  </si>
  <si>
    <t>V. részletének felvétele:2003. július 09-én</t>
  </si>
  <si>
    <t>VI. részletének felvétele:2003. augusztus 08-án</t>
  </si>
  <si>
    <t>VII. részletének felvétele:2003. október 20-án</t>
  </si>
  <si>
    <t>Összesen</t>
  </si>
  <si>
    <t>I. részletének felvétele 2001.12.26-án</t>
  </si>
  <si>
    <t>II. részletének felvétele 2002.06.30-án</t>
  </si>
  <si>
    <t>I. részelének felvétele 2001.12.11-én</t>
  </si>
  <si>
    <t>II. részletének felvétele 2002.12.31-én</t>
  </si>
  <si>
    <t>III. részletének felvétele 2003. 05.30-án</t>
  </si>
  <si>
    <t>2004. december 18.</t>
  </si>
  <si>
    <t xml:space="preserve">II. részletének felvétele: </t>
  </si>
  <si>
    <t>Szerződés szerinti keretösszeg: 718.793.000 Ft</t>
  </si>
  <si>
    <t>előtörlesztés: 2004. december 14-én</t>
  </si>
  <si>
    <t>Teljes keret: 197.956.020,- Ft szerződés szerint, ebből ténylegesen felvett: 187.075.039,- Ft</t>
  </si>
  <si>
    <t>Kezelési</t>
  </si>
  <si>
    <t>költség</t>
  </si>
  <si>
    <t>Hitel-</t>
  </si>
  <si>
    <t xml:space="preserve">III. részletének felvétele: </t>
  </si>
  <si>
    <t>2004. december 30.</t>
  </si>
  <si>
    <t>Türelmi idő: 3 év</t>
  </si>
  <si>
    <t>Törlesztés: 17 év</t>
  </si>
  <si>
    <t>2023. évi</t>
  </si>
  <si>
    <t>2024. évi</t>
  </si>
  <si>
    <t>2025. évi</t>
  </si>
  <si>
    <t xml:space="preserve">IV. részletének felvétele: </t>
  </si>
  <si>
    <t>2005. október 28.</t>
  </si>
  <si>
    <t>2005. december 16.</t>
  </si>
  <si>
    <t>2001. dec-ben és 2002. jún-ban felvett fejlesztési hitel</t>
  </si>
  <si>
    <t>Bérlakás építésre felvett hitel 2002. évi (Kecelhegy)</t>
  </si>
  <si>
    <t>Kamat mértéke: 3 havi EURIBOR - 0,05 % = 3,011 %</t>
  </si>
  <si>
    <t>Projekt-</t>
  </si>
  <si>
    <t>vizsgálati</t>
  </si>
  <si>
    <t>díj (10 %)</t>
  </si>
  <si>
    <t xml:space="preserve"> + egyéb ktg.</t>
  </si>
  <si>
    <t>Kamat, kezelési ktg., projektvizsg. díj összesen</t>
  </si>
  <si>
    <t>Törlesztés: 12 év</t>
  </si>
  <si>
    <t>1. részlet felvétele</t>
  </si>
  <si>
    <t>2. részlet felvétele</t>
  </si>
  <si>
    <t>3. részlet felvétele</t>
  </si>
  <si>
    <t>4. részlet felvétele</t>
  </si>
  <si>
    <t>5. részlet felvétele</t>
  </si>
  <si>
    <t>6. részlet felvétele</t>
  </si>
  <si>
    <t>7. részlet felvétele</t>
  </si>
  <si>
    <t>8. részlet felvétele</t>
  </si>
  <si>
    <t>9. részlet felvétele</t>
  </si>
  <si>
    <t>folyósítás</t>
  </si>
  <si>
    <t>tőketartozás</t>
  </si>
  <si>
    <t>Fennálló</t>
  </si>
  <si>
    <t>Felhasználható</t>
  </si>
  <si>
    <t>hitelkeret</t>
  </si>
  <si>
    <t>2006. augusztus 24.</t>
  </si>
  <si>
    <t>10. részlet felvétele</t>
  </si>
  <si>
    <t>11. részlet felvétele</t>
  </si>
  <si>
    <t>12. részlet felvétele</t>
  </si>
  <si>
    <t>13. részlet felvétele</t>
  </si>
  <si>
    <t>14. részlet felvétele</t>
  </si>
  <si>
    <t>15. részlet felvétele</t>
  </si>
  <si>
    <t>16. részlet felvétele</t>
  </si>
  <si>
    <t>17. részlet felvétele</t>
  </si>
  <si>
    <t>Kamat mértéke: 3 havi EURIBOR + évi 0,89 %</t>
  </si>
  <si>
    <t>Projektvizsgálati díj: a kölcsönösszeg 1,5 %-a</t>
  </si>
  <si>
    <t>díj (1,5 %)</t>
  </si>
  <si>
    <t>Kamat mértéke: 3 havi EURIBOR + évi 1,39 %</t>
  </si>
  <si>
    <t>2026. évi</t>
  </si>
  <si>
    <t>18. részlet felvétele</t>
  </si>
  <si>
    <t>19. részlet felvétele</t>
  </si>
  <si>
    <t>20. részlet felvétele</t>
  </si>
  <si>
    <t>21. részlet felvétele</t>
  </si>
  <si>
    <t>22. részlet felvétele</t>
  </si>
  <si>
    <t>23. részlet felvétele</t>
  </si>
  <si>
    <t>24. részlet felvétele</t>
  </si>
  <si>
    <t>25. részlet felvétele</t>
  </si>
  <si>
    <t>26. részlet felvétele</t>
  </si>
  <si>
    <t>27. részlet felvétele</t>
  </si>
  <si>
    <t>28. részlet felvétele</t>
  </si>
  <si>
    <t>29. részlet felvétele</t>
  </si>
  <si>
    <t>30. részlet felvétele</t>
  </si>
  <si>
    <t>31. részlet felvétele</t>
  </si>
  <si>
    <t>32. részlet felvétele</t>
  </si>
  <si>
    <t>33. részlet felvétele</t>
  </si>
  <si>
    <t>2. részlet tervezett felvétele</t>
  </si>
  <si>
    <t>2005-2006. évben felvett  607.314 eFt hitel</t>
  </si>
  <si>
    <t>2005-2006. évben felvételre tervezett 179.173 eFt hitel</t>
  </si>
  <si>
    <r>
      <t xml:space="preserve">2006. évben felvett Panel Plusz Hitel </t>
    </r>
    <r>
      <rPr>
        <b/>
        <sz val="10"/>
        <rFont val="Times New Roman CE"/>
        <family val="1"/>
      </rPr>
      <t>/1</t>
    </r>
  </si>
  <si>
    <t>Törlesz-</t>
  </si>
  <si>
    <t>tés</t>
  </si>
  <si>
    <t>OTP Bank Rt-vel kötött szerződés alapján</t>
  </si>
  <si>
    <t>K&amp;H Bank Rt-vel kötött szerződés alapján</t>
  </si>
  <si>
    <t>Hiteltartozások összesen</t>
  </si>
  <si>
    <t>Adósságszolgálat összesen</t>
  </si>
  <si>
    <t>2006. december 13.</t>
  </si>
  <si>
    <t xml:space="preserve">I. részlet felvétele: </t>
  </si>
  <si>
    <t xml:space="preserve">II. részlet felvétele: </t>
  </si>
  <si>
    <t xml:space="preserve">III. részlet felvétele: </t>
  </si>
  <si>
    <t>2006. december 19.</t>
  </si>
  <si>
    <t>34. részlet felvétele</t>
  </si>
  <si>
    <t>35. részlet felvétele</t>
  </si>
  <si>
    <t>36. részlet felvétele</t>
  </si>
  <si>
    <t>37. részlet felvétele</t>
  </si>
  <si>
    <t>38. részlet felvétele</t>
  </si>
  <si>
    <t>39. részlet felvétele</t>
  </si>
  <si>
    <t>40. részlet felvétele</t>
  </si>
  <si>
    <t>41. részlet felvétele</t>
  </si>
  <si>
    <t>42. részlet felvétele</t>
  </si>
  <si>
    <t>43. részlet felvétele</t>
  </si>
  <si>
    <t>44. részlet felvétele</t>
  </si>
  <si>
    <t>45. részlet felvétele</t>
  </si>
  <si>
    <t>46. részlet felvétele</t>
  </si>
  <si>
    <t>47. részlet felvétele</t>
  </si>
  <si>
    <t>I. Hitelcélok szerint</t>
  </si>
  <si>
    <t>II. Hitelezők szerint</t>
  </si>
  <si>
    <t>Kamat mértéke: 3 havi EURIBOR + 0,937 % = szerződéskötéskor: 4,659 %</t>
  </si>
  <si>
    <t xml:space="preserve">2000. júliusban felvett fejlesztési célú hitel </t>
  </si>
  <si>
    <t xml:space="preserve">2000. decemberben felvett fejlesztési célú hitel </t>
  </si>
  <si>
    <t>Teljes hitelösszeg:</t>
  </si>
  <si>
    <t>Ft</t>
  </si>
  <si>
    <t>Törlesztés időtartama:</t>
  </si>
  <si>
    <t>év</t>
  </si>
  <si>
    <t>48. részlet felvétele</t>
  </si>
  <si>
    <t>49. részlet felvétele</t>
  </si>
  <si>
    <t>50. részlet felvétele</t>
  </si>
  <si>
    <t>51. részlet felvétele</t>
  </si>
  <si>
    <t>52. részlet felvétele</t>
  </si>
  <si>
    <t>53. részlet felvétele</t>
  </si>
  <si>
    <t>54. részlet felvétele</t>
  </si>
  <si>
    <t>55. részlet felvétele</t>
  </si>
  <si>
    <t>56. részlet felvétele</t>
  </si>
  <si>
    <t>57. részlet felvétele</t>
  </si>
  <si>
    <t>2027. évi</t>
  </si>
  <si>
    <t>58. részlet felvétele</t>
  </si>
  <si>
    <t>59. részlet felvétele</t>
  </si>
  <si>
    <t>60. részlet felvétele</t>
  </si>
  <si>
    <t>61. részlet felvétele</t>
  </si>
  <si>
    <t>62. részlet felvétele</t>
  </si>
  <si>
    <t>63. részlet felvétele</t>
  </si>
  <si>
    <t>2007. augusztus 21.</t>
  </si>
  <si>
    <t>Projektvizsgálati díj:</t>
  </si>
  <si>
    <t>%       =</t>
  </si>
  <si>
    <t>Türelmi idő:</t>
  </si>
  <si>
    <t>díj</t>
  </si>
  <si>
    <r>
      <t xml:space="preserve">2007. évben felvételre tervezett 196.360 eFt hitel </t>
    </r>
    <r>
      <rPr>
        <b/>
        <sz val="10"/>
        <rFont val="Times New Roman CE"/>
        <family val="1"/>
      </rPr>
      <t>/7</t>
    </r>
  </si>
  <si>
    <r>
      <t xml:space="preserve">2007. évben felvételre tervezett 722.112 eFt hitel </t>
    </r>
    <r>
      <rPr>
        <b/>
        <sz val="10"/>
        <rFont val="Times New Roman CE"/>
        <family val="1"/>
      </rPr>
      <t>/8</t>
    </r>
  </si>
  <si>
    <r>
      <t xml:space="preserve">2007. évben felvételre tervezett 15.302 eFt hitel </t>
    </r>
    <r>
      <rPr>
        <b/>
        <sz val="10"/>
        <rFont val="Times New Roman CE"/>
        <family val="1"/>
      </rPr>
      <t>/9</t>
    </r>
  </si>
  <si>
    <t>OTP Bank Rt.</t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</si>
  <si>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3    OTP Bank Rt.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</si>
  <si>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4     OTP Bank Rt.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</si>
  <si>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5    OTP Bank Rt.</t>
    </r>
  </si>
  <si>
    <r>
      <t xml:space="preserve">Számlaszám: </t>
    </r>
    <r>
      <rPr>
        <sz val="10"/>
        <rFont val="Times New Roman CE"/>
        <family val="1"/>
      </rPr>
      <t xml:space="preserve">0 1 3 2 0 3 9 8 0 0 </t>
    </r>
    <r>
      <rPr>
        <b/>
        <sz val="10"/>
        <rFont val="Times New Roman CE"/>
        <family val="1"/>
      </rPr>
      <t>0 6     OTP Bank Rt.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</si>
  <si>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0"/>
      </rPr>
      <t xml:space="preserve"> 0 7     OTP Bank Rt.</t>
    </r>
  </si>
  <si>
    <r>
      <t xml:space="preserve">Számlaszám: </t>
    </r>
    <r>
      <rPr>
        <sz val="10"/>
        <rFont val="Times New Roman CE"/>
        <family val="1"/>
      </rPr>
      <t>0 1 3 2 0 3 9 8 0 0</t>
    </r>
    <r>
      <rPr>
        <b/>
        <sz val="10"/>
        <rFont val="Times New Roman CE"/>
        <family val="1"/>
      </rPr>
      <t xml:space="preserve"> 0 8     OTP Bank Rt.</t>
    </r>
  </si>
  <si>
    <r>
      <t xml:space="preserve">Számlaszám: </t>
    </r>
    <r>
      <rPr>
        <sz val="10"/>
        <rFont val="Times New Roman CE"/>
        <family val="1"/>
      </rPr>
      <t>1 3 2 0 3 9 8 0 0</t>
    </r>
    <r>
      <rPr>
        <b/>
        <sz val="10"/>
        <rFont val="Times New Roman CE"/>
        <family val="1"/>
      </rPr>
      <t xml:space="preserve"> 0 9      OTP Bank Rt.</t>
    </r>
  </si>
  <si>
    <r>
      <t xml:space="preserve">Számlaszám: </t>
    </r>
    <r>
      <rPr>
        <sz val="10"/>
        <rFont val="Times New Roman CE"/>
        <family val="1"/>
      </rPr>
      <t>1 3 2 0 3 9 8 0 0</t>
    </r>
    <r>
      <rPr>
        <b/>
        <sz val="10"/>
        <rFont val="Times New Roman CE"/>
        <family val="1"/>
      </rPr>
      <t xml:space="preserve"> 1 0     OTP Bank Rt.</t>
    </r>
  </si>
  <si>
    <r>
      <t>Számlaszám:</t>
    </r>
    <r>
      <rPr>
        <sz val="10"/>
        <rFont val="Times New Roman CE"/>
        <family val="1"/>
      </rPr>
      <t xml:space="preserve"> 1 3 2 0 3 9 8 0 0 </t>
    </r>
    <r>
      <rPr>
        <b/>
        <sz val="10"/>
        <rFont val="Times New Roman CE"/>
        <family val="1"/>
      </rPr>
      <t>1 1    OTP Bank Rt.</t>
    </r>
  </si>
  <si>
    <r>
      <t xml:space="preserve">Számlaszám: </t>
    </r>
    <r>
      <rPr>
        <sz val="10"/>
        <rFont val="Times New Roman CE"/>
        <family val="1"/>
      </rPr>
      <t>0 1 3 2 3 3 9 8 0 0</t>
    </r>
    <r>
      <rPr>
        <b/>
        <sz val="10"/>
        <rFont val="Times New Roman CE"/>
        <family val="0"/>
      </rPr>
      <t xml:space="preserve"> 1 1      OTP Bank Rt.</t>
    </r>
  </si>
  <si>
    <r>
      <t xml:space="preserve">Számlaszám:  </t>
    </r>
    <r>
      <rPr>
        <sz val="10"/>
        <rFont val="Times New Roman CE"/>
        <family val="1"/>
      </rPr>
      <t>0 1 3 2 3 3 9 8 0 0</t>
    </r>
    <r>
      <rPr>
        <b/>
        <sz val="10"/>
        <rFont val="Times New Roman CE"/>
        <family val="1"/>
      </rPr>
      <t xml:space="preserve"> 1 2       OTP Bank Rt.</t>
    </r>
  </si>
  <si>
    <r>
      <t xml:space="preserve">Számlaszám: </t>
    </r>
    <r>
      <rPr>
        <sz val="10"/>
        <rFont val="Times New Roman CE"/>
        <family val="1"/>
      </rPr>
      <t xml:space="preserve">0 1 3 2 3 3 9 8 0 0 </t>
    </r>
    <r>
      <rPr>
        <b/>
        <sz val="10"/>
        <rFont val="Times New Roman CE"/>
        <family val="1"/>
      </rPr>
      <t>1 3           OTP Bank Rt.</t>
    </r>
  </si>
  <si>
    <t>K&amp;H Bank Rt.</t>
  </si>
  <si>
    <t>Volksbank Rt-vel kötött szerződés alapján</t>
  </si>
  <si>
    <t>64. részlet felvétele</t>
  </si>
  <si>
    <t>65. részlet felvétele</t>
  </si>
  <si>
    <t>… részlet tervezett felvétele</t>
  </si>
  <si>
    <t>Még le nem szerződött</t>
  </si>
  <si>
    <t xml:space="preserve">Kamat mértéke (3 havi EURIBOR 2007.10.01-től: 4,786%) + 0,4389 % = évi: </t>
  </si>
  <si>
    <t>Kamat mértéke (3 havi EURIBOR 2007.10.01-től: 4,786 %) + 1,5 % = évi:</t>
  </si>
  <si>
    <t>Kamat mértéke (3 havi EURIBOR 2007.10.01-től: 4,786 %) + 0,4389 % = évi:</t>
  </si>
  <si>
    <r>
      <t xml:space="preserve"> </t>
    </r>
    <r>
      <rPr>
        <b/>
        <sz val="10"/>
        <rFont val="Times New Roman CE"/>
        <family val="1"/>
      </rPr>
      <t xml:space="preserve">/4 </t>
    </r>
    <r>
      <rPr>
        <sz val="10"/>
        <rFont val="Times New Roman CE"/>
        <family val="1"/>
      </rPr>
      <t>2007. 08. 21-ig a teljes összeg felvételre került.</t>
    </r>
  </si>
  <si>
    <r>
      <t xml:space="preserve"> </t>
    </r>
    <r>
      <rPr>
        <b/>
        <sz val="10"/>
        <rFont val="Times New Roman CE"/>
        <family val="1"/>
      </rPr>
      <t xml:space="preserve">/2 </t>
    </r>
    <r>
      <rPr>
        <sz val="10"/>
        <rFont val="Times New Roman CE"/>
        <family val="1"/>
      </rPr>
      <t>2007. 08. 21-ig a teljes összeg felvételre került.</t>
    </r>
  </si>
  <si>
    <r>
      <t xml:space="preserve"> /1 </t>
    </r>
    <r>
      <rPr>
        <sz val="10"/>
        <rFont val="Times New Roman CE"/>
        <family val="0"/>
      </rPr>
      <t>Módosított hitelkeret:</t>
    </r>
    <r>
      <rPr>
        <sz val="10"/>
        <rFont val="Times New Roman CE"/>
        <family val="1"/>
      </rPr>
      <t xml:space="preserve"> 603.139 eFt</t>
    </r>
  </si>
  <si>
    <r>
      <t>Számlaszám:</t>
    </r>
    <r>
      <rPr>
        <sz val="10"/>
        <rFont val="Times New Roman CE"/>
        <family val="0"/>
      </rPr>
      <t xml:space="preserve"> 0 1 3 2 0 3 9 8 0 0</t>
    </r>
    <r>
      <rPr>
        <b/>
        <sz val="10"/>
        <rFont val="Times New Roman CE"/>
        <family val="1"/>
      </rPr>
      <t xml:space="preserve"> 1 4     OTP Bank Rt. (MFB)</t>
    </r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</si>
  <si>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3     OTP Bank Rt. (MFB)</t>
    </r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</si>
  <si>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2      OTP Bank Rt. (MFB)</t>
    </r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</si>
  <si>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6     OTP Bank Rt. (MFB)</t>
    </r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</si>
  <si>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5     OTP Bank Rt. (MFB)</t>
    </r>
  </si>
  <si>
    <r>
      <t>Számlaszám:</t>
    </r>
    <r>
      <rPr>
        <sz val="10"/>
        <rFont val="Times New Roman CE"/>
        <family val="0"/>
      </rPr>
      <t xml:space="preserve"> 0 1 3 2 0 3 9 8 0 0 </t>
    </r>
    <r>
      <rPr>
        <b/>
        <sz val="10"/>
        <rFont val="Times New Roman CE"/>
        <family val="1"/>
      </rPr>
      <t>1 7      OTP Bank Rt. (MFB)</t>
    </r>
  </si>
  <si>
    <t>Éves kamat-</t>
  </si>
  <si>
    <t>teher és pj. díj</t>
  </si>
  <si>
    <t>összesen</t>
  </si>
  <si>
    <t xml:space="preserve">Kamat mértéke: 3 havi EURIBOR + évi 0,73 %        </t>
  </si>
  <si>
    <t xml:space="preserve"> projektvizsgálati díj: évi </t>
  </si>
  <si>
    <t xml:space="preserve">Kezelési költség: évi </t>
  </si>
  <si>
    <t>Kezelési költség: évi</t>
  </si>
  <si>
    <t>Projektvizsg.</t>
  </si>
  <si>
    <t xml:space="preserve">Kamat mértéke: 3 havi EURIBOR + évi 1,33 % </t>
  </si>
  <si>
    <t>projektvizsgálati díj évi:</t>
  </si>
  <si>
    <t xml:space="preserve"> + kez. ktsg.</t>
  </si>
  <si>
    <t>Hitel visszafizetése kötvénykibocsátásból: 2007.12.22-én.</t>
  </si>
  <si>
    <t>1. részlet  felvétele</t>
  </si>
  <si>
    <t>3. részlet tervezett felvétele</t>
  </si>
  <si>
    <t>1. részlet tervezett felvétele</t>
  </si>
  <si>
    <t>OTP Bank Rt. (MFB)</t>
  </si>
  <si>
    <t>Kamat mértéke (3 havi EURIBOR 2008.01.01-től: 4,765 %) + 1,95 % = évi:</t>
  </si>
  <si>
    <t>Kamat mértéke (3 havi EURIBOR 2008.01.01-től: 4,765 %) + 1,45 % = évi:</t>
  </si>
  <si>
    <r>
      <t>Kötvény kibocsátás 5,2 mrd Ft értékben</t>
    </r>
    <r>
      <rPr>
        <b/>
        <sz val="10"/>
        <rFont val="Times New Roman CE"/>
        <family val="1"/>
      </rPr>
      <t>/14</t>
    </r>
  </si>
  <si>
    <r>
      <t xml:space="preserve">2008-2010. években felvételre tervezett 3,64 mrd Ft célhitel  </t>
    </r>
    <r>
      <rPr>
        <b/>
        <sz val="10"/>
        <rFont val="Times New Roman CE"/>
        <family val="0"/>
      </rPr>
      <t>/10</t>
    </r>
  </si>
  <si>
    <r>
      <t xml:space="preserve">2008-2010. években felvételre tervezett 760 mFt célhitel </t>
    </r>
    <r>
      <rPr>
        <b/>
        <sz val="10"/>
        <rFont val="Times New Roman CE"/>
        <family val="0"/>
      </rPr>
      <t>/11</t>
    </r>
  </si>
  <si>
    <r>
      <t xml:space="preserve">2008-2010. években felvételre tervezett 3,25 mrd Ft célhitel  </t>
    </r>
    <r>
      <rPr>
        <b/>
        <sz val="10"/>
        <rFont val="Times New Roman CE"/>
        <family val="0"/>
      </rPr>
      <t>/12</t>
    </r>
  </si>
  <si>
    <r>
      <t xml:space="preserve">2008-2010. években felvételre tervezett 1,35 mrd Ft célhitel  </t>
    </r>
    <r>
      <rPr>
        <b/>
        <sz val="10"/>
        <rFont val="Times New Roman CE"/>
        <family val="0"/>
      </rPr>
      <t>/13</t>
    </r>
  </si>
  <si>
    <t>2028. évi</t>
  </si>
  <si>
    <r>
      <t xml:space="preserve">2006. évben felvett 204.214,5 eFt célhitel </t>
    </r>
    <r>
      <rPr>
        <b/>
        <sz val="10"/>
        <rFont val="Times New Roman CE"/>
        <family val="1"/>
      </rPr>
      <t>/2</t>
    </r>
  </si>
  <si>
    <r>
      <t xml:space="preserve">2006. évben felvett 226.086,3 eFt célhitel </t>
    </r>
    <r>
      <rPr>
        <b/>
        <sz val="10"/>
        <rFont val="Times New Roman CE"/>
        <family val="1"/>
      </rPr>
      <t>/3</t>
    </r>
  </si>
  <si>
    <r>
      <t xml:space="preserve">2006. évben felvett 10.350 eFt célhitel </t>
    </r>
    <r>
      <rPr>
        <b/>
        <sz val="10"/>
        <rFont val="Times New Roman CE"/>
        <family val="1"/>
      </rPr>
      <t>/4</t>
    </r>
  </si>
  <si>
    <r>
      <t xml:space="preserve">2006. évben felvett 11.007,9 eFt célhitel </t>
    </r>
    <r>
      <rPr>
        <b/>
        <sz val="10"/>
        <rFont val="Times New Roman CE"/>
        <family val="1"/>
      </rPr>
      <t>/5</t>
    </r>
  </si>
  <si>
    <t>Viziközmű társulattól átvett hitel</t>
  </si>
  <si>
    <t>B) Kötvény</t>
  </si>
  <si>
    <t>A) Hitelek</t>
  </si>
  <si>
    <t>Tőketörlesztés</t>
  </si>
  <si>
    <t>Kamattörlesztés</t>
  </si>
  <si>
    <t>Raiffeisen Bank Rt-vel kötött szerződés alapján</t>
  </si>
  <si>
    <r>
      <t xml:space="preserve"> /14 </t>
    </r>
    <r>
      <rPr>
        <sz val="10"/>
        <rFont val="Times New Roman CE"/>
        <family val="1"/>
      </rPr>
      <t>Kibocsátás: 2007. XII.21.</t>
    </r>
  </si>
  <si>
    <t>Volksbank Rt.     000294</t>
  </si>
  <si>
    <t>Volksbank Rt.      000295</t>
  </si>
  <si>
    <t>Volksbank Rt.        000296</t>
  </si>
  <si>
    <t>Kamat (6 havi referencia CHF LIBOR-hoz kötötten változó) = kibocsátáskor 4,0 %</t>
  </si>
  <si>
    <t>66. részlet felvétele</t>
  </si>
  <si>
    <t>67. részlet felvétele</t>
  </si>
  <si>
    <r>
      <t xml:space="preserve"> </t>
    </r>
    <r>
      <rPr>
        <b/>
        <sz val="10"/>
        <rFont val="Times New Roman CE"/>
        <family val="1"/>
      </rPr>
      <t xml:space="preserve">/6 </t>
    </r>
    <r>
      <rPr>
        <sz val="10"/>
        <rFont val="Times New Roman CE"/>
        <family val="1"/>
      </rPr>
      <t>2008. 06. 30-ig ténylegesen felvett:  449.069 eFt.</t>
    </r>
  </si>
  <si>
    <r>
      <t xml:space="preserve"> </t>
    </r>
    <r>
      <rPr>
        <b/>
        <sz val="10"/>
        <rFont val="Times New Roman CE"/>
        <family val="1"/>
      </rPr>
      <t xml:space="preserve">/3 </t>
    </r>
    <r>
      <rPr>
        <sz val="10"/>
        <rFont val="Times New Roman CE"/>
        <family val="1"/>
      </rPr>
      <t>2006. 12. 19-ig a teljes összeg felvételre került.</t>
    </r>
  </si>
  <si>
    <r>
      <t xml:space="preserve">2007. évben felvételre tervezett Panel Plusz Hitel 494.917 eFt </t>
    </r>
    <r>
      <rPr>
        <b/>
        <sz val="10"/>
        <rFont val="Times New Roman CE"/>
        <family val="0"/>
      </rPr>
      <t>/6</t>
    </r>
  </si>
  <si>
    <t>Ellenörző szám:</t>
  </si>
  <si>
    <t>68. részlet felvétele</t>
  </si>
  <si>
    <t>CHF</t>
  </si>
  <si>
    <t>Éves tőke-</t>
  </si>
  <si>
    <t>Éves adósság-</t>
  </si>
  <si>
    <t>HUF</t>
  </si>
  <si>
    <t>Árfolyam</t>
  </si>
  <si>
    <t>HUF/CHF</t>
  </si>
  <si>
    <t>VOLKSBANK</t>
  </si>
  <si>
    <t>K&amp;H BANK</t>
  </si>
  <si>
    <t>K&amp;H Bank és Volksbank összesen</t>
  </si>
  <si>
    <t>69. részlet felvétele</t>
  </si>
  <si>
    <t>2008. november 05.</t>
  </si>
  <si>
    <t xml:space="preserve"> -&gt; lemondásra került</t>
  </si>
  <si>
    <t>4. részlet tervezett felvétele</t>
  </si>
  <si>
    <t>5. részlet tervezett felvétele</t>
  </si>
  <si>
    <t>6. részlet tervezett felvétele</t>
  </si>
  <si>
    <t>7. részlet tervezett felvétele</t>
  </si>
  <si>
    <r>
      <t xml:space="preserve"> /7</t>
    </r>
    <r>
      <rPr>
        <sz val="10"/>
        <rFont val="Times New Roman CE"/>
        <family val="1"/>
      </rPr>
      <t xml:space="preserve"> I. részlet 2007.12.04.: 181.092 eFt, II. részlet: 2008.01.07.: 6.442 eFt, III. részlet 2008.11.10.: 8.826 eFt</t>
    </r>
  </si>
  <si>
    <r>
      <t xml:space="preserve"> /8</t>
    </r>
    <r>
      <rPr>
        <sz val="10"/>
        <rFont val="Times New Roman CE"/>
        <family val="1"/>
      </rPr>
      <t xml:space="preserve"> I. részlet 2007.12.04.: 351.452 eFt, II. részlet: 2008.01.07.: 222.994 eFt, III. részlet 2008.11.10.: 147.666 eFt</t>
    </r>
  </si>
  <si>
    <r>
      <t xml:space="preserve"> /9</t>
    </r>
    <r>
      <rPr>
        <sz val="10"/>
        <rFont val="Times New Roman CE"/>
        <family val="1"/>
      </rPr>
      <t xml:space="preserve"> I. részlet: 2007.12.04.: 13.393 eFt, II. részlet: 2008.11.10: 1.909 eFt</t>
    </r>
  </si>
  <si>
    <t xml:space="preserve">III. részlet: </t>
  </si>
  <si>
    <t>Ténylegesen felvett összesen:</t>
  </si>
  <si>
    <r>
      <t xml:space="preserve"> </t>
    </r>
    <r>
      <rPr>
        <b/>
        <sz val="10"/>
        <rFont val="Times New Roman CE"/>
        <family val="1"/>
      </rPr>
      <t>/5 T</t>
    </r>
    <r>
      <rPr>
        <sz val="10"/>
        <rFont val="Times New Roman CE"/>
        <family val="1"/>
      </rPr>
      <t>énylegesen felvett: 10.869 eFt, 139 eFt maradvány lemondásra került</t>
    </r>
  </si>
  <si>
    <r>
      <t xml:space="preserve"> /10 </t>
    </r>
    <r>
      <rPr>
        <sz val="10"/>
        <rFont val="Times New Roman CE"/>
        <family val="0"/>
      </rPr>
      <t xml:space="preserve">Terv. felv.: 2008.11.28.: 1.240 mFt, 2009.06.30., 2009.09.30., 2009.12.29., 2010.06.30., 2010.09.30., 2010.12.29.: 400-400 mFt </t>
    </r>
  </si>
  <si>
    <r>
      <t xml:space="preserve"> /11 </t>
    </r>
    <r>
      <rPr>
        <sz val="10"/>
        <rFont val="Times New Roman CE"/>
        <family val="0"/>
      </rPr>
      <t xml:space="preserve">Terv. felv.: 2008.11.28.: 260 mFt, 2009.09.30.: 250 mFt, 2010.09.30.: 250 mFt </t>
    </r>
  </si>
  <si>
    <r>
      <t xml:space="preserve"> /12 </t>
    </r>
    <r>
      <rPr>
        <sz val="10"/>
        <rFont val="Times New Roman CE"/>
        <family val="0"/>
      </rPr>
      <t>Terv. felv.: 2009.09.30., 2009.12.29., 2010.03.31., 2010.06.30., 2010.09.30., 2010.12.29.: egyenlő részletekben</t>
    </r>
  </si>
  <si>
    <r>
      <t xml:space="preserve">         </t>
    </r>
    <r>
      <rPr>
        <sz val="10"/>
        <rFont val="Times New Roman CE"/>
        <family val="0"/>
      </rPr>
      <t xml:space="preserve">2010.06.30.: 130 mFt </t>
    </r>
  </si>
  <si>
    <r>
      <t xml:space="preserve"> /13 </t>
    </r>
    <r>
      <rPr>
        <sz val="10"/>
        <rFont val="Times New Roman CE"/>
        <family val="0"/>
      </rPr>
      <t>Terv. felv.: 2009.03.31.:240 mFt, 2009.06.30.: 240 mFt, 2009.09.30.: 240 mFt, 2009.12.29.: 250 mFt, 2010.03.31.: 250 mFt,</t>
    </r>
  </si>
  <si>
    <t>A 2009.04.15-től esedékes törlesztő részleteket 170,0 Ft/CHF árfolyammal számoltuk.</t>
  </si>
  <si>
    <t>Általános beruházási célok</t>
  </si>
  <si>
    <t>Közoktatási célú beruházások</t>
  </si>
  <si>
    <t>Pályázatokhoz önrész biztosítása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</si>
</sst>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\ %"/>
    <numFmt numFmtId="166" formatCode="0.00\ %"/>
    <numFmt numFmtId="167" formatCode="yyyy\-mm\-dd"/>
    <numFmt numFmtId="168" formatCode="0.000%"/>
    <numFmt numFmtId="169" formatCode="0.0000%"/>
    <numFmt numFmtId="170" formatCode="0.000\ %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\(#,##0\)"/>
    <numFmt numFmtId="179" formatCode="0.0000\ %"/>
    <numFmt numFmtId="180" formatCode="mmm/yyyy"/>
    <numFmt numFmtId="181" formatCode="#,##0\ &quot;Ft&quot;"/>
    <numFmt numFmtId="182" formatCode="#,##0\ _F\t"/>
    <numFmt numFmtId="183" formatCode="#,##0\ \ &quot;Ft&quot;"/>
    <numFmt numFmtId="184" formatCode="#,##0_ ;[Red]\-#,##0\ "/>
    <numFmt numFmtId="185" formatCode="[$-40E]yyyy\.\ mmmm\ d\."/>
    <numFmt numFmtId="186" formatCode="0.00000\ %"/>
  </numFmts>
  <fonts count="25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2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Dashed"/>
    </border>
    <border>
      <left style="hair"/>
      <right style="hair"/>
      <top>
        <color indexed="63"/>
      </top>
      <bottom style="mediumDashed"/>
    </border>
    <border>
      <left style="hair"/>
      <right style="hair"/>
      <top style="mediumDashed"/>
      <bottom style="mediumDashed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hair"/>
      <top style="hair"/>
      <bottom style="mediumDashed"/>
    </border>
    <border>
      <left>
        <color indexed="63"/>
      </left>
      <right style="thin"/>
      <top style="hair"/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hair"/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hair"/>
    </border>
    <border>
      <left style="hair"/>
      <right style="hair"/>
      <top style="mediumDashed"/>
      <bottom style="hair"/>
    </border>
    <border>
      <left style="hair"/>
      <right style="thin"/>
      <top style="mediumDashed"/>
      <bottom style="hair"/>
    </border>
    <border>
      <left style="hair"/>
      <right style="thin"/>
      <top style="hair"/>
      <bottom style="mediumDashed"/>
    </border>
    <border>
      <left style="hair"/>
      <right style="thin"/>
      <top style="mediumDashed"/>
      <bottom style="mediumDashed"/>
    </border>
    <border>
      <left style="hair"/>
      <right style="hair"/>
      <top style="mediumDashed"/>
      <bottom>
        <color indexed="63"/>
      </bottom>
    </border>
    <border>
      <left style="thin"/>
      <right style="hair"/>
      <top>
        <color indexed="63"/>
      </top>
      <bottom style="mediumDashed"/>
    </border>
    <border>
      <left style="thin"/>
      <right style="hair"/>
      <top style="mediumDashed"/>
      <bottom>
        <color indexed="63"/>
      </bottom>
    </border>
    <border>
      <left>
        <color indexed="63"/>
      </left>
      <right style="hair"/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hair"/>
      <top style="hair"/>
      <bottom style="mediumDashed"/>
    </border>
    <border>
      <left style="thin"/>
      <right style="hair"/>
      <top style="mediumDashed"/>
      <bottom style="hair"/>
    </border>
    <border>
      <left style="hair"/>
      <right style="thin"/>
      <top style="mediumDashed"/>
      <bottom>
        <color indexed="63"/>
      </bottom>
    </border>
    <border>
      <left style="thin"/>
      <right style="hair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Dashed"/>
      <bottom style="hair"/>
    </border>
    <border>
      <left style="hair"/>
      <right>
        <color indexed="63"/>
      </right>
      <top style="hair"/>
      <bottom style="mediumDashed"/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mediumDashed"/>
      <bottom style="mediumDashed"/>
    </border>
    <border>
      <left style="hair"/>
      <right>
        <color indexed="63"/>
      </right>
      <top style="mediumDashed"/>
      <bottom style="hair"/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4" borderId="7" applyNumberFormat="0" applyFont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6" borderId="0" applyNumberFormat="0" applyBorder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166" fontId="0" fillId="0" borderId="36" xfId="6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4" fontId="1" fillId="0" borderId="37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14" fontId="0" fillId="0" borderId="3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170" fontId="0" fillId="0" borderId="41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14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/>
    </xf>
    <xf numFmtId="3" fontId="0" fillId="0" borderId="43" xfId="0" applyNumberFormat="1" applyFill="1" applyBorder="1" applyAlignment="1">
      <alignment/>
    </xf>
    <xf numFmtId="166" fontId="0" fillId="0" borderId="43" xfId="6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14" fontId="0" fillId="0" borderId="45" xfId="0" applyNumberFormat="1" applyFill="1" applyBorder="1" applyAlignment="1">
      <alignment/>
    </xf>
    <xf numFmtId="0" fontId="0" fillId="0" borderId="29" xfId="0" applyFill="1" applyBorder="1" applyAlignment="1">
      <alignment/>
    </xf>
    <xf numFmtId="166" fontId="0" fillId="0" borderId="29" xfId="6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10" fontId="0" fillId="0" borderId="29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14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3" fontId="0" fillId="0" borderId="48" xfId="0" applyNumberFormat="1" applyFill="1" applyBorder="1" applyAlignment="1">
      <alignment/>
    </xf>
    <xf numFmtId="166" fontId="0" fillId="0" borderId="48" xfId="6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14" fontId="0" fillId="0" borderId="50" xfId="0" applyNumberFormat="1" applyFill="1" applyBorder="1" applyAlignment="1">
      <alignment/>
    </xf>
    <xf numFmtId="0" fontId="0" fillId="0" borderId="30" xfId="0" applyFill="1" applyBorder="1" applyAlignment="1">
      <alignment/>
    </xf>
    <xf numFmtId="10" fontId="0" fillId="0" borderId="3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0" fontId="0" fillId="0" borderId="52" xfId="0" applyFill="1" applyBorder="1" applyAlignment="1">
      <alignment/>
    </xf>
    <xf numFmtId="3" fontId="0" fillId="0" borderId="22" xfId="0" applyNumberFormat="1" applyFill="1" applyBorder="1" applyAlignment="1">
      <alignment/>
    </xf>
    <xf numFmtId="10" fontId="0" fillId="0" borderId="43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0" fontId="0" fillId="0" borderId="53" xfId="0" applyFill="1" applyBorder="1" applyAlignment="1">
      <alignment/>
    </xf>
    <xf numFmtId="14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10" fontId="1" fillId="0" borderId="57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3" fontId="1" fillId="0" borderId="58" xfId="0" applyNumberFormat="1" applyFont="1" applyFill="1" applyBorder="1" applyAlignment="1">
      <alignment/>
    </xf>
    <xf numFmtId="10" fontId="1" fillId="0" borderId="58" xfId="0" applyNumberFormat="1" applyFont="1" applyFill="1" applyBorder="1" applyAlignment="1">
      <alignment/>
    </xf>
    <xf numFmtId="0" fontId="1" fillId="0" borderId="58" xfId="0" applyFont="1" applyFill="1" applyBorder="1" applyAlignment="1">
      <alignment/>
    </xf>
    <xf numFmtId="6" fontId="1" fillId="0" borderId="5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58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14" fontId="0" fillId="0" borderId="1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62" xfId="0" applyNumberFormat="1" applyFont="1" applyFill="1" applyBorder="1" applyAlignment="1">
      <alignment/>
    </xf>
    <xf numFmtId="166" fontId="0" fillId="0" borderId="30" xfId="6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3" fontId="1" fillId="0" borderId="65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Continuous"/>
    </xf>
    <xf numFmtId="0" fontId="0" fillId="0" borderId="66" xfId="0" applyFill="1" applyBorder="1" applyAlignment="1">
      <alignment horizontal="centerContinuous"/>
    </xf>
    <xf numFmtId="3" fontId="0" fillId="0" borderId="66" xfId="0" applyNumberFormat="1" applyFill="1" applyBorder="1" applyAlignment="1">
      <alignment horizontal="centerContinuous"/>
    </xf>
    <xf numFmtId="3" fontId="1" fillId="0" borderId="66" xfId="0" applyNumberFormat="1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68" xfId="0" applyNumberFormat="1" applyFill="1" applyBorder="1" applyAlignment="1">
      <alignment horizontal="center"/>
    </xf>
    <xf numFmtId="10" fontId="0" fillId="0" borderId="53" xfId="0" applyNumberFormat="1" applyFill="1" applyBorder="1" applyAlignment="1">
      <alignment horizontal="center"/>
    </xf>
    <xf numFmtId="164" fontId="0" fillId="0" borderId="41" xfId="60" applyNumberFormat="1" applyFont="1" applyFill="1" applyBorder="1" applyAlignment="1">
      <alignment horizontal="center"/>
    </xf>
    <xf numFmtId="10" fontId="0" fillId="0" borderId="69" xfId="0" applyNumberFormat="1" applyFill="1" applyBorder="1" applyAlignment="1">
      <alignment horizontal="center"/>
    </xf>
    <xf numFmtId="10" fontId="0" fillId="0" borderId="36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0" borderId="68" xfId="0" applyFill="1" applyBorder="1" applyAlignment="1">
      <alignment/>
    </xf>
    <xf numFmtId="10" fontId="0" fillId="0" borderId="59" xfId="0" applyNumberFormat="1" applyFill="1" applyBorder="1" applyAlignment="1">
      <alignment/>
    </xf>
    <xf numFmtId="3" fontId="0" fillId="0" borderId="69" xfId="0" applyNumberFormat="1" applyFill="1" applyBorder="1" applyAlignment="1">
      <alignment/>
    </xf>
    <xf numFmtId="10" fontId="0" fillId="0" borderId="64" xfId="0" applyNumberFormat="1" applyFill="1" applyBorder="1" applyAlignment="1">
      <alignment/>
    </xf>
    <xf numFmtId="10" fontId="0" fillId="0" borderId="61" xfId="0" applyNumberFormat="1" applyFill="1" applyBorder="1" applyAlignment="1">
      <alignment/>
    </xf>
    <xf numFmtId="10" fontId="1" fillId="0" borderId="6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14" fontId="0" fillId="0" borderId="38" xfId="0" applyNumberFormat="1" applyFill="1" applyBorder="1" applyAlignment="1">
      <alignment/>
    </xf>
    <xf numFmtId="1" fontId="0" fillId="0" borderId="48" xfId="0" applyNumberFormat="1" applyFill="1" applyBorder="1" applyAlignment="1">
      <alignment/>
    </xf>
    <xf numFmtId="10" fontId="0" fillId="0" borderId="48" xfId="0" applyNumberFormat="1" applyFill="1" applyBorder="1" applyAlignment="1">
      <alignment/>
    </xf>
    <xf numFmtId="1" fontId="0" fillId="0" borderId="68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14" fontId="0" fillId="0" borderId="70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1" fillId="0" borderId="72" xfId="0" applyNumberFormat="1" applyFont="1" applyFill="1" applyBorder="1" applyAlignment="1">
      <alignment/>
    </xf>
    <xf numFmtId="14" fontId="0" fillId="0" borderId="73" xfId="0" applyNumberFormat="1" applyFill="1" applyBorder="1" applyAlignment="1">
      <alignment/>
    </xf>
    <xf numFmtId="1" fontId="0" fillId="0" borderId="33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1" fillId="0" borderId="74" xfId="0" applyNumberFormat="1" applyFont="1" applyFill="1" applyBorder="1" applyAlignment="1">
      <alignment/>
    </xf>
    <xf numFmtId="3" fontId="1" fillId="0" borderId="75" xfId="0" applyNumberFormat="1" applyFont="1" applyFill="1" applyBorder="1" applyAlignment="1">
      <alignment/>
    </xf>
    <xf numFmtId="14" fontId="0" fillId="0" borderId="76" xfId="0" applyNumberFormat="1" applyFill="1" applyBorder="1" applyAlignment="1">
      <alignment/>
    </xf>
    <xf numFmtId="3" fontId="0" fillId="0" borderId="77" xfId="0" applyNumberFormat="1" applyFill="1" applyBorder="1" applyAlignment="1">
      <alignment/>
    </xf>
    <xf numFmtId="3" fontId="1" fillId="0" borderId="77" xfId="0" applyNumberFormat="1" applyFont="1" applyFill="1" applyBorder="1" applyAlignment="1">
      <alignment/>
    </xf>
    <xf numFmtId="3" fontId="1" fillId="0" borderId="78" xfId="0" applyNumberFormat="1" applyFont="1" applyFill="1" applyBorder="1" applyAlignment="1">
      <alignment/>
    </xf>
    <xf numFmtId="14" fontId="0" fillId="0" borderId="79" xfId="0" applyNumberFormat="1" applyFill="1" applyBorder="1" applyAlignment="1">
      <alignment/>
    </xf>
    <xf numFmtId="1" fontId="0" fillId="0" borderId="80" xfId="0" applyNumberFormat="1" applyFill="1" applyBorder="1" applyAlignment="1">
      <alignment/>
    </xf>
    <xf numFmtId="3" fontId="0" fillId="0" borderId="80" xfId="0" applyNumberFormat="1" applyFill="1" applyBorder="1" applyAlignment="1">
      <alignment/>
    </xf>
    <xf numFmtId="3" fontId="1" fillId="0" borderId="80" xfId="0" applyNumberFormat="1" applyFont="1" applyFill="1" applyBorder="1" applyAlignment="1">
      <alignment/>
    </xf>
    <xf numFmtId="3" fontId="1" fillId="0" borderId="81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8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83" xfId="0" applyNumberFormat="1" applyFont="1" applyFill="1" applyBorder="1" applyAlignment="1">
      <alignment/>
    </xf>
    <xf numFmtId="1" fontId="0" fillId="0" borderId="84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14" fontId="0" fillId="0" borderId="85" xfId="0" applyNumberFormat="1" applyFill="1" applyBorder="1" applyAlignment="1">
      <alignment/>
    </xf>
    <xf numFmtId="1" fontId="0" fillId="0" borderId="53" xfId="0" applyNumberFormat="1" applyFill="1" applyBorder="1" applyAlignment="1">
      <alignment/>
    </xf>
    <xf numFmtId="14" fontId="0" fillId="0" borderId="86" xfId="0" applyNumberFormat="1" applyFill="1" applyBorder="1" applyAlignment="1">
      <alignment/>
    </xf>
    <xf numFmtId="3" fontId="0" fillId="0" borderId="84" xfId="0" applyNumberFormat="1" applyFill="1" applyBorder="1" applyAlignment="1">
      <alignment/>
    </xf>
    <xf numFmtId="3" fontId="0" fillId="0" borderId="87" xfId="0" applyNumberFormat="1" applyFill="1" applyBorder="1" applyAlignment="1">
      <alignment/>
    </xf>
    <xf numFmtId="3" fontId="1" fillId="0" borderId="87" xfId="0" applyNumberFormat="1" applyFont="1" applyFill="1" applyBorder="1" applyAlignment="1">
      <alignment/>
    </xf>
    <xf numFmtId="3" fontId="1" fillId="0" borderId="88" xfId="0" applyNumberFormat="1" applyFont="1" applyFill="1" applyBorder="1" applyAlignment="1">
      <alignment/>
    </xf>
    <xf numFmtId="14" fontId="0" fillId="0" borderId="16" xfId="0" applyNumberFormat="1" applyFill="1" applyBorder="1" applyAlignment="1">
      <alignment/>
    </xf>
    <xf numFmtId="1" fontId="0" fillId="0" borderId="52" xfId="0" applyNumberForma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10" fontId="0" fillId="0" borderId="41" xfId="0" applyNumberFormat="1" applyFill="1" applyBorder="1" applyAlignment="1">
      <alignment/>
    </xf>
    <xf numFmtId="0" fontId="0" fillId="0" borderId="46" xfId="0" applyFill="1" applyBorder="1" applyAlignment="1">
      <alignment/>
    </xf>
    <xf numFmtId="10" fontId="0" fillId="0" borderId="55" xfId="0" applyNumberForma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0" fillId="0" borderId="5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4" xfId="0" applyFill="1" applyBorder="1" applyAlignment="1">
      <alignment/>
    </xf>
    <xf numFmtId="166" fontId="0" fillId="0" borderId="64" xfId="60" applyNumberFormat="1" applyFont="1" applyFill="1" applyBorder="1" applyAlignment="1">
      <alignment/>
    </xf>
    <xf numFmtId="0" fontId="0" fillId="0" borderId="61" xfId="0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14" fontId="0" fillId="0" borderId="14" xfId="0" applyNumberFormat="1" applyFill="1" applyBorder="1" applyAlignment="1">
      <alignment/>
    </xf>
    <xf numFmtId="166" fontId="0" fillId="0" borderId="52" xfId="6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2" xfId="0" applyFill="1" applyBorder="1" applyAlignment="1">
      <alignment/>
    </xf>
    <xf numFmtId="10" fontId="0" fillId="0" borderId="57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6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6" fontId="0" fillId="0" borderId="61" xfId="60" applyNumberFormat="1" applyFont="1" applyFill="1" applyBorder="1" applyAlignment="1">
      <alignment/>
    </xf>
    <xf numFmtId="166" fontId="0" fillId="0" borderId="59" xfId="60" applyNumberFormat="1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39" xfId="0" applyFill="1" applyBorder="1" applyAlignment="1">
      <alignment/>
    </xf>
    <xf numFmtId="14" fontId="0" fillId="0" borderId="2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0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4" fontId="0" fillId="0" borderId="89" xfId="0" applyNumberFormat="1" applyFill="1" applyBorder="1" applyAlignment="1">
      <alignment/>
    </xf>
    <xf numFmtId="0" fontId="0" fillId="0" borderId="31" xfId="0" applyFill="1" applyBorder="1" applyAlignment="1">
      <alignment/>
    </xf>
    <xf numFmtId="166" fontId="0" fillId="0" borderId="31" xfId="60" applyNumberFormat="1" applyFont="1" applyFill="1" applyBorder="1" applyAlignment="1">
      <alignment/>
    </xf>
    <xf numFmtId="0" fontId="0" fillId="0" borderId="82" xfId="0" applyFill="1" applyBorder="1" applyAlignment="1">
      <alignment/>
    </xf>
    <xf numFmtId="166" fontId="0" fillId="0" borderId="71" xfId="60" applyNumberFormat="1" applyFont="1" applyFill="1" applyBorder="1" applyAlignment="1">
      <alignment/>
    </xf>
    <xf numFmtId="14" fontId="0" fillId="0" borderId="90" xfId="0" applyNumberFormat="1" applyFill="1" applyBorder="1" applyAlignment="1">
      <alignment/>
    </xf>
    <xf numFmtId="0" fontId="0" fillId="0" borderId="80" xfId="0" applyFill="1" applyBorder="1" applyAlignment="1">
      <alignment/>
    </xf>
    <xf numFmtId="166" fontId="0" fillId="0" borderId="80" xfId="60" applyNumberFormat="1" applyFont="1" applyFill="1" applyBorder="1" applyAlignment="1">
      <alignment/>
    </xf>
    <xf numFmtId="10" fontId="0" fillId="0" borderId="41" xfId="6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0" fontId="0" fillId="0" borderId="84" xfId="0" applyFill="1" applyBorder="1" applyAlignment="1">
      <alignment/>
    </xf>
    <xf numFmtId="166" fontId="0" fillId="0" borderId="84" xfId="60" applyNumberFormat="1" applyFont="1" applyFill="1" applyBorder="1" applyAlignment="1">
      <alignment/>
    </xf>
    <xf numFmtId="3" fontId="1" fillId="0" borderId="84" xfId="0" applyNumberFormat="1" applyFont="1" applyFill="1" applyBorder="1" applyAlignment="1">
      <alignment/>
    </xf>
    <xf numFmtId="3" fontId="1" fillId="0" borderId="91" xfId="0" applyNumberFormat="1" applyFont="1" applyFill="1" applyBorder="1" applyAlignment="1">
      <alignment/>
    </xf>
    <xf numFmtId="14" fontId="0" fillId="0" borderId="92" xfId="0" applyNumberFormat="1" applyFill="1" applyBorder="1" applyAlignment="1">
      <alignment/>
    </xf>
    <xf numFmtId="0" fontId="0" fillId="0" borderId="33" xfId="0" applyFill="1" applyBorder="1" applyAlignment="1">
      <alignment/>
    </xf>
    <xf numFmtId="166" fontId="0" fillId="0" borderId="33" xfId="6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1" fillId="0" borderId="58" xfId="0" applyNumberFormat="1" applyFont="1" applyFill="1" applyBorder="1" applyAlignment="1">
      <alignment/>
    </xf>
    <xf numFmtId="0" fontId="0" fillId="0" borderId="93" xfId="0" applyFill="1" applyBorder="1" applyAlignment="1">
      <alignment/>
    </xf>
    <xf numFmtId="10" fontId="0" fillId="0" borderId="93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3" fontId="0" fillId="0" borderId="93" xfId="0" applyNumberFormat="1" applyFill="1" applyBorder="1" applyAlignment="1">
      <alignment/>
    </xf>
    <xf numFmtId="18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93" xfId="0" applyNumberFormat="1" applyFill="1" applyBorder="1" applyAlignment="1">
      <alignment/>
    </xf>
    <xf numFmtId="0" fontId="0" fillId="0" borderId="0" xfId="0" applyFill="1" applyAlignment="1">
      <alignment horizontal="right"/>
    </xf>
    <xf numFmtId="14" fontId="1" fillId="0" borderId="0" xfId="0" applyNumberFormat="1" applyFont="1" applyFill="1" applyBorder="1" applyAlignment="1">
      <alignment/>
    </xf>
    <xf numFmtId="14" fontId="1" fillId="0" borderId="45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3" fontId="0" fillId="0" borderId="53" xfId="0" applyNumberFormat="1" applyFill="1" applyBorder="1" applyAlignment="1">
      <alignment horizontal="center"/>
    </xf>
    <xf numFmtId="3" fontId="0" fillId="0" borderId="69" xfId="0" applyNumberFormat="1" applyFill="1" applyBorder="1" applyAlignment="1">
      <alignment horizontal="center"/>
    </xf>
    <xf numFmtId="14" fontId="1" fillId="0" borderId="14" xfId="0" applyNumberFormat="1" applyFont="1" applyFill="1" applyBorder="1" applyAlignment="1">
      <alignment/>
    </xf>
    <xf numFmtId="166" fontId="0" fillId="0" borderId="30" xfId="60" applyNumberForma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170" fontId="0" fillId="0" borderId="29" xfId="60" applyNumberFormat="1" applyFill="1" applyBorder="1" applyAlignment="1">
      <alignment/>
    </xf>
    <xf numFmtId="170" fontId="0" fillId="0" borderId="48" xfId="60" applyNumberFormat="1" applyFill="1" applyBorder="1" applyAlignment="1">
      <alignment/>
    </xf>
    <xf numFmtId="170" fontId="0" fillId="0" borderId="30" xfId="60" applyNumberFormat="1" applyFill="1" applyBorder="1" applyAlignment="1">
      <alignment/>
    </xf>
    <xf numFmtId="170" fontId="0" fillId="0" borderId="52" xfId="6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52" xfId="0" applyNumberFormat="1" applyFill="1" applyBorder="1" applyAlignment="1">
      <alignment/>
    </xf>
    <xf numFmtId="0" fontId="0" fillId="0" borderId="68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1" fillId="0" borderId="58" xfId="0" applyNumberFormat="1" applyFont="1" applyFill="1" applyBorder="1" applyAlignment="1">
      <alignment/>
    </xf>
    <xf numFmtId="0" fontId="0" fillId="0" borderId="25" xfId="0" applyBorder="1" applyAlignment="1">
      <alignment horizontal="center"/>
    </xf>
    <xf numFmtId="3" fontId="0" fillId="0" borderId="25" xfId="0" applyNumberFormat="1" applyFill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70" fontId="0" fillId="0" borderId="30" xfId="60" applyNumberFormat="1" applyFill="1" applyBorder="1" applyAlignment="1">
      <alignment horizontal="center"/>
    </xf>
    <xf numFmtId="170" fontId="0" fillId="0" borderId="29" xfId="60" applyNumberFormat="1" applyFill="1" applyBorder="1" applyAlignment="1">
      <alignment horizontal="center"/>
    </xf>
    <xf numFmtId="170" fontId="0" fillId="0" borderId="48" xfId="60" applyNumberFormat="1" applyFill="1" applyBorder="1" applyAlignment="1">
      <alignment horizontal="center"/>
    </xf>
    <xf numFmtId="10" fontId="1" fillId="0" borderId="57" xfId="0" applyNumberFormat="1" applyFon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59" xfId="0" applyFill="1" applyBorder="1" applyAlignment="1">
      <alignment horizontal="center"/>
    </xf>
    <xf numFmtId="3" fontId="0" fillId="0" borderId="59" xfId="0" applyNumberFormat="1" applyFill="1" applyBorder="1" applyAlignment="1">
      <alignment horizontal="center"/>
    </xf>
    <xf numFmtId="3" fontId="1" fillId="0" borderId="59" xfId="0" applyNumberFormat="1" applyFont="1" applyFill="1" applyBorder="1" applyAlignment="1">
      <alignment horizontal="center"/>
    </xf>
    <xf numFmtId="3" fontId="0" fillId="0" borderId="59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1" fillId="0" borderId="6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0" fontId="1" fillId="0" borderId="58" xfId="0" applyFont="1" applyFill="1" applyBorder="1" applyAlignment="1">
      <alignment horizontal="center"/>
    </xf>
    <xf numFmtId="3" fontId="0" fillId="0" borderId="94" xfId="0" applyNumberFormat="1" applyBorder="1" applyAlignment="1">
      <alignment/>
    </xf>
    <xf numFmtId="3" fontId="0" fillId="0" borderId="95" xfId="0" applyNumberFormat="1" applyBorder="1" applyAlignment="1">
      <alignment/>
    </xf>
    <xf numFmtId="3" fontId="1" fillId="0" borderId="63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14" fontId="1" fillId="0" borderId="5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/>
    </xf>
    <xf numFmtId="14" fontId="0" fillId="0" borderId="45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14" fontId="0" fillId="0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53" xfId="0" applyNumberFormat="1" applyFill="1" applyBorder="1" applyAlignment="1">
      <alignment/>
    </xf>
    <xf numFmtId="0" fontId="0" fillId="0" borderId="43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6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1" fillId="0" borderId="98" xfId="0" applyFont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0" borderId="29" xfId="0" applyNumberFormat="1" applyFont="1" applyFill="1" applyBorder="1" applyAlignment="1">
      <alignment/>
    </xf>
    <xf numFmtId="0" fontId="0" fillId="0" borderId="64" xfId="0" applyFill="1" applyBorder="1" applyAlignment="1">
      <alignment horizontal="center"/>
    </xf>
    <xf numFmtId="3" fontId="0" fillId="0" borderId="64" xfId="0" applyNumberFormat="1" applyFill="1" applyBorder="1" applyAlignment="1">
      <alignment/>
    </xf>
    <xf numFmtId="3" fontId="0" fillId="0" borderId="64" xfId="0" applyNumberFormat="1" applyFill="1" applyBorder="1" applyAlignment="1">
      <alignment horizontal="center"/>
    </xf>
    <xf numFmtId="3" fontId="1" fillId="0" borderId="64" xfId="0" applyNumberFormat="1" applyFont="1" applyFill="1" applyBorder="1" applyAlignment="1">
      <alignment horizontal="center"/>
    </xf>
    <xf numFmtId="3" fontId="0" fillId="0" borderId="64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 horizontal="center"/>
    </xf>
    <xf numFmtId="3" fontId="0" fillId="0" borderId="64" xfId="0" applyNumberFormat="1" applyFont="1" applyFill="1" applyBorder="1" applyAlignment="1">
      <alignment horizontal="center"/>
    </xf>
    <xf numFmtId="170" fontId="0" fillId="0" borderId="43" xfId="60" applyNumberFormat="1" applyFill="1" applyBorder="1" applyAlignment="1">
      <alignment horizontal="center"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99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102" xfId="0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3" fontId="0" fillId="0" borderId="101" xfId="0" applyNumberFormat="1" applyBorder="1" applyAlignment="1">
      <alignment/>
    </xf>
    <xf numFmtId="0" fontId="0" fillId="0" borderId="102" xfId="0" applyBorder="1" applyAlignment="1">
      <alignment/>
    </xf>
    <xf numFmtId="14" fontId="0" fillId="0" borderId="103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170" fontId="1" fillId="0" borderId="29" xfId="6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/>
    </xf>
    <xf numFmtId="169" fontId="1" fillId="0" borderId="0" xfId="60" applyNumberFormat="1" applyFont="1" applyFill="1" applyAlignment="1">
      <alignment/>
    </xf>
    <xf numFmtId="179" fontId="0" fillId="0" borderId="29" xfId="60" applyNumberFormat="1" applyFill="1" applyBorder="1" applyAlignment="1">
      <alignment/>
    </xf>
    <xf numFmtId="179" fontId="0" fillId="0" borderId="48" xfId="60" applyNumberFormat="1" applyFill="1" applyBorder="1" applyAlignment="1">
      <alignment/>
    </xf>
    <xf numFmtId="179" fontId="0" fillId="0" borderId="30" xfId="60" applyNumberFormat="1" applyFill="1" applyBorder="1" applyAlignment="1">
      <alignment/>
    </xf>
    <xf numFmtId="3" fontId="1" fillId="0" borderId="65" xfId="0" applyNumberFormat="1" applyFont="1" applyFill="1" applyBorder="1" applyAlignment="1">
      <alignment horizontal="center"/>
    </xf>
    <xf numFmtId="14" fontId="0" fillId="0" borderId="47" xfId="0" applyNumberFormat="1" applyFill="1" applyBorder="1" applyAlignment="1">
      <alignment/>
    </xf>
    <xf numFmtId="3" fontId="0" fillId="0" borderId="61" xfId="0" applyNumberFormat="1" applyFill="1" applyBorder="1" applyAlignment="1">
      <alignment horizontal="center"/>
    </xf>
    <xf numFmtId="3" fontId="0" fillId="0" borderId="61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 horizontal="center"/>
    </xf>
    <xf numFmtId="179" fontId="0" fillId="0" borderId="52" xfId="60" applyNumberFormat="1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/>
    </xf>
    <xf numFmtId="14" fontId="1" fillId="0" borderId="4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104" xfId="0" applyFont="1" applyBorder="1" applyAlignment="1">
      <alignment/>
    </xf>
    <xf numFmtId="170" fontId="0" fillId="0" borderId="52" xfId="60" applyNumberFormat="1" applyFill="1" applyBorder="1" applyAlignment="1">
      <alignment horizontal="center"/>
    </xf>
    <xf numFmtId="14" fontId="1" fillId="0" borderId="105" xfId="0" applyNumberFormat="1" applyFont="1" applyFill="1" applyBorder="1" applyAlignment="1">
      <alignment/>
    </xf>
    <xf numFmtId="3" fontId="1" fillId="0" borderId="106" xfId="0" applyNumberFormat="1" applyFont="1" applyFill="1" applyBorder="1" applyAlignment="1">
      <alignment/>
    </xf>
    <xf numFmtId="3" fontId="0" fillId="0" borderId="107" xfId="0" applyNumberFormat="1" applyFill="1" applyBorder="1" applyAlignment="1">
      <alignment horizontal="center"/>
    </xf>
    <xf numFmtId="179" fontId="0" fillId="0" borderId="106" xfId="60" applyNumberFormat="1" applyFill="1" applyBorder="1" applyAlignment="1">
      <alignment/>
    </xf>
    <xf numFmtId="3" fontId="0" fillId="0" borderId="106" xfId="0" applyNumberFormat="1" applyFill="1" applyBorder="1" applyAlignment="1">
      <alignment/>
    </xf>
    <xf numFmtId="3" fontId="0" fillId="0" borderId="107" xfId="0" applyNumberFormat="1" applyFont="1" applyFill="1" applyBorder="1" applyAlignment="1">
      <alignment/>
    </xf>
    <xf numFmtId="3" fontId="0" fillId="0" borderId="107" xfId="0" applyNumberFormat="1" applyFont="1" applyFill="1" applyBorder="1" applyAlignment="1">
      <alignment/>
    </xf>
    <xf numFmtId="3" fontId="1" fillId="0" borderId="108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0" fillId="0" borderId="39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6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30" xfId="0" applyNumberFormat="1" applyFill="1" applyBorder="1" applyAlignment="1">
      <alignment/>
    </xf>
    <xf numFmtId="3" fontId="0" fillId="0" borderId="30" xfId="0" applyNumberFormat="1" applyFill="1" applyBorder="1" applyAlignment="1">
      <alignment horizontal="center"/>
    </xf>
    <xf numFmtId="3" fontId="0" fillId="0" borderId="30" xfId="0" applyNumberFormat="1" applyFont="1" applyFill="1" applyBorder="1" applyAlignment="1">
      <alignment/>
    </xf>
    <xf numFmtId="3" fontId="0" fillId="0" borderId="48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1" fontId="1" fillId="0" borderId="57" xfId="0" applyNumberFormat="1" applyFont="1" applyFill="1" applyBorder="1" applyAlignment="1">
      <alignment horizontal="centerContinuous"/>
    </xf>
    <xf numFmtId="3" fontId="1" fillId="0" borderId="57" xfId="0" applyNumberFormat="1" applyFont="1" applyFill="1" applyBorder="1" applyAlignment="1">
      <alignment horizontal="centerContinuous"/>
    </xf>
    <xf numFmtId="3" fontId="0" fillId="0" borderId="38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8" fontId="1" fillId="0" borderId="0" xfId="60" applyNumberFormat="1" applyFont="1" applyFill="1" applyAlignment="1">
      <alignment/>
    </xf>
    <xf numFmtId="0" fontId="7" fillId="0" borderId="0" xfId="0" applyFont="1" applyBorder="1" applyAlignment="1">
      <alignment/>
    </xf>
    <xf numFmtId="3" fontId="0" fillId="0" borderId="11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166" fontId="0" fillId="0" borderId="111" xfId="60" applyNumberFormat="1" applyFill="1" applyBorder="1" applyAlignment="1">
      <alignment/>
    </xf>
    <xf numFmtId="170" fontId="0" fillId="0" borderId="112" xfId="60" applyNumberFormat="1" applyFill="1" applyBorder="1" applyAlignment="1">
      <alignment/>
    </xf>
    <xf numFmtId="170" fontId="0" fillId="0" borderId="113" xfId="60" applyNumberFormat="1" applyFill="1" applyBorder="1" applyAlignment="1">
      <alignment/>
    </xf>
    <xf numFmtId="170" fontId="0" fillId="0" borderId="111" xfId="60" applyNumberFormat="1" applyFill="1" applyBorder="1" applyAlignment="1">
      <alignment/>
    </xf>
    <xf numFmtId="170" fontId="0" fillId="0" borderId="96" xfId="60" applyNumberFormat="1" applyFill="1" applyBorder="1" applyAlignment="1">
      <alignment/>
    </xf>
    <xf numFmtId="0" fontId="0" fillId="0" borderId="111" xfId="0" applyFill="1" applyBorder="1" applyAlignment="1">
      <alignment/>
    </xf>
    <xf numFmtId="10" fontId="1" fillId="0" borderId="98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0" fillId="0" borderId="41" xfId="60" applyNumberFormat="1" applyFont="1" applyFill="1" applyBorder="1" applyAlignment="1">
      <alignment horizontal="center"/>
    </xf>
    <xf numFmtId="3" fontId="1" fillId="0" borderId="114" xfId="0" applyNumberFormat="1" applyFont="1" applyFill="1" applyBorder="1" applyAlignment="1">
      <alignment/>
    </xf>
    <xf numFmtId="10" fontId="0" fillId="0" borderId="112" xfId="0" applyNumberFormat="1" applyFill="1" applyBorder="1" applyAlignment="1">
      <alignment/>
    </xf>
    <xf numFmtId="10" fontId="0" fillId="0" borderId="111" xfId="0" applyNumberFormat="1" applyFill="1" applyBorder="1" applyAlignment="1">
      <alignment/>
    </xf>
    <xf numFmtId="10" fontId="0" fillId="0" borderId="115" xfId="0" applyNumberFormat="1" applyFill="1" applyBorder="1" applyAlignment="1">
      <alignment/>
    </xf>
    <xf numFmtId="10" fontId="0" fillId="0" borderId="116" xfId="0" applyNumberFormat="1" applyFill="1" applyBorder="1" applyAlignment="1">
      <alignment/>
    </xf>
    <xf numFmtId="10" fontId="0" fillId="0" borderId="117" xfId="0" applyNumberFormat="1" applyFill="1" applyBorder="1" applyAlignment="1">
      <alignment/>
    </xf>
    <xf numFmtId="10" fontId="0" fillId="0" borderId="118" xfId="0" applyNumberFormat="1" applyFill="1" applyBorder="1" applyAlignment="1">
      <alignment/>
    </xf>
    <xf numFmtId="10" fontId="0" fillId="0" borderId="113" xfId="0" applyNumberFormat="1" applyFill="1" applyBorder="1" applyAlignment="1">
      <alignment/>
    </xf>
    <xf numFmtId="10" fontId="0" fillId="0" borderId="119" xfId="0" applyNumberFormat="1" applyFill="1" applyBorder="1" applyAlignment="1">
      <alignment/>
    </xf>
    <xf numFmtId="10" fontId="0" fillId="0" borderId="96" xfId="0" applyNumberFormat="1" applyFill="1" applyBorder="1" applyAlignment="1">
      <alignment/>
    </xf>
    <xf numFmtId="10" fontId="0" fillId="0" borderId="110" xfId="0" applyNumberFormat="1" applyFill="1" applyBorder="1" applyAlignment="1">
      <alignment/>
    </xf>
    <xf numFmtId="10" fontId="0" fillId="0" borderId="120" xfId="0" applyNumberFormat="1" applyFill="1" applyBorder="1" applyAlignment="1">
      <alignment/>
    </xf>
    <xf numFmtId="10" fontId="0" fillId="0" borderId="121" xfId="0" applyNumberFormat="1" applyFill="1" applyBorder="1" applyAlignment="1">
      <alignment/>
    </xf>
    <xf numFmtId="10" fontId="0" fillId="0" borderId="37" xfId="0" applyNumberFormat="1" applyFill="1" applyBorder="1" applyAlignment="1">
      <alignment/>
    </xf>
    <xf numFmtId="10" fontId="0" fillId="0" borderId="122" xfId="0" applyNumberFormat="1" applyFill="1" applyBorder="1" applyAlignment="1">
      <alignment/>
    </xf>
    <xf numFmtId="10" fontId="0" fillId="0" borderId="123" xfId="0" applyNumberFormat="1" applyFill="1" applyBorder="1" applyAlignment="1">
      <alignment/>
    </xf>
    <xf numFmtId="14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left"/>
    </xf>
    <xf numFmtId="166" fontId="0" fillId="0" borderId="111" xfId="60" applyNumberFormat="1" applyFont="1" applyFill="1" applyBorder="1" applyAlignment="1">
      <alignment/>
    </xf>
    <xf numFmtId="166" fontId="0" fillId="0" borderId="121" xfId="60" applyNumberFormat="1" applyFont="1" applyFill="1" applyBorder="1" applyAlignment="1">
      <alignment/>
    </xf>
    <xf numFmtId="166" fontId="0" fillId="0" borderId="112" xfId="60" applyNumberFormat="1" applyFont="1" applyFill="1" applyBorder="1" applyAlignment="1">
      <alignment/>
    </xf>
    <xf numFmtId="166" fontId="0" fillId="0" borderId="120" xfId="60" applyNumberFormat="1" applyFont="1" applyFill="1" applyBorder="1" applyAlignment="1">
      <alignment/>
    </xf>
    <xf numFmtId="166" fontId="0" fillId="0" borderId="123" xfId="6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left"/>
    </xf>
    <xf numFmtId="169" fontId="1" fillId="0" borderId="0" xfId="60" applyNumberFormat="1" applyFont="1" applyFill="1" applyAlignment="1">
      <alignment horizontal="left"/>
    </xf>
    <xf numFmtId="3" fontId="0" fillId="0" borderId="28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1" fontId="0" fillId="0" borderId="55" xfId="0" applyNumberForma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14" fontId="1" fillId="0" borderId="50" xfId="0" applyNumberFormat="1" applyFont="1" applyFill="1" applyBorder="1" applyAlignment="1">
      <alignment/>
    </xf>
    <xf numFmtId="1" fontId="1" fillId="0" borderId="59" xfId="0" applyNumberFormat="1" applyFont="1" applyFill="1" applyBorder="1" applyAlignment="1">
      <alignment horizontal="center"/>
    </xf>
    <xf numFmtId="3" fontId="1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 horizontal="center"/>
    </xf>
    <xf numFmtId="3" fontId="1" fillId="0" borderId="64" xfId="0" applyNumberFormat="1" applyFont="1" applyFill="1" applyBorder="1" applyAlignment="1">
      <alignment/>
    </xf>
    <xf numFmtId="1" fontId="0" fillId="0" borderId="37" xfId="0" applyNumberFormat="1" applyFill="1" applyBorder="1" applyAlignment="1">
      <alignment/>
    </xf>
    <xf numFmtId="1" fontId="1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0" fontId="1" fillId="0" borderId="66" xfId="0" applyFont="1" applyBorder="1" applyAlignment="1">
      <alignment/>
    </xf>
    <xf numFmtId="0" fontId="1" fillId="0" borderId="57" xfId="0" applyFont="1" applyBorder="1" applyAlignment="1">
      <alignment/>
    </xf>
    <xf numFmtId="3" fontId="1" fillId="0" borderId="57" xfId="0" applyNumberFormat="1" applyFont="1" applyBorder="1" applyAlignment="1">
      <alignment/>
    </xf>
    <xf numFmtId="0" fontId="1" fillId="0" borderId="98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4" fontId="0" fillId="0" borderId="50" xfId="0" applyNumberFormat="1" applyFill="1" applyBorder="1" applyAlignment="1">
      <alignment/>
    </xf>
    <xf numFmtId="14" fontId="0" fillId="0" borderId="42" xfId="0" applyNumberFormat="1" applyFill="1" applyBorder="1" applyAlignment="1">
      <alignment/>
    </xf>
    <xf numFmtId="0" fontId="0" fillId="0" borderId="36" xfId="0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14" fontId="1" fillId="0" borderId="5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186" fontId="0" fillId="0" borderId="30" xfId="60" applyNumberFormat="1" applyFill="1" applyBorder="1" applyAlignment="1">
      <alignment/>
    </xf>
    <xf numFmtId="166" fontId="0" fillId="0" borderId="48" xfId="60" applyNumberFormat="1" applyFill="1" applyBorder="1" applyAlignment="1">
      <alignment/>
    </xf>
    <xf numFmtId="166" fontId="0" fillId="0" borderId="29" xfId="60" applyNumberFormat="1" applyFill="1" applyBorder="1" applyAlignment="1">
      <alignment/>
    </xf>
    <xf numFmtId="166" fontId="0" fillId="0" borderId="55" xfId="6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170" fontId="0" fillId="0" borderId="43" xfId="6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14" fontId="1" fillId="0" borderId="1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107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55" xfId="0" applyNumberFormat="1" applyFill="1" applyBorder="1" applyAlignment="1">
      <alignment/>
    </xf>
    <xf numFmtId="3" fontId="0" fillId="0" borderId="124" xfId="0" applyNumberFormat="1" applyFill="1" applyBorder="1" applyAlignment="1">
      <alignment/>
    </xf>
    <xf numFmtId="4" fontId="0" fillId="0" borderId="48" xfId="0" applyNumberFormat="1" applyFill="1" applyBorder="1" applyAlignment="1">
      <alignment/>
    </xf>
    <xf numFmtId="4" fontId="0" fillId="0" borderId="52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55" xfId="0" applyNumberFormat="1" applyFill="1" applyBorder="1" applyAlignment="1">
      <alignment/>
    </xf>
    <xf numFmtId="172" fontId="0" fillId="0" borderId="48" xfId="0" applyNumberFormat="1" applyFill="1" applyBorder="1" applyAlignment="1">
      <alignment/>
    </xf>
    <xf numFmtId="172" fontId="0" fillId="0" borderId="30" xfId="0" applyNumberFormat="1" applyFill="1" applyBorder="1" applyAlignment="1">
      <alignment horizontal="center"/>
    </xf>
    <xf numFmtId="172" fontId="0" fillId="0" borderId="29" xfId="0" applyNumberFormat="1" applyFill="1" applyBorder="1" applyAlignment="1">
      <alignment/>
    </xf>
    <xf numFmtId="172" fontId="0" fillId="0" borderId="55" xfId="0" applyNumberFormat="1" applyFill="1" applyBorder="1" applyAlignment="1">
      <alignment/>
    </xf>
    <xf numFmtId="186" fontId="0" fillId="0" borderId="48" xfId="60" applyNumberFormat="1" applyFill="1" applyBorder="1" applyAlignment="1">
      <alignment/>
    </xf>
    <xf numFmtId="186" fontId="0" fillId="0" borderId="29" xfId="60" applyNumberFormat="1" applyFill="1" applyBorder="1" applyAlignment="1">
      <alignment/>
    </xf>
    <xf numFmtId="186" fontId="0" fillId="0" borderId="55" xfId="60" applyNumberFormat="1" applyFill="1" applyBorder="1" applyAlignment="1">
      <alignment/>
    </xf>
    <xf numFmtId="14" fontId="1" fillId="0" borderId="45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4" fontId="0" fillId="0" borderId="45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1" fillId="0" borderId="52" xfId="0" applyNumberFormat="1" applyFont="1" applyFill="1" applyBorder="1" applyAlignment="1">
      <alignment/>
    </xf>
    <xf numFmtId="14" fontId="1" fillId="0" borderId="42" xfId="0" applyNumberFormat="1" applyFont="1" applyFill="1" applyBorder="1" applyAlignment="1">
      <alignment/>
    </xf>
    <xf numFmtId="1" fontId="1" fillId="0" borderId="43" xfId="0" applyNumberFormat="1" applyFont="1" applyFill="1" applyBorder="1" applyAlignment="1">
      <alignment/>
    </xf>
    <xf numFmtId="184" fontId="1" fillId="0" borderId="0" xfId="0" applyNumberFormat="1" applyFont="1" applyFill="1" applyAlignment="1">
      <alignment/>
    </xf>
    <xf numFmtId="164" fontId="1" fillId="0" borderId="0" xfId="6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125" xfId="0" applyNumberFormat="1" applyFont="1" applyFill="1" applyBorder="1" applyAlignment="1">
      <alignment horizontal="center"/>
    </xf>
    <xf numFmtId="14" fontId="1" fillId="0" borderId="126" xfId="0" applyNumberFormat="1" applyFont="1" applyFill="1" applyBorder="1" applyAlignment="1">
      <alignment horizontal="center"/>
    </xf>
    <xf numFmtId="14" fontId="1" fillId="0" borderId="66" xfId="0" applyNumberFormat="1" applyFont="1" applyFill="1" applyBorder="1" applyAlignment="1">
      <alignment horizontal="center"/>
    </xf>
    <xf numFmtId="14" fontId="1" fillId="0" borderId="125" xfId="0" applyNumberFormat="1" applyFont="1" applyFill="1" applyBorder="1" applyAlignment="1">
      <alignment horizontal="center"/>
    </xf>
    <xf numFmtId="14" fontId="1" fillId="0" borderId="126" xfId="0" applyNumberFormat="1" applyFont="1" applyFill="1" applyBorder="1" applyAlignment="1">
      <alignment horizontal="center"/>
    </xf>
    <xf numFmtId="14" fontId="1" fillId="0" borderId="66" xfId="0" applyNumberFormat="1" applyFont="1" applyFill="1" applyBorder="1" applyAlignment="1">
      <alignment horizontal="center"/>
    </xf>
    <xf numFmtId="183" fontId="1" fillId="0" borderId="0" xfId="0" applyNumberFormat="1" applyFont="1" applyFill="1" applyAlignment="1">
      <alignment horizontal="right"/>
    </xf>
    <xf numFmtId="1" fontId="1" fillId="0" borderId="125" xfId="0" applyNumberFormat="1" applyFont="1" applyFill="1" applyBorder="1" applyAlignment="1">
      <alignment horizontal="center"/>
    </xf>
    <xf numFmtId="1" fontId="1" fillId="0" borderId="126" xfId="0" applyNumberFormat="1" applyFont="1" applyFill="1" applyBorder="1" applyAlignment="1">
      <alignment horizontal="center"/>
    </xf>
    <xf numFmtId="1" fontId="1" fillId="0" borderId="66" xfId="0" applyNumberFormat="1" applyFont="1" applyFill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3" fontId="1" fillId="0" borderId="127" xfId="0" applyNumberFormat="1" applyFont="1" applyBorder="1" applyAlignment="1">
      <alignment horizontal="center"/>
    </xf>
    <xf numFmtId="3" fontId="1" fillId="0" borderId="60" xfId="0" applyNumberFormat="1" applyFont="1" applyBorder="1" applyAlignment="1">
      <alignment horizontal="center"/>
    </xf>
    <xf numFmtId="3" fontId="1" fillId="0" borderId="128" xfId="0" applyNumberFormat="1" applyFont="1" applyBorder="1" applyAlignment="1">
      <alignment horizontal="center"/>
    </xf>
    <xf numFmtId="0" fontId="1" fillId="0" borderId="12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29"/>
  <sheetViews>
    <sheetView zoomScalePageLayoutView="0" workbookViewId="0" topLeftCell="A1">
      <selection activeCell="A23" sqref="A23:I24"/>
    </sheetView>
  </sheetViews>
  <sheetFormatPr defaultColWidth="9.00390625" defaultRowHeight="12.75"/>
  <sheetData>
    <row r="15" spans="1:9" ht="30">
      <c r="A15" s="559" t="s">
        <v>67</v>
      </c>
      <c r="B15" s="559"/>
      <c r="C15" s="559"/>
      <c r="D15" s="559"/>
      <c r="E15" s="559"/>
      <c r="F15" s="559"/>
      <c r="G15" s="559"/>
      <c r="H15" s="559"/>
      <c r="I15" s="559"/>
    </row>
    <row r="16" spans="1:9" ht="30">
      <c r="A16" s="559" t="s">
        <v>68</v>
      </c>
      <c r="B16" s="559"/>
      <c r="C16" s="559"/>
      <c r="D16" s="559"/>
      <c r="E16" s="559"/>
      <c r="F16" s="559"/>
      <c r="G16" s="559"/>
      <c r="H16" s="559"/>
      <c r="I16" s="559"/>
    </row>
    <row r="19" spans="1:9" ht="18.75">
      <c r="A19" s="557" t="s">
        <v>69</v>
      </c>
      <c r="B19" s="557"/>
      <c r="C19" s="557"/>
      <c r="D19" s="557"/>
      <c r="E19" s="557"/>
      <c r="F19" s="557"/>
      <c r="G19" s="557"/>
      <c r="H19" s="557"/>
      <c r="I19" s="557"/>
    </row>
    <row r="20" spans="1:9" ht="15.75">
      <c r="A20" s="558" t="s">
        <v>320</v>
      </c>
      <c r="B20" s="558"/>
      <c r="C20" s="558"/>
      <c r="D20" s="558"/>
      <c r="E20" s="558"/>
      <c r="F20" s="558"/>
      <c r="G20" s="558"/>
      <c r="H20" s="558"/>
      <c r="I20" s="558"/>
    </row>
    <row r="23" spans="1:9" ht="15.75">
      <c r="A23" s="558"/>
      <c r="B23" s="558"/>
      <c r="C23" s="558"/>
      <c r="D23" s="558"/>
      <c r="E23" s="558"/>
      <c r="F23" s="558"/>
      <c r="G23" s="558"/>
      <c r="H23" s="558"/>
      <c r="I23" s="558"/>
    </row>
    <row r="24" spans="1:9" ht="15.75">
      <c r="A24" s="558"/>
      <c r="B24" s="558"/>
      <c r="C24" s="558"/>
      <c r="D24" s="558"/>
      <c r="E24" s="558"/>
      <c r="F24" s="558"/>
      <c r="G24" s="558"/>
      <c r="H24" s="558"/>
      <c r="I24" s="558"/>
    </row>
    <row r="25" spans="1:9" ht="15.75">
      <c r="A25" s="558"/>
      <c r="B25" s="558"/>
      <c r="C25" s="558"/>
      <c r="D25" s="558"/>
      <c r="E25" s="558"/>
      <c r="F25" s="558"/>
      <c r="G25" s="558"/>
      <c r="H25" s="558"/>
      <c r="I25" s="558"/>
    </row>
    <row r="26" spans="1:9" ht="15.75">
      <c r="A26" s="558"/>
      <c r="B26" s="558"/>
      <c r="C26" s="558"/>
      <c r="D26" s="558"/>
      <c r="E26" s="558"/>
      <c r="F26" s="558"/>
      <c r="G26" s="558"/>
      <c r="H26" s="558"/>
      <c r="I26" s="558"/>
    </row>
    <row r="29" spans="1:9" ht="18.75">
      <c r="A29" s="557"/>
      <c r="B29" s="557"/>
      <c r="C29" s="557"/>
      <c r="D29" s="557"/>
      <c r="E29" s="557"/>
      <c r="F29" s="557"/>
      <c r="G29" s="557"/>
      <c r="H29" s="557"/>
      <c r="I29" s="557"/>
    </row>
  </sheetData>
  <sheetProtection/>
  <mergeCells count="9">
    <mergeCell ref="A23:I23"/>
    <mergeCell ref="A15:I15"/>
    <mergeCell ref="A16:I16"/>
    <mergeCell ref="A19:I19"/>
    <mergeCell ref="A20:I20"/>
    <mergeCell ref="A29:I29"/>
    <mergeCell ref="A26:I26"/>
    <mergeCell ref="A25:I25"/>
    <mergeCell ref="A24:I24"/>
  </mergeCells>
  <printOptions horizontalCentered="1"/>
  <pageMargins left="0.7874015748031497" right="0.7874015748031497" top="0.984251968503937" bottom="0.984251968503937" header="0.5118110236220472" footer="0.5118110236220472"/>
  <pageSetup horizontalDpi="150" verticalDpi="15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9">
      <selection activeCell="D35" sqref="D35"/>
    </sheetView>
  </sheetViews>
  <sheetFormatPr defaultColWidth="9.00390625" defaultRowHeight="12.75"/>
  <cols>
    <col min="1" max="1" width="11.375" style="58" customWidth="1"/>
    <col min="2" max="2" width="6.875" style="121" customWidth="1"/>
    <col min="3" max="3" width="11.375" style="121" customWidth="1"/>
    <col min="4" max="4" width="12.625" style="121" customWidth="1"/>
    <col min="5" max="5" width="8.00390625" style="122" customWidth="1"/>
    <col min="6" max="6" width="12.625" style="58" customWidth="1"/>
    <col min="7" max="7" width="15.00390625" style="121" bestFit="1" customWidth="1"/>
    <col min="8" max="8" width="12.625" style="58" customWidth="1"/>
    <col min="9" max="9" width="14.375" style="121" customWidth="1"/>
    <col min="10" max="10" width="9.375" style="58" customWidth="1"/>
    <col min="11" max="11" width="11.125" style="58" customWidth="1"/>
    <col min="12" max="16384" width="9.375" style="58" customWidth="1"/>
  </cols>
  <sheetData>
    <row r="1" spans="1:9" ht="12.75">
      <c r="A1" s="54" t="s">
        <v>242</v>
      </c>
      <c r="B1" s="128"/>
      <c r="C1" s="128"/>
      <c r="D1" s="54"/>
      <c r="F1" s="56"/>
      <c r="G1" s="54"/>
      <c r="H1" s="57"/>
      <c r="I1" s="57"/>
    </row>
    <row r="2" spans="1:9" ht="12.75">
      <c r="A2" s="59" t="s">
        <v>15</v>
      </c>
      <c r="B2" s="60"/>
      <c r="C2" s="60"/>
      <c r="D2" s="60"/>
      <c r="E2" s="61"/>
      <c r="F2" s="60"/>
      <c r="G2" s="60"/>
      <c r="H2" s="60"/>
      <c r="I2" s="60"/>
    </row>
    <row r="3" spans="1:9" ht="12.75">
      <c r="A3" s="59" t="s">
        <v>70</v>
      </c>
      <c r="B3" s="60"/>
      <c r="C3" s="60"/>
      <c r="D3" s="60"/>
      <c r="E3" s="61"/>
      <c r="F3" s="60"/>
      <c r="G3" s="60"/>
      <c r="H3" s="60"/>
      <c r="I3" s="60"/>
    </row>
    <row r="4" spans="1:9" ht="12.75">
      <c r="A4" s="293" t="s">
        <v>101</v>
      </c>
      <c r="B4" s="63"/>
      <c r="C4" s="63"/>
      <c r="D4" s="64"/>
      <c r="E4" s="65"/>
      <c r="F4" s="64"/>
      <c r="G4" s="64"/>
      <c r="H4" s="64"/>
      <c r="I4" s="64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80"/>
      <c r="F7" s="81"/>
      <c r="G7" s="81"/>
      <c r="H7" s="82" t="s">
        <v>13</v>
      </c>
      <c r="I7" s="83" t="s">
        <v>12</v>
      </c>
    </row>
    <row r="8" spans="1:9" ht="12.75">
      <c r="A8" s="294">
        <v>38252</v>
      </c>
      <c r="B8" s="91"/>
      <c r="C8" s="41">
        <v>212164432</v>
      </c>
      <c r="D8" s="41"/>
      <c r="E8" s="92"/>
      <c r="F8" s="41"/>
      <c r="G8" s="93"/>
      <c r="H8" s="93"/>
      <c r="I8" s="94"/>
    </row>
    <row r="9" spans="1:9" ht="12.75">
      <c r="A9" s="90">
        <v>38260</v>
      </c>
      <c r="B9" s="91">
        <f aca="true" t="shared" si="0" ref="B9:B34">A9-A8</f>
        <v>8</v>
      </c>
      <c r="C9" s="41">
        <v>212164432</v>
      </c>
      <c r="D9" s="41"/>
      <c r="E9" s="92">
        <v>0.1117</v>
      </c>
      <c r="F9" s="41">
        <v>526639</v>
      </c>
      <c r="G9" s="93"/>
      <c r="H9" s="93"/>
      <c r="I9" s="94"/>
    </row>
    <row r="10" spans="1:9" ht="12.75">
      <c r="A10" s="294">
        <v>38339</v>
      </c>
      <c r="B10" s="91">
        <f t="shared" si="0"/>
        <v>79</v>
      </c>
      <c r="C10" s="41">
        <f>C9+243593559</f>
        <v>455757991</v>
      </c>
      <c r="D10" s="41"/>
      <c r="E10" s="92"/>
      <c r="F10" s="91"/>
      <c r="G10" s="41"/>
      <c r="H10" s="91"/>
      <c r="I10" s="96"/>
    </row>
    <row r="11" spans="1:9" ht="12.75">
      <c r="A11" s="298">
        <v>38351</v>
      </c>
      <c r="B11" s="91">
        <f t="shared" si="0"/>
        <v>12</v>
      </c>
      <c r="C11" s="107">
        <f>455757991+10240292</f>
        <v>465998283</v>
      </c>
      <c r="D11" s="107"/>
      <c r="E11" s="244"/>
      <c r="F11" s="108"/>
      <c r="G11" s="107"/>
      <c r="H11" s="108"/>
      <c r="I11" s="109"/>
    </row>
    <row r="12" spans="1:9" ht="12.75">
      <c r="A12" s="97">
        <v>38352</v>
      </c>
      <c r="B12" s="98">
        <f t="shared" si="0"/>
        <v>1</v>
      </c>
      <c r="C12" s="99">
        <f>C11-D12</f>
        <v>465998283</v>
      </c>
      <c r="D12" s="99"/>
      <c r="E12" s="100">
        <v>0.111</v>
      </c>
      <c r="F12" s="99">
        <v>6998372</v>
      </c>
      <c r="G12" s="101">
        <f>SUM(F8:F12)</f>
        <v>7525011</v>
      </c>
      <c r="H12" s="101">
        <f>SUM(D8:D12)</f>
        <v>0</v>
      </c>
      <c r="I12" s="102">
        <f>SUM(G12:H12)</f>
        <v>7525011</v>
      </c>
    </row>
    <row r="13" spans="1:9" ht="12.75">
      <c r="A13" s="84">
        <v>38442</v>
      </c>
      <c r="B13" s="85">
        <f t="shared" si="0"/>
        <v>90</v>
      </c>
      <c r="C13" s="86">
        <f>C12-D13</f>
        <v>465998283</v>
      </c>
      <c r="D13" s="86"/>
      <c r="E13" s="87">
        <v>0.0946</v>
      </c>
      <c r="F13" s="86">
        <v>11042088</v>
      </c>
      <c r="G13" s="88"/>
      <c r="H13" s="88"/>
      <c r="I13" s="89"/>
    </row>
    <row r="14" spans="1:9" ht="12.75">
      <c r="A14" s="90">
        <v>38533</v>
      </c>
      <c r="B14" s="85">
        <f t="shared" si="0"/>
        <v>91</v>
      </c>
      <c r="C14" s="86">
        <f>C13-D14</f>
        <v>465998283</v>
      </c>
      <c r="D14" s="41"/>
      <c r="E14" s="92">
        <v>0.0784</v>
      </c>
      <c r="F14" s="41">
        <v>9256020</v>
      </c>
      <c r="G14" s="93"/>
      <c r="H14" s="93"/>
      <c r="I14" s="94"/>
    </row>
    <row r="15" spans="1:9" ht="12.75">
      <c r="A15" s="90">
        <v>38623</v>
      </c>
      <c r="B15" s="85">
        <f t="shared" si="0"/>
        <v>90</v>
      </c>
      <c r="C15" s="86">
        <f>C14-D15</f>
        <v>446015283</v>
      </c>
      <c r="D15" s="41">
        <v>19983000</v>
      </c>
      <c r="E15" s="92"/>
      <c r="F15" s="41"/>
      <c r="G15" s="93"/>
      <c r="H15" s="93"/>
      <c r="I15" s="94"/>
    </row>
    <row r="16" spans="1:9" ht="12.75">
      <c r="A16" s="90">
        <v>38625</v>
      </c>
      <c r="B16" s="85">
        <f t="shared" si="0"/>
        <v>2</v>
      </c>
      <c r="C16" s="41">
        <f>C15-D16</f>
        <v>446015283</v>
      </c>
      <c r="D16" s="41"/>
      <c r="E16" s="92">
        <v>0.0702</v>
      </c>
      <c r="F16" s="41">
        <v>8362830</v>
      </c>
      <c r="G16" s="93"/>
      <c r="H16" s="93"/>
      <c r="I16" s="94"/>
    </row>
    <row r="17" spans="1:9" ht="12.75">
      <c r="A17" s="294">
        <v>38653</v>
      </c>
      <c r="B17" s="85">
        <f t="shared" si="0"/>
        <v>28</v>
      </c>
      <c r="C17" s="86">
        <f>C16-D17+252794717</f>
        <v>698810000</v>
      </c>
      <c r="D17" s="41"/>
      <c r="E17" s="92"/>
      <c r="F17" s="41"/>
      <c r="G17" s="93"/>
      <c r="H17" s="93"/>
      <c r="I17" s="94"/>
    </row>
    <row r="18" spans="1:9" ht="12.75">
      <c r="A18" s="90">
        <v>38714</v>
      </c>
      <c r="B18" s="85">
        <f t="shared" si="0"/>
        <v>61</v>
      </c>
      <c r="C18" s="41">
        <f aca="true" t="shared" si="1" ref="C18:C35">C17-D18</f>
        <v>678844000</v>
      </c>
      <c r="D18" s="41">
        <v>19966000</v>
      </c>
      <c r="E18" s="92"/>
      <c r="F18" s="41"/>
      <c r="G18" s="93"/>
      <c r="H18" s="93"/>
      <c r="I18" s="94"/>
    </row>
    <row r="19" spans="1:9" ht="12.75">
      <c r="A19" s="97">
        <v>38716</v>
      </c>
      <c r="B19" s="98">
        <f t="shared" si="0"/>
        <v>2</v>
      </c>
      <c r="C19" s="99">
        <f t="shared" si="1"/>
        <v>678844000</v>
      </c>
      <c r="D19" s="99"/>
      <c r="E19" s="100">
        <v>0.061</v>
      </c>
      <c r="F19" s="99">
        <v>9580523</v>
      </c>
      <c r="G19" s="101">
        <f>SUM(F13:F19)</f>
        <v>38241461</v>
      </c>
      <c r="H19" s="101">
        <f>SUM(D13:D19)</f>
        <v>39949000</v>
      </c>
      <c r="I19" s="102">
        <f>SUM(G19:H19)</f>
        <v>78190461</v>
      </c>
    </row>
    <row r="20" spans="1:9" ht="12.75">
      <c r="A20" s="103">
        <v>38804</v>
      </c>
      <c r="B20" s="104">
        <f t="shared" si="0"/>
        <v>88</v>
      </c>
      <c r="C20" s="42">
        <f t="shared" si="1"/>
        <v>658878000</v>
      </c>
      <c r="D20" s="42">
        <f>D18</f>
        <v>19966000</v>
      </c>
      <c r="E20" s="105"/>
      <c r="F20" s="104"/>
      <c r="G20" s="42"/>
      <c r="H20" s="104"/>
      <c r="I20" s="106"/>
    </row>
    <row r="21" spans="1:9" ht="12.75">
      <c r="A21" s="90">
        <v>38807</v>
      </c>
      <c r="B21" s="91">
        <f t="shared" si="0"/>
        <v>3</v>
      </c>
      <c r="C21" s="41">
        <f t="shared" si="1"/>
        <v>658878000</v>
      </c>
      <c r="D21" s="41"/>
      <c r="E21" s="92">
        <v>0.0637</v>
      </c>
      <c r="F21" s="41">
        <v>10909927</v>
      </c>
      <c r="G21" s="41"/>
      <c r="H21" s="91"/>
      <c r="I21" s="96"/>
    </row>
    <row r="22" spans="1:9" ht="12.75">
      <c r="A22" s="90">
        <v>38896</v>
      </c>
      <c r="B22" s="91">
        <f t="shared" si="0"/>
        <v>89</v>
      </c>
      <c r="C22" s="41">
        <f t="shared" si="1"/>
        <v>638912000</v>
      </c>
      <c r="D22" s="41">
        <f>D20</f>
        <v>19966000</v>
      </c>
      <c r="E22" s="95"/>
      <c r="F22" s="91"/>
      <c r="G22" s="41"/>
      <c r="H22" s="91"/>
      <c r="I22" s="96"/>
    </row>
    <row r="23" spans="1:9" ht="12.75">
      <c r="A23" s="90">
        <v>38898</v>
      </c>
      <c r="B23" s="91">
        <f t="shared" si="0"/>
        <v>2</v>
      </c>
      <c r="C23" s="41">
        <f t="shared" si="1"/>
        <v>638912000</v>
      </c>
      <c r="D23" s="41"/>
      <c r="E23" s="92">
        <v>0.0643</v>
      </c>
      <c r="F23" s="41">
        <v>10700916</v>
      </c>
      <c r="G23" s="41"/>
      <c r="H23" s="91"/>
      <c r="I23" s="96"/>
    </row>
    <row r="24" spans="1:9" ht="12.75">
      <c r="A24" s="90">
        <v>38988</v>
      </c>
      <c r="B24" s="91">
        <f t="shared" si="0"/>
        <v>90</v>
      </c>
      <c r="C24" s="41">
        <f t="shared" si="1"/>
        <v>618946000</v>
      </c>
      <c r="D24" s="41">
        <f>D22</f>
        <v>19966000</v>
      </c>
      <c r="E24" s="95"/>
      <c r="F24" s="91"/>
      <c r="G24" s="41"/>
      <c r="H24" s="91"/>
      <c r="I24" s="96"/>
    </row>
    <row r="25" spans="1:9" ht="12.75">
      <c r="A25" s="90">
        <v>38989</v>
      </c>
      <c r="B25" s="91">
        <f t="shared" si="0"/>
        <v>1</v>
      </c>
      <c r="C25" s="41">
        <f t="shared" si="1"/>
        <v>618946000</v>
      </c>
      <c r="D25" s="41"/>
      <c r="E25" s="92">
        <v>0.0677</v>
      </c>
      <c r="F25" s="41">
        <v>10923948</v>
      </c>
      <c r="G25" s="41"/>
      <c r="H25" s="91"/>
      <c r="I25" s="96"/>
    </row>
    <row r="26" spans="1:9" ht="12.75">
      <c r="A26" s="90">
        <v>38991</v>
      </c>
      <c r="B26" s="91">
        <f t="shared" si="0"/>
        <v>2</v>
      </c>
      <c r="C26" s="41">
        <f t="shared" si="1"/>
        <v>618946000</v>
      </c>
      <c r="D26" s="41"/>
      <c r="E26" s="92">
        <v>0.0677</v>
      </c>
      <c r="F26" s="41"/>
      <c r="G26" s="41"/>
      <c r="H26" s="91"/>
      <c r="I26" s="96"/>
    </row>
    <row r="27" spans="1:9" ht="12.75">
      <c r="A27" s="90">
        <v>39079</v>
      </c>
      <c r="B27" s="91">
        <f t="shared" si="0"/>
        <v>88</v>
      </c>
      <c r="C27" s="41">
        <f t="shared" si="1"/>
        <v>598980000</v>
      </c>
      <c r="D27" s="41">
        <f>D24</f>
        <v>19966000</v>
      </c>
      <c r="E27" s="95"/>
      <c r="F27" s="91"/>
      <c r="G27" s="41"/>
      <c r="H27" s="91"/>
      <c r="I27" s="96"/>
    </row>
    <row r="28" spans="1:9" ht="12.75">
      <c r="A28" s="97">
        <v>39080</v>
      </c>
      <c r="B28" s="98">
        <f t="shared" si="0"/>
        <v>1</v>
      </c>
      <c r="C28" s="99">
        <f t="shared" si="1"/>
        <v>598980000</v>
      </c>
      <c r="D28" s="99"/>
      <c r="E28" s="100">
        <v>0.0804</v>
      </c>
      <c r="F28" s="99">
        <v>12530917</v>
      </c>
      <c r="G28" s="101">
        <f>SUM(F21:F28)</f>
        <v>45065708</v>
      </c>
      <c r="H28" s="101">
        <f>SUM(D20:D28)</f>
        <v>79864000</v>
      </c>
      <c r="I28" s="102">
        <f>SUM(G28:H28)</f>
        <v>124929708</v>
      </c>
    </row>
    <row r="29" spans="1:9" ht="12.75">
      <c r="A29" s="103">
        <v>39169</v>
      </c>
      <c r="B29" s="104">
        <f t="shared" si="0"/>
        <v>89</v>
      </c>
      <c r="C29" s="42">
        <f t="shared" si="1"/>
        <v>579014000</v>
      </c>
      <c r="D29" s="42">
        <f>D27</f>
        <v>19966000</v>
      </c>
      <c r="E29" s="105"/>
      <c r="F29" s="104"/>
      <c r="G29" s="42"/>
      <c r="H29" s="104"/>
      <c r="I29" s="106"/>
    </row>
    <row r="30" spans="1:9" ht="12.75">
      <c r="A30" s="90">
        <v>39171</v>
      </c>
      <c r="B30" s="91">
        <f t="shared" si="0"/>
        <v>2</v>
      </c>
      <c r="C30" s="41">
        <f t="shared" si="1"/>
        <v>579014000</v>
      </c>
      <c r="D30" s="41"/>
      <c r="E30" s="92">
        <v>0.0818</v>
      </c>
      <c r="F30" s="41">
        <v>12369181</v>
      </c>
      <c r="G30" s="41"/>
      <c r="H30" s="91"/>
      <c r="I30" s="96"/>
    </row>
    <row r="31" spans="1:9" ht="12.75">
      <c r="A31" s="90">
        <v>39261</v>
      </c>
      <c r="B31" s="91">
        <f t="shared" si="0"/>
        <v>90</v>
      </c>
      <c r="C31" s="41">
        <f t="shared" si="1"/>
        <v>559048000</v>
      </c>
      <c r="D31" s="41">
        <f>D29</f>
        <v>19966000</v>
      </c>
      <c r="E31" s="95"/>
      <c r="F31" s="91"/>
      <c r="G31" s="41"/>
      <c r="H31" s="91"/>
      <c r="I31" s="96"/>
    </row>
    <row r="32" spans="1:9" ht="12.75">
      <c r="A32" s="90">
        <v>39262</v>
      </c>
      <c r="B32" s="91">
        <f t="shared" si="0"/>
        <v>1</v>
      </c>
      <c r="C32" s="41">
        <f t="shared" si="1"/>
        <v>559048000</v>
      </c>
      <c r="D32" s="41"/>
      <c r="E32" s="92">
        <v>0.0803</v>
      </c>
      <c r="F32" s="41">
        <v>11753230</v>
      </c>
      <c r="G32" s="41"/>
      <c r="H32" s="91"/>
      <c r="I32" s="96"/>
    </row>
    <row r="33" spans="1:9" ht="12.75">
      <c r="A33" s="90">
        <v>39353</v>
      </c>
      <c r="B33" s="91">
        <f t="shared" si="0"/>
        <v>91</v>
      </c>
      <c r="C33" s="41">
        <f t="shared" si="1"/>
        <v>539082000</v>
      </c>
      <c r="D33" s="41">
        <f>D31</f>
        <v>19966000</v>
      </c>
      <c r="E33" s="95"/>
      <c r="F33" s="91"/>
      <c r="G33" s="41"/>
      <c r="H33" s="91"/>
      <c r="I33" s="96"/>
    </row>
    <row r="34" spans="1:9" ht="12.75">
      <c r="A34" s="90">
        <v>39353</v>
      </c>
      <c r="B34" s="91">
        <f t="shared" si="0"/>
        <v>0</v>
      </c>
      <c r="C34" s="41">
        <f t="shared" si="1"/>
        <v>539082000</v>
      </c>
      <c r="D34" s="41"/>
      <c r="E34" s="92">
        <v>0.079</v>
      </c>
      <c r="F34" s="41">
        <v>11167916</v>
      </c>
      <c r="G34" s="41"/>
      <c r="H34" s="91"/>
      <c r="I34" s="96"/>
    </row>
    <row r="35" spans="1:9" ht="12.75">
      <c r="A35" s="90">
        <v>39438</v>
      </c>
      <c r="B35" s="91"/>
      <c r="C35" s="41">
        <f t="shared" si="1"/>
        <v>0</v>
      </c>
      <c r="D35" s="41">
        <v>539082000</v>
      </c>
      <c r="E35" s="95">
        <v>0.0768</v>
      </c>
      <c r="F35" s="41">
        <v>9785237</v>
      </c>
      <c r="G35" s="41"/>
      <c r="H35" s="91"/>
      <c r="I35" s="96"/>
    </row>
    <row r="36" spans="1:9" ht="13.5" thickBot="1">
      <c r="A36" s="97"/>
      <c r="B36" s="98"/>
      <c r="C36" s="99"/>
      <c r="D36" s="99"/>
      <c r="E36" s="100"/>
      <c r="F36" s="99"/>
      <c r="G36" s="101">
        <f>SUM(F30:F36)</f>
        <v>45075564</v>
      </c>
      <c r="H36" s="101">
        <f>SUM(D29:D36)</f>
        <v>598980000</v>
      </c>
      <c r="I36" s="102">
        <f>SUM(G36:H36)</f>
        <v>644055564</v>
      </c>
    </row>
    <row r="37" spans="1:9" ht="13.5" thickTop="1">
      <c r="A37" s="563" t="s">
        <v>14</v>
      </c>
      <c r="B37" s="564"/>
      <c r="C37" s="565"/>
      <c r="D37" s="117">
        <f>SUM(D8:D36)</f>
        <v>718793000</v>
      </c>
      <c r="E37" s="118"/>
      <c r="F37" s="117">
        <f>SUM(F8:F36)</f>
        <v>135907744</v>
      </c>
      <c r="G37" s="117">
        <f>SUM(G8:G36)</f>
        <v>135907744</v>
      </c>
      <c r="H37" s="117">
        <f>SUM(H8:H36)</f>
        <v>718793000</v>
      </c>
      <c r="I37" s="119">
        <f>SUM(I8:I36)</f>
        <v>854700744</v>
      </c>
    </row>
    <row r="38" ht="12.75">
      <c r="A38" s="120"/>
    </row>
    <row r="39" ht="12.75">
      <c r="A39" s="120"/>
    </row>
    <row r="40" spans="2:7" ht="12.75">
      <c r="B40" s="58" t="s">
        <v>71</v>
      </c>
      <c r="D40" s="58"/>
      <c r="E40" s="122" t="s">
        <v>72</v>
      </c>
      <c r="G40" s="123">
        <v>212164432</v>
      </c>
    </row>
    <row r="41" spans="2:7" ht="12.75">
      <c r="B41" s="58" t="s">
        <v>100</v>
      </c>
      <c r="D41" s="58"/>
      <c r="E41" s="122" t="s">
        <v>99</v>
      </c>
      <c r="G41" s="123">
        <v>243593559</v>
      </c>
    </row>
    <row r="42" spans="2:7" ht="12.75">
      <c r="B42" s="58" t="s">
        <v>107</v>
      </c>
      <c r="D42" s="58"/>
      <c r="E42" s="122" t="s">
        <v>108</v>
      </c>
      <c r="G42" s="123">
        <v>10240292</v>
      </c>
    </row>
    <row r="43" spans="2:7" ht="13.5" thickBot="1">
      <c r="B43" s="58" t="s">
        <v>114</v>
      </c>
      <c r="D43" s="58"/>
      <c r="E43" s="122" t="s">
        <v>115</v>
      </c>
      <c r="G43" s="123">
        <v>252794717</v>
      </c>
    </row>
    <row r="44" spans="2:7" ht="13.5" thickTop="1">
      <c r="B44" s="124" t="s">
        <v>14</v>
      </c>
      <c r="C44" s="129"/>
      <c r="D44" s="124"/>
      <c r="E44" s="125"/>
      <c r="F44" s="126"/>
      <c r="G44" s="127">
        <f>SUM(G40:G43)</f>
        <v>718793000</v>
      </c>
    </row>
    <row r="46" spans="2:7" ht="12.75">
      <c r="B46" s="58"/>
      <c r="E46" s="58"/>
      <c r="F46" s="121"/>
      <c r="G46" s="58"/>
    </row>
    <row r="47" spans="2:7" ht="12.75">
      <c r="B47" s="58"/>
      <c r="E47" s="58"/>
      <c r="F47" s="121"/>
      <c r="G47" s="58"/>
    </row>
    <row r="48" spans="2:7" ht="12.75">
      <c r="B48" s="58"/>
      <c r="E48" s="58"/>
      <c r="G48" s="58"/>
    </row>
    <row r="49" spans="2:7" ht="12.75">
      <c r="B49" s="58"/>
      <c r="E49" s="58"/>
      <c r="G49" s="58"/>
    </row>
    <row r="50" spans="2:7" ht="12.75">
      <c r="B50" s="58"/>
      <c r="E50" s="58"/>
      <c r="F50" s="121"/>
      <c r="G50" s="58"/>
    </row>
  </sheetData>
  <sheetProtection/>
  <mergeCells count="1">
    <mergeCell ref="A37:C37"/>
  </mergeCells>
  <printOptions horizontalCentered="1"/>
  <pageMargins left="0.5905511811023623" right="0.5905511811023623" top="0.7874015748031497" bottom="0.5905511811023623" header="0.1968503937007874" footer="0.1968503937007874"/>
  <pageSetup horizontalDpi="150" verticalDpi="150" orientation="portrait" paperSize="9" scale="90" r:id="rId1"/>
  <headerFooter alignWithMargins="0">
    <oddHeader xml:space="preserve">&amp;C&amp;"Times New Roman CE,Félkövér"&amp;12Adósságszolgálat számítása az OTP tájékoztatása alapján 
&amp;"Times New Roman CE,Félkövér dőlt"2004. szeptemberben, októberben és decemberben felvételre tervezett 718.793 eFt  célhitel </oddHeader>
    <oddFooter>&amp;L&amp;D
C:\Andi\adósságszolgálat\&amp;F\&amp;A&amp;R&amp;P/&amp;N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6"/>
  <sheetViews>
    <sheetView zoomScaleSheetLayoutView="100" zoomScalePageLayoutView="0" workbookViewId="0" topLeftCell="A1">
      <selection activeCell="A23" sqref="A23:I24"/>
    </sheetView>
  </sheetViews>
  <sheetFormatPr defaultColWidth="9.00390625" defaultRowHeight="12.75"/>
  <cols>
    <col min="1" max="1" width="11.62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7.875" style="58" customWidth="1"/>
    <col min="6" max="6" width="12.625" style="58" bestFit="1" customWidth="1"/>
    <col min="7" max="7" width="11.875" style="58" customWidth="1"/>
    <col min="8" max="8" width="13.125" style="58" bestFit="1" customWidth="1"/>
    <col min="9" max="10" width="12.625" style="58" bestFit="1" customWidth="1"/>
    <col min="11" max="11" width="2.125" style="58" customWidth="1"/>
    <col min="14" max="16384" width="9.375" style="58" customWidth="1"/>
  </cols>
  <sheetData>
    <row r="1" ht="12.75">
      <c r="A1" s="162" t="s">
        <v>260</v>
      </c>
    </row>
    <row r="2" spans="1:10" ht="12.75">
      <c r="A2" s="163" t="s">
        <v>109</v>
      </c>
      <c r="B2" s="162"/>
      <c r="C2" s="163" t="s">
        <v>110</v>
      </c>
      <c r="D2" s="163"/>
      <c r="H2" s="163"/>
      <c r="I2" s="163"/>
      <c r="J2" s="163"/>
    </row>
    <row r="3" spans="1:10" ht="12.75">
      <c r="A3" s="163" t="s">
        <v>267</v>
      </c>
      <c r="B3" s="133"/>
      <c r="C3" s="132"/>
      <c r="D3" s="132"/>
      <c r="E3" s="132"/>
      <c r="F3" s="132"/>
      <c r="G3" s="459" t="s">
        <v>268</v>
      </c>
      <c r="H3" s="460">
        <v>0.004</v>
      </c>
      <c r="I3" s="132"/>
      <c r="J3" s="132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448" t="s">
        <v>18</v>
      </c>
      <c r="F4" s="69" t="s">
        <v>20</v>
      </c>
      <c r="G4" s="69" t="s">
        <v>271</v>
      </c>
      <c r="H4" s="68" t="s">
        <v>264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449" t="s">
        <v>19</v>
      </c>
      <c r="F5" s="75" t="s">
        <v>13</v>
      </c>
      <c r="G5" s="75" t="s">
        <v>229</v>
      </c>
      <c r="H5" s="74" t="s">
        <v>265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450"/>
      <c r="F6" s="81"/>
      <c r="G6" s="81"/>
      <c r="H6" s="458" t="s">
        <v>266</v>
      </c>
      <c r="I6" s="82" t="s">
        <v>13</v>
      </c>
      <c r="J6" s="83" t="s">
        <v>12</v>
      </c>
    </row>
    <row r="7" spans="1:10" ht="12.75">
      <c r="A7" s="339">
        <v>38702</v>
      </c>
      <c r="B7" s="306"/>
      <c r="C7" s="281">
        <v>76930000</v>
      </c>
      <c r="D7" s="42"/>
      <c r="E7" s="451"/>
      <c r="F7" s="42"/>
      <c r="G7" s="42"/>
      <c r="H7" s="152"/>
      <c r="I7" s="152"/>
      <c r="J7" s="153"/>
    </row>
    <row r="8" spans="1:10" ht="12.75">
      <c r="A8" s="97">
        <v>38716</v>
      </c>
      <c r="B8" s="308">
        <f>A8-A7</f>
        <v>14</v>
      </c>
      <c r="C8" s="99">
        <f>C7-D8</f>
        <v>76930000</v>
      </c>
      <c r="D8" s="99"/>
      <c r="E8" s="452">
        <v>0.02876</v>
      </c>
      <c r="F8" s="99">
        <v>86042</v>
      </c>
      <c r="G8" s="99">
        <v>11967</v>
      </c>
      <c r="H8" s="101">
        <f>SUM(F8:G8)</f>
        <v>98009</v>
      </c>
      <c r="I8" s="101">
        <f>SUM(D8:D8)</f>
        <v>0</v>
      </c>
      <c r="J8" s="102">
        <f>SUM(H8:I8)</f>
        <v>98009</v>
      </c>
    </row>
    <row r="9" spans="1:10" ht="12.75">
      <c r="A9" s="90">
        <v>38807</v>
      </c>
      <c r="B9" s="307">
        <f>A9-A8</f>
        <v>91</v>
      </c>
      <c r="C9" s="41">
        <v>76930000</v>
      </c>
      <c r="D9" s="41"/>
      <c r="E9" s="453">
        <v>0.02876</v>
      </c>
      <c r="F9" s="41">
        <v>625078</v>
      </c>
      <c r="G9" s="41">
        <v>77785</v>
      </c>
      <c r="H9" s="91"/>
      <c r="I9" s="91"/>
      <c r="J9" s="231"/>
    </row>
    <row r="10" spans="1:10" ht="12.75">
      <c r="A10" s="90">
        <v>38898</v>
      </c>
      <c r="B10" s="307">
        <f>A10-A9</f>
        <v>91</v>
      </c>
      <c r="C10" s="41">
        <v>76930000</v>
      </c>
      <c r="D10" s="41"/>
      <c r="E10" s="453">
        <v>0.03527</v>
      </c>
      <c r="F10" s="41">
        <v>685216</v>
      </c>
      <c r="G10" s="41">
        <v>77785</v>
      </c>
      <c r="H10" s="91"/>
      <c r="I10" s="91"/>
      <c r="J10" s="231"/>
    </row>
    <row r="11" spans="1:10" ht="12.75">
      <c r="A11" s="294">
        <v>38953</v>
      </c>
      <c r="B11" s="307">
        <f>A11-A10</f>
        <v>55</v>
      </c>
      <c r="C11" s="281">
        <v>148901000</v>
      </c>
      <c r="D11" s="41"/>
      <c r="E11" s="453"/>
      <c r="F11" s="41"/>
      <c r="G11" s="41"/>
      <c r="H11" s="91"/>
      <c r="I11" s="91"/>
      <c r="J11" s="231"/>
    </row>
    <row r="12" spans="1:10" ht="12.75">
      <c r="A12" s="90">
        <v>38989</v>
      </c>
      <c r="B12" s="307">
        <f aca="true" t="shared" si="0" ref="B12:B39">A12-A11</f>
        <v>36</v>
      </c>
      <c r="C12" s="41">
        <f aca="true" t="shared" si="1" ref="C12:C43">C11-D12</f>
        <v>148901000</v>
      </c>
      <c r="D12" s="41"/>
      <c r="E12" s="453">
        <v>0.03791</v>
      </c>
      <c r="F12" s="41">
        <v>1009483</v>
      </c>
      <c r="G12" s="41">
        <v>106573</v>
      </c>
      <c r="H12" s="91"/>
      <c r="I12" s="91"/>
      <c r="J12" s="231"/>
    </row>
    <row r="13" spans="1:10" ht="12.75">
      <c r="A13" s="90">
        <v>38991</v>
      </c>
      <c r="B13" s="307">
        <f>A13-A12</f>
        <v>2</v>
      </c>
      <c r="C13" s="41">
        <f>C12-D13</f>
        <v>148901000</v>
      </c>
      <c r="D13" s="41"/>
      <c r="E13" s="453">
        <v>0.03791</v>
      </c>
      <c r="F13" s="41"/>
      <c r="G13" s="41"/>
      <c r="H13" s="91"/>
      <c r="I13" s="91"/>
      <c r="J13" s="231"/>
    </row>
    <row r="14" spans="1:10" ht="12.75">
      <c r="A14" s="294">
        <v>39064</v>
      </c>
      <c r="B14" s="307">
        <f t="shared" si="0"/>
        <v>73</v>
      </c>
      <c r="C14" s="281">
        <v>179173000</v>
      </c>
      <c r="D14" s="41"/>
      <c r="E14" s="453"/>
      <c r="F14" s="41"/>
      <c r="G14" s="41"/>
      <c r="H14" s="91"/>
      <c r="I14" s="91"/>
      <c r="J14" s="231"/>
    </row>
    <row r="15" spans="1:10" ht="12.75">
      <c r="A15" s="97">
        <v>39080</v>
      </c>
      <c r="B15" s="308">
        <f t="shared" si="0"/>
        <v>16</v>
      </c>
      <c r="C15" s="99">
        <f t="shared" si="1"/>
        <v>179173000</v>
      </c>
      <c r="D15" s="99"/>
      <c r="E15" s="452">
        <v>0.04106</v>
      </c>
      <c r="F15" s="99">
        <v>1598089</v>
      </c>
      <c r="G15" s="99">
        <v>155937</v>
      </c>
      <c r="H15" s="300">
        <f>SUM(F9:G15)</f>
        <v>4335946</v>
      </c>
      <c r="I15" s="300">
        <f>SUM(D9:D15)</f>
        <v>0</v>
      </c>
      <c r="J15" s="301">
        <f>SUM(H15:I15)</f>
        <v>4335946</v>
      </c>
    </row>
    <row r="16" spans="1:10" ht="12.75">
      <c r="A16" s="90">
        <v>39171</v>
      </c>
      <c r="B16" s="348">
        <f t="shared" si="0"/>
        <v>91</v>
      </c>
      <c r="C16" s="86">
        <f t="shared" si="1"/>
        <v>179173000</v>
      </c>
      <c r="D16" s="86"/>
      <c r="E16" s="453">
        <v>0.04452</v>
      </c>
      <c r="F16" s="41">
        <v>2011187</v>
      </c>
      <c r="G16" s="41">
        <v>181164</v>
      </c>
      <c r="H16" s="91"/>
      <c r="I16" s="91"/>
      <c r="J16" s="231"/>
    </row>
    <row r="17" spans="1:10" ht="12.75">
      <c r="A17" s="90">
        <v>39262</v>
      </c>
      <c r="B17" s="307">
        <f t="shared" si="0"/>
        <v>91</v>
      </c>
      <c r="C17" s="41">
        <f t="shared" si="1"/>
        <v>179173000</v>
      </c>
      <c r="D17" s="41"/>
      <c r="E17" s="453">
        <v>0.04644</v>
      </c>
      <c r="F17" s="41">
        <v>2101401</v>
      </c>
      <c r="G17" s="41">
        <v>181164</v>
      </c>
      <c r="H17" s="91"/>
      <c r="I17" s="91"/>
      <c r="J17" s="231"/>
    </row>
    <row r="18" spans="1:10" ht="12.75">
      <c r="A18" s="90">
        <v>39353</v>
      </c>
      <c r="B18" s="307">
        <f t="shared" si="0"/>
        <v>91</v>
      </c>
      <c r="C18" s="41">
        <f t="shared" si="1"/>
        <v>179173000</v>
      </c>
      <c r="D18" s="41"/>
      <c r="E18" s="453">
        <v>0.04894</v>
      </c>
      <c r="F18" s="41">
        <v>2214051</v>
      </c>
      <c r="G18" s="41">
        <v>181164</v>
      </c>
      <c r="H18" s="91"/>
      <c r="I18" s="91"/>
      <c r="J18" s="231"/>
    </row>
    <row r="19" spans="1:10" ht="12.75">
      <c r="A19" s="97">
        <v>39445</v>
      </c>
      <c r="B19" s="308">
        <f t="shared" si="0"/>
        <v>92</v>
      </c>
      <c r="C19" s="99">
        <f t="shared" si="1"/>
        <v>179173000</v>
      </c>
      <c r="D19" s="99"/>
      <c r="E19" s="452">
        <v>0.05516</v>
      </c>
      <c r="F19" s="99">
        <v>2516415</v>
      </c>
      <c r="G19" s="99">
        <v>183155</v>
      </c>
      <c r="H19" s="300">
        <f>SUM(F16:G19)</f>
        <v>9569701</v>
      </c>
      <c r="I19" s="300">
        <f>SUM(D16:D19)</f>
        <v>0</v>
      </c>
      <c r="J19" s="301">
        <f>SUM(H19:I19)</f>
        <v>9569701</v>
      </c>
    </row>
    <row r="20" spans="1:10" ht="12.75">
      <c r="A20" s="103">
        <v>39538</v>
      </c>
      <c r="B20" s="310">
        <f t="shared" si="0"/>
        <v>93</v>
      </c>
      <c r="C20" s="42">
        <f t="shared" si="1"/>
        <v>179173000</v>
      </c>
      <c r="D20" s="42"/>
      <c r="E20" s="454">
        <v>0.05495</v>
      </c>
      <c r="F20" s="42">
        <v>2543749</v>
      </c>
      <c r="G20" s="42">
        <v>185145</v>
      </c>
      <c r="H20" s="104"/>
      <c r="I20" s="104"/>
      <c r="J20" s="242"/>
    </row>
    <row r="21" spans="1:10" ht="12.75">
      <c r="A21" s="90">
        <v>39604</v>
      </c>
      <c r="B21" s="309">
        <f t="shared" si="0"/>
        <v>66</v>
      </c>
      <c r="C21" s="41">
        <f t="shared" si="1"/>
        <v>176573000</v>
      </c>
      <c r="D21" s="41">
        <v>2600000</v>
      </c>
      <c r="E21" s="453"/>
      <c r="F21" s="41"/>
      <c r="G21" s="41"/>
      <c r="H21" s="91"/>
      <c r="I21" s="91"/>
      <c r="J21" s="231"/>
    </row>
    <row r="22" spans="1:10" ht="12.75">
      <c r="A22" s="90">
        <v>39629</v>
      </c>
      <c r="B22" s="309">
        <f t="shared" si="0"/>
        <v>25</v>
      </c>
      <c r="C22" s="41">
        <f t="shared" si="1"/>
        <v>176573000</v>
      </c>
      <c r="D22" s="41"/>
      <c r="E22" s="453">
        <v>0.05461</v>
      </c>
      <c r="F22" s="41">
        <v>2463648</v>
      </c>
      <c r="G22" s="41">
        <f>((C21+D21)*$H$3/360*B21)+((C22+D22)*$H$3/360*B22)</f>
        <v>180441.5888888889</v>
      </c>
      <c r="H22" s="91"/>
      <c r="I22" s="91"/>
      <c r="J22" s="231"/>
    </row>
    <row r="23" spans="1:10" ht="12.75">
      <c r="A23" s="90">
        <v>39696</v>
      </c>
      <c r="B23" s="309">
        <f t="shared" si="0"/>
        <v>67</v>
      </c>
      <c r="C23" s="41">
        <f t="shared" si="1"/>
        <v>173973000</v>
      </c>
      <c r="D23" s="41">
        <f>D21</f>
        <v>2600000</v>
      </c>
      <c r="E23" s="453"/>
      <c r="F23" s="41"/>
      <c r="G23" s="41"/>
      <c r="H23" s="91"/>
      <c r="I23" s="91"/>
      <c r="J23" s="231"/>
    </row>
    <row r="24" spans="1:10" ht="12.75">
      <c r="A24" s="90">
        <v>39721</v>
      </c>
      <c r="B24" s="309">
        <f t="shared" si="0"/>
        <v>25</v>
      </c>
      <c r="C24" s="41">
        <f t="shared" si="1"/>
        <v>173973000</v>
      </c>
      <c r="D24" s="41"/>
      <c r="E24" s="453">
        <v>0.05677</v>
      </c>
      <c r="F24" s="41">
        <v>2550392</v>
      </c>
      <c r="G24" s="41">
        <f>((C23+D23)*$H$3/360*B23)+((C24+D24)*$H$3/360*B24)</f>
        <v>179774.62222222224</v>
      </c>
      <c r="H24" s="91"/>
      <c r="I24" s="91"/>
      <c r="J24" s="231"/>
    </row>
    <row r="25" spans="1:10" ht="12.75">
      <c r="A25" s="243">
        <v>39787</v>
      </c>
      <c r="B25" s="309">
        <f t="shared" si="0"/>
        <v>66</v>
      </c>
      <c r="C25" s="41">
        <f t="shared" si="1"/>
        <v>171373000</v>
      </c>
      <c r="D25" s="41">
        <f>D23</f>
        <v>2600000</v>
      </c>
      <c r="E25" s="455"/>
      <c r="F25" s="107"/>
      <c r="G25" s="107"/>
      <c r="H25" s="108"/>
      <c r="I25" s="108"/>
      <c r="J25" s="251"/>
    </row>
    <row r="26" spans="1:10" ht="12.75">
      <c r="A26" s="97">
        <v>39813</v>
      </c>
      <c r="B26" s="308">
        <f t="shared" si="0"/>
        <v>26</v>
      </c>
      <c r="C26" s="99">
        <f t="shared" si="1"/>
        <v>171373000</v>
      </c>
      <c r="D26" s="99"/>
      <c r="E26" s="452">
        <v>0.05967</v>
      </c>
      <c r="F26" s="41">
        <f>((C25+D25)*E26/360*B25)+((C26+D26)*E26/360*B26)</f>
        <v>2641709.577</v>
      </c>
      <c r="G26" s="41">
        <f>((C25+D25)*$H$3/360*B25)+((C26+D26)*$H$3/360*B26)</f>
        <v>177087.95555555556</v>
      </c>
      <c r="H26" s="300">
        <f>SUM(F20:G26)</f>
        <v>10921947.743666667</v>
      </c>
      <c r="I26" s="300">
        <f>SUM(D20:D26)</f>
        <v>7800000</v>
      </c>
      <c r="J26" s="301">
        <f>SUM(H26:I26)</f>
        <v>18721947.743666667</v>
      </c>
    </row>
    <row r="27" spans="1:10" ht="12.75">
      <c r="A27" s="103">
        <v>39877</v>
      </c>
      <c r="B27" s="306">
        <f t="shared" si="0"/>
        <v>64</v>
      </c>
      <c r="C27" s="42">
        <f t="shared" si="1"/>
        <v>168773000</v>
      </c>
      <c r="D27" s="41">
        <f>D25</f>
        <v>2600000</v>
      </c>
      <c r="E27" s="456"/>
      <c r="F27" s="104"/>
      <c r="G27" s="104"/>
      <c r="H27" s="104"/>
      <c r="I27" s="104"/>
      <c r="J27" s="242"/>
    </row>
    <row r="28" spans="1:10" ht="12.75">
      <c r="A28" s="90">
        <v>39903</v>
      </c>
      <c r="B28" s="307">
        <f t="shared" si="0"/>
        <v>26</v>
      </c>
      <c r="C28" s="41">
        <f t="shared" si="1"/>
        <v>168773000</v>
      </c>
      <c r="D28" s="41"/>
      <c r="E28" s="453">
        <f>E26</f>
        <v>0.05967</v>
      </c>
      <c r="F28" s="41">
        <f>((C27+D27)*E28/360*B27)+((C28+D28)*E28/360*B28)</f>
        <v>2545252.0275</v>
      </c>
      <c r="G28" s="41">
        <f>((C27+D27)*$H$3/360*B27)+((C28+D28)*$H$3/360*B28)</f>
        <v>170621.88888888888</v>
      </c>
      <c r="H28" s="91"/>
      <c r="I28" s="91"/>
      <c r="J28" s="231"/>
    </row>
    <row r="29" spans="1:10" ht="12.75">
      <c r="A29" s="90">
        <v>39969</v>
      </c>
      <c r="B29" s="307">
        <f t="shared" si="0"/>
        <v>66</v>
      </c>
      <c r="C29" s="41">
        <f t="shared" si="1"/>
        <v>166173000</v>
      </c>
      <c r="D29" s="41">
        <f>D27</f>
        <v>2600000</v>
      </c>
      <c r="E29" s="453"/>
      <c r="F29" s="41"/>
      <c r="G29" s="41"/>
      <c r="H29" s="91"/>
      <c r="I29" s="91"/>
      <c r="J29" s="231"/>
    </row>
    <row r="30" spans="1:10" ht="12.75">
      <c r="A30" s="90">
        <v>39994</v>
      </c>
      <c r="B30" s="307">
        <f t="shared" si="0"/>
        <v>25</v>
      </c>
      <c r="C30" s="41">
        <f t="shared" si="1"/>
        <v>166173000</v>
      </c>
      <c r="D30" s="41"/>
      <c r="E30" s="453">
        <f>E28</f>
        <v>0.05967</v>
      </c>
      <c r="F30" s="41">
        <f>((C29+D29)*E30/360*B29)+((C30+D30)*E30/360*B30)</f>
        <v>2534871.60225</v>
      </c>
      <c r="G30" s="41">
        <f>((C29+D29)*$H$3/360*B29)+((C30+D30)*$H$3/360*B30)</f>
        <v>169926.03333333333</v>
      </c>
      <c r="H30" s="91"/>
      <c r="I30" s="91"/>
      <c r="J30" s="231"/>
    </row>
    <row r="31" spans="1:10" ht="12.75">
      <c r="A31" s="90">
        <v>40061</v>
      </c>
      <c r="B31" s="307">
        <f t="shared" si="0"/>
        <v>67</v>
      </c>
      <c r="C31" s="41">
        <f t="shared" si="1"/>
        <v>163573000</v>
      </c>
      <c r="D31" s="41">
        <f>D29</f>
        <v>2600000</v>
      </c>
      <c r="E31" s="453"/>
      <c r="F31" s="41"/>
      <c r="G31" s="41"/>
      <c r="H31" s="91"/>
      <c r="I31" s="91"/>
      <c r="J31" s="231"/>
    </row>
    <row r="32" spans="1:10" ht="12.75">
      <c r="A32" s="90">
        <v>40086</v>
      </c>
      <c r="B32" s="307">
        <f t="shared" si="0"/>
        <v>25</v>
      </c>
      <c r="C32" s="41">
        <f t="shared" si="1"/>
        <v>163573000</v>
      </c>
      <c r="D32" s="41"/>
      <c r="E32" s="453">
        <f>E30</f>
        <v>0.05967</v>
      </c>
      <c r="F32" s="41">
        <f>((C31+D31)*E32/360*B31)+((C32+D32)*E32/360*B32)</f>
        <v>2523198.327</v>
      </c>
      <c r="G32" s="41">
        <f>((C31+D31)*$H$3/360*B31)+((C32+D32)*$H$3/360*B32)</f>
        <v>169143.51111111112</v>
      </c>
      <c r="H32" s="91"/>
      <c r="I32" s="91"/>
      <c r="J32" s="231"/>
    </row>
    <row r="33" spans="1:10" ht="12.75">
      <c r="A33" s="90">
        <v>40152</v>
      </c>
      <c r="B33" s="307">
        <f t="shared" si="0"/>
        <v>66</v>
      </c>
      <c r="C33" s="41">
        <f t="shared" si="1"/>
        <v>160973000</v>
      </c>
      <c r="D33" s="41">
        <f>D31</f>
        <v>2600000</v>
      </c>
      <c r="E33" s="453"/>
      <c r="F33" s="41"/>
      <c r="G33" s="41"/>
      <c r="H33" s="91"/>
      <c r="I33" s="91"/>
      <c r="J33" s="231"/>
    </row>
    <row r="34" spans="1:10" ht="12.75">
      <c r="A34" s="97">
        <v>40178</v>
      </c>
      <c r="B34" s="308">
        <f t="shared" si="0"/>
        <v>26</v>
      </c>
      <c r="C34" s="99">
        <f t="shared" si="1"/>
        <v>160973000</v>
      </c>
      <c r="D34" s="99"/>
      <c r="E34" s="452">
        <f>E32</f>
        <v>0.05967</v>
      </c>
      <c r="F34" s="41">
        <f>((C33+D33)*E34/360*B33)+((C34+D34)*E34/360*B34)</f>
        <v>2483119.977</v>
      </c>
      <c r="G34" s="41">
        <f>((C33+D33)*$H$3/360*B33)+((C34+D34)*$H$3/360*B34)</f>
        <v>166456.84444444446</v>
      </c>
      <c r="H34" s="300">
        <f>SUM(F27:G34)</f>
        <v>10762590.211527778</v>
      </c>
      <c r="I34" s="300">
        <f>SUM(D27:D34)</f>
        <v>10400000</v>
      </c>
      <c r="J34" s="301">
        <f>SUM(H34:I34)</f>
        <v>21162590.21152778</v>
      </c>
    </row>
    <row r="35" spans="1:10" ht="12.75">
      <c r="A35" s="103">
        <v>40242</v>
      </c>
      <c r="B35" s="306">
        <f t="shared" si="0"/>
        <v>64</v>
      </c>
      <c r="C35" s="42">
        <f t="shared" si="1"/>
        <v>158373000</v>
      </c>
      <c r="D35" s="41">
        <f>D33</f>
        <v>2600000</v>
      </c>
      <c r="E35" s="456"/>
      <c r="F35" s="104"/>
      <c r="G35" s="104"/>
      <c r="H35" s="104"/>
      <c r="I35" s="104"/>
      <c r="J35" s="242"/>
    </row>
    <row r="36" spans="1:10" ht="12.75">
      <c r="A36" s="90">
        <v>40268</v>
      </c>
      <c r="B36" s="307">
        <f t="shared" si="0"/>
        <v>26</v>
      </c>
      <c r="C36" s="41">
        <f t="shared" si="1"/>
        <v>158373000</v>
      </c>
      <c r="D36" s="41"/>
      <c r="E36" s="453">
        <f>E34</f>
        <v>0.05967</v>
      </c>
      <c r="F36" s="41">
        <f>((C35+D35)*E36/360*B35)+((C36+D36)*E36/360*B36)</f>
        <v>2390110.0275</v>
      </c>
      <c r="G36" s="41">
        <f>((C35+D35)*$H$3/360*B35)+((C36+D36)*$H$3/360*B36)</f>
        <v>160221.8888888889</v>
      </c>
      <c r="H36" s="91"/>
      <c r="I36" s="91"/>
      <c r="J36" s="231"/>
    </row>
    <row r="37" spans="1:10" ht="12.75">
      <c r="A37" s="90">
        <v>40334</v>
      </c>
      <c r="B37" s="307">
        <f t="shared" si="0"/>
        <v>66</v>
      </c>
      <c r="C37" s="41">
        <f t="shared" si="1"/>
        <v>155773000</v>
      </c>
      <c r="D37" s="41">
        <f>D35</f>
        <v>2600000</v>
      </c>
      <c r="E37" s="453"/>
      <c r="F37" s="41"/>
      <c r="G37" s="41"/>
      <c r="H37" s="91"/>
      <c r="I37" s="91"/>
      <c r="J37" s="231"/>
    </row>
    <row r="38" spans="1:10" ht="12.75">
      <c r="A38" s="90">
        <v>40359</v>
      </c>
      <c r="B38" s="307">
        <f t="shared" si="0"/>
        <v>25</v>
      </c>
      <c r="C38" s="41">
        <f t="shared" si="1"/>
        <v>155773000</v>
      </c>
      <c r="D38" s="41"/>
      <c r="E38" s="453">
        <f>E36</f>
        <v>0.05967</v>
      </c>
      <c r="F38" s="41">
        <f>((C37+D37)*E38/360*B37)+((C38+D38)*E38/360*B38)</f>
        <v>2378005.80225</v>
      </c>
      <c r="G38" s="41">
        <f>((C37+D37)*$H$3/360*B37)+((C38+D38)*$H$3/360*B38)</f>
        <v>159410.47777777776</v>
      </c>
      <c r="H38" s="91"/>
      <c r="I38" s="91"/>
      <c r="J38" s="231"/>
    </row>
    <row r="39" spans="1:10" ht="12.75">
      <c r="A39" s="90">
        <v>40426</v>
      </c>
      <c r="B39" s="307">
        <f t="shared" si="0"/>
        <v>67</v>
      </c>
      <c r="C39" s="41">
        <f t="shared" si="1"/>
        <v>153173000</v>
      </c>
      <c r="D39" s="41">
        <f>D37</f>
        <v>2600000</v>
      </c>
      <c r="E39" s="453"/>
      <c r="F39" s="41"/>
      <c r="G39" s="41"/>
      <c r="H39" s="91"/>
      <c r="I39" s="91"/>
      <c r="J39" s="231"/>
    </row>
    <row r="40" spans="1:10" ht="12.75">
      <c r="A40" s="90">
        <v>40451</v>
      </c>
      <c r="B40" s="307">
        <f aca="true" t="shared" si="2" ref="B40:B71">A40-A39</f>
        <v>25</v>
      </c>
      <c r="C40" s="41">
        <f t="shared" si="1"/>
        <v>153173000</v>
      </c>
      <c r="D40" s="41"/>
      <c r="E40" s="453">
        <f>E38</f>
        <v>0.05967</v>
      </c>
      <c r="F40" s="41">
        <f>((C39+D39)*E40/360*B39)+((C40+D40)*E40/360*B40)</f>
        <v>2364608.727</v>
      </c>
      <c r="G40" s="41">
        <f>((C39+D39)*$H$3/360*B39)+((C40+D40)*$H$3/360*B40)</f>
        <v>158512.4</v>
      </c>
      <c r="H40" s="91"/>
      <c r="I40" s="91"/>
      <c r="J40" s="231"/>
    </row>
    <row r="41" spans="1:10" ht="12.75">
      <c r="A41" s="90">
        <v>40517</v>
      </c>
      <c r="B41" s="307">
        <f t="shared" si="2"/>
        <v>66</v>
      </c>
      <c r="C41" s="41">
        <f t="shared" si="1"/>
        <v>150573000</v>
      </c>
      <c r="D41" s="41">
        <f>D39</f>
        <v>2600000</v>
      </c>
      <c r="E41" s="453"/>
      <c r="F41" s="41"/>
      <c r="G41" s="41"/>
      <c r="H41" s="91"/>
      <c r="I41" s="91"/>
      <c r="J41" s="231"/>
    </row>
    <row r="42" spans="1:10" ht="12.75">
      <c r="A42" s="97">
        <v>40543</v>
      </c>
      <c r="B42" s="308">
        <f t="shared" si="2"/>
        <v>26</v>
      </c>
      <c r="C42" s="99">
        <f t="shared" si="1"/>
        <v>150573000</v>
      </c>
      <c r="D42" s="99"/>
      <c r="E42" s="452">
        <f>E40</f>
        <v>0.05967</v>
      </c>
      <c r="F42" s="41">
        <f>((C41+D41)*E42/360*B41)+((C42+D42)*E42/360*B42)</f>
        <v>2324530.3770000003</v>
      </c>
      <c r="G42" s="41">
        <f>((C41+D41)*$H$3/360*B41)+((C42+D42)*$H$3/360*B42)</f>
        <v>155825.73333333334</v>
      </c>
      <c r="H42" s="300">
        <f>SUM(F35:G42)</f>
        <v>10091225.433750002</v>
      </c>
      <c r="I42" s="300">
        <f>SUM(D35:D42)</f>
        <v>10400000</v>
      </c>
      <c r="J42" s="301">
        <f>SUM(H42:I42)</f>
        <v>20491225.433750004</v>
      </c>
    </row>
    <row r="43" spans="1:10" ht="12.75">
      <c r="A43" s="103">
        <v>40607</v>
      </c>
      <c r="B43" s="306">
        <f t="shared" si="2"/>
        <v>64</v>
      </c>
      <c r="C43" s="42">
        <f t="shared" si="1"/>
        <v>147973000</v>
      </c>
      <c r="D43" s="41">
        <f>D41</f>
        <v>2600000</v>
      </c>
      <c r="E43" s="456"/>
      <c r="F43" s="104"/>
      <c r="G43" s="104"/>
      <c r="H43" s="104"/>
      <c r="I43" s="104"/>
      <c r="J43" s="242"/>
    </row>
    <row r="44" spans="1:10" ht="12.75">
      <c r="A44" s="90">
        <v>40633</v>
      </c>
      <c r="B44" s="307">
        <f t="shared" si="2"/>
        <v>26</v>
      </c>
      <c r="C44" s="41">
        <f aca="true" t="shared" si="3" ref="C44:C75">C43-D44</f>
        <v>147973000</v>
      </c>
      <c r="D44" s="41"/>
      <c r="E44" s="453">
        <f>E42</f>
        <v>0.05967</v>
      </c>
      <c r="F44" s="41">
        <f>((C43+D43)*E44/360*B43)+((C44+D44)*E44/360*B44)</f>
        <v>2234968.0275</v>
      </c>
      <c r="G44" s="41">
        <f>((C43+D43)*$H$3/360*B43)+((C44+D44)*$H$3/360*B44)</f>
        <v>149821.88888888888</v>
      </c>
      <c r="H44" s="91"/>
      <c r="I44" s="91"/>
      <c r="J44" s="231"/>
    </row>
    <row r="45" spans="1:10" ht="12.75">
      <c r="A45" s="90">
        <v>40699</v>
      </c>
      <c r="B45" s="307">
        <f t="shared" si="2"/>
        <v>66</v>
      </c>
      <c r="C45" s="41">
        <f t="shared" si="3"/>
        <v>145373000</v>
      </c>
      <c r="D45" s="41">
        <f>D43</f>
        <v>2600000</v>
      </c>
      <c r="E45" s="453"/>
      <c r="F45" s="41"/>
      <c r="G45" s="41"/>
      <c r="H45" s="91"/>
      <c r="I45" s="91"/>
      <c r="J45" s="231"/>
    </row>
    <row r="46" spans="1:10" ht="12.75">
      <c r="A46" s="90">
        <v>40724</v>
      </c>
      <c r="B46" s="307">
        <f t="shared" si="2"/>
        <v>25</v>
      </c>
      <c r="C46" s="41">
        <f t="shared" si="3"/>
        <v>145373000</v>
      </c>
      <c r="D46" s="41"/>
      <c r="E46" s="453">
        <f>E44</f>
        <v>0.05967</v>
      </c>
      <c r="F46" s="41">
        <f>((C45+D45)*E46/360*B45)+((C46+D46)*E46/360*B46)</f>
        <v>2221140.00225</v>
      </c>
      <c r="G46" s="41">
        <f>((C45+D45)*$H$3/360*B45)+((C46+D46)*$H$3/360*B46)</f>
        <v>148894.9222222222</v>
      </c>
      <c r="H46" s="91"/>
      <c r="I46" s="91"/>
      <c r="J46" s="231"/>
    </row>
    <row r="47" spans="1:10" ht="12.75">
      <c r="A47" s="90">
        <v>40791</v>
      </c>
      <c r="B47" s="307">
        <f t="shared" si="2"/>
        <v>67</v>
      </c>
      <c r="C47" s="41">
        <f t="shared" si="3"/>
        <v>142773000</v>
      </c>
      <c r="D47" s="41">
        <f>D45</f>
        <v>2600000</v>
      </c>
      <c r="E47" s="453"/>
      <c r="F47" s="41"/>
      <c r="G47" s="41"/>
      <c r="H47" s="91"/>
      <c r="I47" s="91"/>
      <c r="J47" s="231"/>
    </row>
    <row r="48" spans="1:10" ht="12.75">
      <c r="A48" s="90">
        <v>40816</v>
      </c>
      <c r="B48" s="307">
        <f t="shared" si="2"/>
        <v>25</v>
      </c>
      <c r="C48" s="41">
        <f t="shared" si="3"/>
        <v>142773000</v>
      </c>
      <c r="D48" s="41"/>
      <c r="E48" s="453">
        <f>E46</f>
        <v>0.05967</v>
      </c>
      <c r="F48" s="41">
        <f>((C47+D47)*E48/360*B47)+((C48+D48)*E48/360*B48)</f>
        <v>2206019.127</v>
      </c>
      <c r="G48" s="41">
        <f>((C47+D47)*$H$3/360*B47)+((C48+D48)*$H$3/360*B48)</f>
        <v>147881.28888888887</v>
      </c>
      <c r="H48" s="91"/>
      <c r="I48" s="91"/>
      <c r="J48" s="231"/>
    </row>
    <row r="49" spans="1:10" ht="12.75">
      <c r="A49" s="90">
        <v>40882</v>
      </c>
      <c r="B49" s="307">
        <f t="shared" si="2"/>
        <v>66</v>
      </c>
      <c r="C49" s="41">
        <f t="shared" si="3"/>
        <v>140173000</v>
      </c>
      <c r="D49" s="41">
        <f>D47</f>
        <v>2600000</v>
      </c>
      <c r="E49" s="453"/>
      <c r="F49" s="41"/>
      <c r="G49" s="41"/>
      <c r="H49" s="91"/>
      <c r="I49" s="91"/>
      <c r="J49" s="231"/>
    </row>
    <row r="50" spans="1:10" ht="12.75">
      <c r="A50" s="97">
        <v>40908</v>
      </c>
      <c r="B50" s="308">
        <f t="shared" si="2"/>
        <v>26</v>
      </c>
      <c r="C50" s="99">
        <f t="shared" si="3"/>
        <v>140173000</v>
      </c>
      <c r="D50" s="99"/>
      <c r="E50" s="452">
        <f>E48</f>
        <v>0.05967</v>
      </c>
      <c r="F50" s="41">
        <f>((C49+D49)*E50/360*B49)+((C50+D50)*E50/360*B50)</f>
        <v>2165940.777</v>
      </c>
      <c r="G50" s="41">
        <f>((C49+D49)*$H$3/360*B49)+((C50+D50)*$H$3/360*B50)</f>
        <v>145194.6222222222</v>
      </c>
      <c r="H50" s="300">
        <f>SUM(F43:G50)</f>
        <v>9419860.65597222</v>
      </c>
      <c r="I50" s="300">
        <f>SUM(D43:D50)</f>
        <v>10400000</v>
      </c>
      <c r="J50" s="301">
        <f>SUM(H50:I50)</f>
        <v>19819860.65597222</v>
      </c>
    </row>
    <row r="51" spans="1:10" ht="12.75">
      <c r="A51" s="103">
        <v>40973</v>
      </c>
      <c r="B51" s="306">
        <f t="shared" si="2"/>
        <v>65</v>
      </c>
      <c r="C51" s="42">
        <f t="shared" si="3"/>
        <v>137573000</v>
      </c>
      <c r="D51" s="41">
        <f>D49</f>
        <v>2600000</v>
      </c>
      <c r="E51" s="456"/>
      <c r="F51" s="104"/>
      <c r="G51" s="104"/>
      <c r="H51" s="104"/>
      <c r="I51" s="104"/>
      <c r="J51" s="242"/>
    </row>
    <row r="52" spans="1:10" ht="12.75">
      <c r="A52" s="90">
        <v>40999</v>
      </c>
      <c r="B52" s="307">
        <f t="shared" si="2"/>
        <v>26</v>
      </c>
      <c r="C52" s="41">
        <f t="shared" si="3"/>
        <v>137573000</v>
      </c>
      <c r="D52" s="41"/>
      <c r="E52" s="453">
        <f>E50</f>
        <v>0.05967</v>
      </c>
      <c r="F52" s="41">
        <f>((C51+D51)*E52/360*B51)+((C52+D52)*E52/360*B52)</f>
        <v>2103059.70225</v>
      </c>
      <c r="G52" s="41">
        <f>((C51+D51)*$H$3/360*B51)+((C52+D52)*$H$3/360*B52)</f>
        <v>140979.36666666667</v>
      </c>
      <c r="H52" s="91"/>
      <c r="I52" s="91"/>
      <c r="J52" s="231"/>
    </row>
    <row r="53" spans="1:10" ht="12.75">
      <c r="A53" s="90">
        <v>41065</v>
      </c>
      <c r="B53" s="307">
        <f t="shared" si="2"/>
        <v>66</v>
      </c>
      <c r="C53" s="41">
        <f t="shared" si="3"/>
        <v>134973000</v>
      </c>
      <c r="D53" s="41">
        <f>D51</f>
        <v>2600000</v>
      </c>
      <c r="E53" s="453"/>
      <c r="F53" s="41"/>
      <c r="G53" s="41"/>
      <c r="H53" s="91"/>
      <c r="I53" s="91"/>
      <c r="J53" s="231"/>
    </row>
    <row r="54" spans="1:10" ht="12.75">
      <c r="A54" s="90">
        <v>41090</v>
      </c>
      <c r="B54" s="307">
        <f t="shared" si="2"/>
        <v>25</v>
      </c>
      <c r="C54" s="41">
        <f t="shared" si="3"/>
        <v>134973000</v>
      </c>
      <c r="D54" s="41"/>
      <c r="E54" s="453">
        <f>E52</f>
        <v>0.05967</v>
      </c>
      <c r="F54" s="41">
        <f>((C53+D53)*E54/360*B53)+((C54+D54)*E54/360*B54)</f>
        <v>2064274.20225</v>
      </c>
      <c r="G54" s="41">
        <f>((C53+D53)*$H$3/360*B53)+((C54+D54)*$H$3/360*B54)</f>
        <v>138379.36666666667</v>
      </c>
      <c r="H54" s="91"/>
      <c r="I54" s="91"/>
      <c r="J54" s="231"/>
    </row>
    <row r="55" spans="1:10" ht="12.75">
      <c r="A55" s="90">
        <v>41157</v>
      </c>
      <c r="B55" s="307">
        <f t="shared" si="2"/>
        <v>67</v>
      </c>
      <c r="C55" s="41">
        <f t="shared" si="3"/>
        <v>132373000</v>
      </c>
      <c r="D55" s="41">
        <f>D53</f>
        <v>2600000</v>
      </c>
      <c r="E55" s="453"/>
      <c r="F55" s="41"/>
      <c r="G55" s="41"/>
      <c r="H55" s="91"/>
      <c r="I55" s="91"/>
      <c r="J55" s="231"/>
    </row>
    <row r="56" spans="1:10" ht="12.75">
      <c r="A56" s="90">
        <v>41182</v>
      </c>
      <c r="B56" s="307">
        <f t="shared" si="2"/>
        <v>25</v>
      </c>
      <c r="C56" s="41">
        <f t="shared" si="3"/>
        <v>132373000</v>
      </c>
      <c r="D56" s="41"/>
      <c r="E56" s="453">
        <f>E54</f>
        <v>0.05967</v>
      </c>
      <c r="F56" s="41">
        <f>((C55+D55)*E56/360*B55)+((C56+D56)*E56/360*B56)</f>
        <v>2047429.5270000002</v>
      </c>
      <c r="G56" s="41">
        <f>((C55+D55)*$H$3/360*B55)+((C56+D56)*$H$3/360*B56)</f>
        <v>137250.17777777778</v>
      </c>
      <c r="H56" s="91"/>
      <c r="I56" s="91"/>
      <c r="J56" s="231"/>
    </row>
    <row r="57" spans="1:10" ht="12.75">
      <c r="A57" s="90">
        <v>41248</v>
      </c>
      <c r="B57" s="307">
        <f t="shared" si="2"/>
        <v>66</v>
      </c>
      <c r="C57" s="41">
        <f t="shared" si="3"/>
        <v>129773000</v>
      </c>
      <c r="D57" s="41">
        <f>D55</f>
        <v>2600000</v>
      </c>
      <c r="E57" s="453"/>
      <c r="F57" s="41"/>
      <c r="G57" s="41"/>
      <c r="H57" s="91"/>
      <c r="I57" s="91"/>
      <c r="J57" s="231"/>
    </row>
    <row r="58" spans="1:10" ht="12.75">
      <c r="A58" s="97">
        <v>41274</v>
      </c>
      <c r="B58" s="308">
        <f t="shared" si="2"/>
        <v>26</v>
      </c>
      <c r="C58" s="99">
        <f t="shared" si="3"/>
        <v>129773000</v>
      </c>
      <c r="D58" s="99"/>
      <c r="E58" s="452">
        <f>E56</f>
        <v>0.05967</v>
      </c>
      <c r="F58" s="41">
        <f>((C57+D57)*E58/360*B57)+((C58+D58)*E58/360*B58)</f>
        <v>2007351.1770000001</v>
      </c>
      <c r="G58" s="41">
        <f>((C57+D57)*$H$3/360*B57)+((C58+D58)*$H$3/360*B58)</f>
        <v>134563.51111111112</v>
      </c>
      <c r="H58" s="300">
        <f>SUM(F51:G58)</f>
        <v>8773287.030722221</v>
      </c>
      <c r="I58" s="300">
        <f>SUM(D51:D58)</f>
        <v>10400000</v>
      </c>
      <c r="J58" s="301">
        <f>SUM(H58:I58)</f>
        <v>19173287.030722223</v>
      </c>
    </row>
    <row r="59" spans="1:10" ht="12.75">
      <c r="A59" s="103">
        <v>41338</v>
      </c>
      <c r="B59" s="306">
        <f t="shared" si="2"/>
        <v>64</v>
      </c>
      <c r="C59" s="42">
        <f t="shared" si="3"/>
        <v>127173000</v>
      </c>
      <c r="D59" s="41">
        <f>D57</f>
        <v>2600000</v>
      </c>
      <c r="E59" s="456"/>
      <c r="F59" s="104"/>
      <c r="G59" s="104"/>
      <c r="H59" s="104"/>
      <c r="I59" s="104"/>
      <c r="J59" s="242"/>
    </row>
    <row r="60" spans="1:10" ht="12.75">
      <c r="A60" s="90">
        <v>41364</v>
      </c>
      <c r="B60" s="307">
        <f t="shared" si="2"/>
        <v>26</v>
      </c>
      <c r="C60" s="41">
        <f t="shared" si="3"/>
        <v>127173000</v>
      </c>
      <c r="D60" s="41"/>
      <c r="E60" s="453">
        <f>E58</f>
        <v>0.05967</v>
      </c>
      <c r="F60" s="41">
        <f>((C59+D59)*E60/360*B59)+((C60+D60)*E60/360*B60)</f>
        <v>1924684.0274999999</v>
      </c>
      <c r="G60" s="41">
        <f>((C59+D59)*$H$3/360*B59)+((C60+D60)*$H$3/360*B60)</f>
        <v>129021.88888888889</v>
      </c>
      <c r="H60" s="91"/>
      <c r="I60" s="91"/>
      <c r="J60" s="231"/>
    </row>
    <row r="61" spans="1:10" ht="12.75">
      <c r="A61" s="90">
        <v>41430</v>
      </c>
      <c r="B61" s="307">
        <f t="shared" si="2"/>
        <v>66</v>
      </c>
      <c r="C61" s="41">
        <f t="shared" si="3"/>
        <v>124573000</v>
      </c>
      <c r="D61" s="41">
        <f>D59</f>
        <v>2600000</v>
      </c>
      <c r="E61" s="453"/>
      <c r="F61" s="41"/>
      <c r="G61" s="41"/>
      <c r="H61" s="91"/>
      <c r="I61" s="91"/>
      <c r="J61" s="231"/>
    </row>
    <row r="62" spans="1:10" ht="12.75">
      <c r="A62" s="90">
        <v>41455</v>
      </c>
      <c r="B62" s="307">
        <f t="shared" si="2"/>
        <v>25</v>
      </c>
      <c r="C62" s="41">
        <f t="shared" si="3"/>
        <v>124573000</v>
      </c>
      <c r="D62" s="41"/>
      <c r="E62" s="453">
        <f>E60</f>
        <v>0.05967</v>
      </c>
      <c r="F62" s="41">
        <f>((C61+D61)*E62/360*B61)+((C62+D62)*E62/360*B62)</f>
        <v>1907408.4022500003</v>
      </c>
      <c r="G62" s="41">
        <f>((C61+D61)*$H$3/360*B61)+((C62+D62)*$H$3/360*B62)</f>
        <v>127863.8111111111</v>
      </c>
      <c r="H62" s="91"/>
      <c r="I62" s="91"/>
      <c r="J62" s="231"/>
    </row>
    <row r="63" spans="1:10" ht="12.75">
      <c r="A63" s="90">
        <v>41522</v>
      </c>
      <c r="B63" s="307">
        <f t="shared" si="2"/>
        <v>67</v>
      </c>
      <c r="C63" s="41">
        <f t="shared" si="3"/>
        <v>121973000</v>
      </c>
      <c r="D63" s="41">
        <f>D61</f>
        <v>2600000</v>
      </c>
      <c r="E63" s="453"/>
      <c r="F63" s="41"/>
      <c r="G63" s="41"/>
      <c r="H63" s="91"/>
      <c r="I63" s="91"/>
      <c r="J63" s="231"/>
    </row>
    <row r="64" spans="1:10" ht="12.75">
      <c r="A64" s="90">
        <v>41547</v>
      </c>
      <c r="B64" s="307">
        <f t="shared" si="2"/>
        <v>25</v>
      </c>
      <c r="C64" s="41">
        <f t="shared" si="3"/>
        <v>121973000</v>
      </c>
      <c r="D64" s="41"/>
      <c r="E64" s="453">
        <f>E62</f>
        <v>0.05967</v>
      </c>
      <c r="F64" s="41">
        <f>((C63+D63)*E64/360*B63)+((C64+D64)*E64/360*B64)</f>
        <v>1888839.9270000001</v>
      </c>
      <c r="G64" s="41">
        <f>((C63+D63)*$H$3/360*B63)+((C64+D64)*$H$3/360*B64)</f>
        <v>126619.06666666667</v>
      </c>
      <c r="H64" s="91"/>
      <c r="I64" s="91"/>
      <c r="J64" s="231"/>
    </row>
    <row r="65" spans="1:10" ht="12.75">
      <c r="A65" s="90">
        <v>41613</v>
      </c>
      <c r="B65" s="307">
        <f t="shared" si="2"/>
        <v>66</v>
      </c>
      <c r="C65" s="41">
        <f t="shared" si="3"/>
        <v>119373000</v>
      </c>
      <c r="D65" s="41">
        <f>D63</f>
        <v>2600000</v>
      </c>
      <c r="E65" s="453"/>
      <c r="F65" s="41"/>
      <c r="G65" s="41"/>
      <c r="H65" s="91"/>
      <c r="I65" s="91"/>
      <c r="J65" s="231"/>
    </row>
    <row r="66" spans="1:10" ht="12.75">
      <c r="A66" s="97">
        <v>41639</v>
      </c>
      <c r="B66" s="308">
        <f t="shared" si="2"/>
        <v>26</v>
      </c>
      <c r="C66" s="99">
        <f t="shared" si="3"/>
        <v>119373000</v>
      </c>
      <c r="D66" s="99"/>
      <c r="E66" s="452">
        <f>E64</f>
        <v>0.05967</v>
      </c>
      <c r="F66" s="41">
        <f>((C65+D65)*E66/360*B65)+((C66+D66)*E66/360*B66)</f>
        <v>1848761.577</v>
      </c>
      <c r="G66" s="41">
        <f>((C65+D65)*$H$3/360*B65)+((C66+D66)*$H$3/360*B66)</f>
        <v>123932.4</v>
      </c>
      <c r="H66" s="300">
        <f>SUM(F59:G66)</f>
        <v>8077131.100416668</v>
      </c>
      <c r="I66" s="300">
        <f>SUM(D59:D66)</f>
        <v>10400000</v>
      </c>
      <c r="J66" s="301">
        <f>SUM(H66:I66)</f>
        <v>18477131.100416668</v>
      </c>
    </row>
    <row r="67" spans="1:10" ht="12.75">
      <c r="A67" s="103">
        <v>41703</v>
      </c>
      <c r="B67" s="306">
        <f t="shared" si="2"/>
        <v>64</v>
      </c>
      <c r="C67" s="42">
        <f t="shared" si="3"/>
        <v>116773000</v>
      </c>
      <c r="D67" s="41">
        <f>D65</f>
        <v>2600000</v>
      </c>
      <c r="E67" s="456"/>
      <c r="F67" s="104"/>
      <c r="G67" s="104"/>
      <c r="H67" s="104"/>
      <c r="I67" s="104"/>
      <c r="J67" s="242"/>
    </row>
    <row r="68" spans="1:10" ht="12.75">
      <c r="A68" s="90">
        <v>41729</v>
      </c>
      <c r="B68" s="307">
        <f t="shared" si="2"/>
        <v>26</v>
      </c>
      <c r="C68" s="41">
        <f t="shared" si="3"/>
        <v>116773000</v>
      </c>
      <c r="D68" s="41"/>
      <c r="E68" s="453">
        <f>E66</f>
        <v>0.05967</v>
      </c>
      <c r="F68" s="41">
        <f>((C67+D67)*E68/360*B67)+((C68+D68)*E68/360*B68)</f>
        <v>1769542.0274999999</v>
      </c>
      <c r="G68" s="41">
        <f>((C67+D67)*$H$3/360*B67)+((C68+D68)*$H$3/360*B68)</f>
        <v>118621.88888888888</v>
      </c>
      <c r="H68" s="91"/>
      <c r="I68" s="91"/>
      <c r="J68" s="231"/>
    </row>
    <row r="69" spans="1:10" ht="12.75">
      <c r="A69" s="90">
        <v>41795</v>
      </c>
      <c r="B69" s="307">
        <f t="shared" si="2"/>
        <v>66</v>
      </c>
      <c r="C69" s="41">
        <f t="shared" si="3"/>
        <v>114173000</v>
      </c>
      <c r="D69" s="41">
        <f>D67</f>
        <v>2600000</v>
      </c>
      <c r="E69" s="453"/>
      <c r="F69" s="41"/>
      <c r="G69" s="41"/>
      <c r="H69" s="91"/>
      <c r="I69" s="91"/>
      <c r="J69" s="231"/>
    </row>
    <row r="70" spans="1:10" ht="12.75">
      <c r="A70" s="90">
        <v>41820</v>
      </c>
      <c r="B70" s="307">
        <f t="shared" si="2"/>
        <v>25</v>
      </c>
      <c r="C70" s="41">
        <f t="shared" si="3"/>
        <v>114173000</v>
      </c>
      <c r="D70" s="41"/>
      <c r="E70" s="453">
        <f>E68</f>
        <v>0.05967</v>
      </c>
      <c r="F70" s="41">
        <f>((C69+D69)*E70/360*B69)+((C70+D70)*E70/360*B70)</f>
        <v>1750542.60225</v>
      </c>
      <c r="G70" s="41">
        <f>((C69+D69)*$H$3/360*B69)+((C70+D70)*$H$3/360*B70)</f>
        <v>117348.25555555556</v>
      </c>
      <c r="H70" s="91"/>
      <c r="I70" s="91"/>
      <c r="J70" s="231"/>
    </row>
    <row r="71" spans="1:10" ht="12.75">
      <c r="A71" s="90">
        <v>41887</v>
      </c>
      <c r="B71" s="307">
        <f t="shared" si="2"/>
        <v>67</v>
      </c>
      <c r="C71" s="41">
        <f t="shared" si="3"/>
        <v>111573000</v>
      </c>
      <c r="D71" s="41">
        <f>D69</f>
        <v>2600000</v>
      </c>
      <c r="E71" s="453"/>
      <c r="F71" s="41"/>
      <c r="G71" s="41"/>
      <c r="H71" s="91"/>
      <c r="I71" s="91"/>
      <c r="J71" s="231"/>
    </row>
    <row r="72" spans="1:10" ht="12.75">
      <c r="A72" s="90">
        <v>41912</v>
      </c>
      <c r="B72" s="307">
        <f aca="true" t="shared" si="4" ref="B72:B103">A72-A71</f>
        <v>25</v>
      </c>
      <c r="C72" s="41">
        <f t="shared" si="3"/>
        <v>111573000</v>
      </c>
      <c r="D72" s="41"/>
      <c r="E72" s="453">
        <f>E70</f>
        <v>0.05967</v>
      </c>
      <c r="F72" s="41">
        <f>((C71+D71)*E72/360*B71)+((C72+D72)*E72/360*B72)</f>
        <v>1730250.327</v>
      </c>
      <c r="G72" s="41">
        <f>((C71+D71)*$H$3/360*B71)+((C72+D72)*$H$3/360*B72)</f>
        <v>115987.95555555556</v>
      </c>
      <c r="H72" s="91"/>
      <c r="I72" s="91"/>
      <c r="J72" s="231"/>
    </row>
    <row r="73" spans="1:10" ht="12.75">
      <c r="A73" s="90">
        <v>41978</v>
      </c>
      <c r="B73" s="307">
        <f t="shared" si="4"/>
        <v>66</v>
      </c>
      <c r="C73" s="41">
        <f t="shared" si="3"/>
        <v>108973000</v>
      </c>
      <c r="D73" s="41">
        <f>D71</f>
        <v>2600000</v>
      </c>
      <c r="E73" s="453"/>
      <c r="F73" s="41"/>
      <c r="G73" s="41"/>
      <c r="H73" s="91"/>
      <c r="I73" s="91"/>
      <c r="J73" s="231"/>
    </row>
    <row r="74" spans="1:10" ht="12.75">
      <c r="A74" s="97">
        <v>42004</v>
      </c>
      <c r="B74" s="308">
        <f t="shared" si="4"/>
        <v>26</v>
      </c>
      <c r="C74" s="99">
        <f t="shared" si="3"/>
        <v>108973000</v>
      </c>
      <c r="D74" s="99"/>
      <c r="E74" s="452">
        <f>E72</f>
        <v>0.05967</v>
      </c>
      <c r="F74" s="41">
        <f>((C73+D73)*E74/360*B73)+((C74+D74)*E74/360*B74)</f>
        <v>1690171.9770000002</v>
      </c>
      <c r="G74" s="41">
        <f>((C73+D73)*$H$3/360*B73)+((C74+D74)*$H$3/360*B74)</f>
        <v>113301.28888888888</v>
      </c>
      <c r="H74" s="300">
        <f>SUM(F67:G74)</f>
        <v>7405766.322638889</v>
      </c>
      <c r="I74" s="300">
        <f>SUM(D67:D74)</f>
        <v>10400000</v>
      </c>
      <c r="J74" s="301">
        <f>SUM(H74:I74)</f>
        <v>17805766.322638888</v>
      </c>
    </row>
    <row r="75" spans="1:10" ht="12.75">
      <c r="A75" s="103">
        <v>42068</v>
      </c>
      <c r="B75" s="306">
        <f t="shared" si="4"/>
        <v>64</v>
      </c>
      <c r="C75" s="42">
        <f t="shared" si="3"/>
        <v>106373000</v>
      </c>
      <c r="D75" s="41">
        <f>D73</f>
        <v>2600000</v>
      </c>
      <c r="E75" s="456"/>
      <c r="F75" s="104"/>
      <c r="G75" s="104"/>
      <c r="H75" s="104"/>
      <c r="I75" s="104"/>
      <c r="J75" s="242"/>
    </row>
    <row r="76" spans="1:10" ht="12.75">
      <c r="A76" s="90">
        <v>42094</v>
      </c>
      <c r="B76" s="307">
        <f t="shared" si="4"/>
        <v>26</v>
      </c>
      <c r="C76" s="41">
        <f aca="true" t="shared" si="5" ref="C76:C107">C75-D76</f>
        <v>106373000</v>
      </c>
      <c r="D76" s="41"/>
      <c r="E76" s="453">
        <f>E74</f>
        <v>0.05967</v>
      </c>
      <c r="F76" s="41">
        <f>((C75+D75)*E76/360*B75)+((C76+D76)*E76/360*B76)</f>
        <v>1614400.0275</v>
      </c>
      <c r="G76" s="41">
        <f>((C75+D75)*$H$3/360*B75)+((C76+D76)*$H$3/360*B76)</f>
        <v>108221.88888888889</v>
      </c>
      <c r="H76" s="91"/>
      <c r="I76" s="91"/>
      <c r="J76" s="231"/>
    </row>
    <row r="77" spans="1:10" ht="12.75">
      <c r="A77" s="90">
        <v>42160</v>
      </c>
      <c r="B77" s="307">
        <f t="shared" si="4"/>
        <v>66</v>
      </c>
      <c r="C77" s="41">
        <f t="shared" si="5"/>
        <v>103773000</v>
      </c>
      <c r="D77" s="41">
        <f>D75</f>
        <v>2600000</v>
      </c>
      <c r="E77" s="453"/>
      <c r="F77" s="41"/>
      <c r="G77" s="41"/>
      <c r="H77" s="91"/>
      <c r="I77" s="91"/>
      <c r="J77" s="231"/>
    </row>
    <row r="78" spans="1:10" ht="12.75">
      <c r="A78" s="90">
        <v>42185</v>
      </c>
      <c r="B78" s="307">
        <f t="shared" si="4"/>
        <v>25</v>
      </c>
      <c r="C78" s="41">
        <f t="shared" si="5"/>
        <v>103773000</v>
      </c>
      <c r="D78" s="41"/>
      <c r="E78" s="453">
        <f>E76</f>
        <v>0.05967</v>
      </c>
      <c r="F78" s="41">
        <f>((C77+D77)*E78/360*B77)+((C78+D78)*E78/360*B78)</f>
        <v>1593676.80225</v>
      </c>
      <c r="G78" s="41">
        <f>((C77+D77)*$H$3/360*B77)+((C78+D78)*$H$3/360*B78)</f>
        <v>106832.7</v>
      </c>
      <c r="H78" s="91"/>
      <c r="I78" s="91"/>
      <c r="J78" s="231"/>
    </row>
    <row r="79" spans="1:10" ht="12.75">
      <c r="A79" s="90">
        <v>42252</v>
      </c>
      <c r="B79" s="307">
        <f t="shared" si="4"/>
        <v>67</v>
      </c>
      <c r="C79" s="41">
        <f t="shared" si="5"/>
        <v>101173000</v>
      </c>
      <c r="D79" s="41">
        <f>D77</f>
        <v>2600000</v>
      </c>
      <c r="E79" s="453"/>
      <c r="F79" s="41"/>
      <c r="G79" s="41"/>
      <c r="H79" s="91"/>
      <c r="I79" s="91"/>
      <c r="J79" s="231"/>
    </row>
    <row r="80" spans="1:10" ht="12.75">
      <c r="A80" s="90">
        <v>42277</v>
      </c>
      <c r="B80" s="307">
        <f t="shared" si="4"/>
        <v>25</v>
      </c>
      <c r="C80" s="41">
        <f t="shared" si="5"/>
        <v>101173000</v>
      </c>
      <c r="D80" s="41"/>
      <c r="E80" s="453">
        <f>E78</f>
        <v>0.05967</v>
      </c>
      <c r="F80" s="41">
        <f>((C79+D79)*E80/360*B79)+((C80+D80)*E80/360*B80)</f>
        <v>1571660.727</v>
      </c>
      <c r="G80" s="41">
        <f>((C79+D79)*$H$3/360*B79)+((C80+D80)*$H$3/360*B80)</f>
        <v>105356.84444444445</v>
      </c>
      <c r="H80" s="91"/>
      <c r="I80" s="91"/>
      <c r="J80" s="231"/>
    </row>
    <row r="81" spans="1:10" ht="12.75">
      <c r="A81" s="90">
        <v>42343</v>
      </c>
      <c r="B81" s="307">
        <f t="shared" si="4"/>
        <v>66</v>
      </c>
      <c r="C81" s="41">
        <f t="shared" si="5"/>
        <v>98573000</v>
      </c>
      <c r="D81" s="41">
        <f>D79</f>
        <v>2600000</v>
      </c>
      <c r="E81" s="453"/>
      <c r="F81" s="41"/>
      <c r="G81" s="41"/>
      <c r="H81" s="91"/>
      <c r="I81" s="91"/>
      <c r="J81" s="231"/>
    </row>
    <row r="82" spans="1:10" ht="12.75">
      <c r="A82" s="97">
        <v>42369</v>
      </c>
      <c r="B82" s="308">
        <f t="shared" si="4"/>
        <v>26</v>
      </c>
      <c r="C82" s="99">
        <f t="shared" si="5"/>
        <v>98573000</v>
      </c>
      <c r="D82" s="99"/>
      <c r="E82" s="452">
        <f>E80</f>
        <v>0.05967</v>
      </c>
      <c r="F82" s="41">
        <f>((C81+D81)*E82/360*B81)+((C82+D82)*E82/360*B82)</f>
        <v>1531582.377</v>
      </c>
      <c r="G82" s="41">
        <f>((C81+D81)*$H$3/360*B81)+((C82+D82)*$H$3/360*B82)</f>
        <v>102670.17777777778</v>
      </c>
      <c r="H82" s="300">
        <f>SUM(F75:G82)</f>
        <v>6734401.544861111</v>
      </c>
      <c r="I82" s="300">
        <f>SUM(D75:D82)</f>
        <v>10400000</v>
      </c>
      <c r="J82" s="301">
        <f>SUM(H82:I82)</f>
        <v>17134401.54486111</v>
      </c>
    </row>
    <row r="83" spans="1:10" ht="12.75">
      <c r="A83" s="103">
        <v>42434</v>
      </c>
      <c r="B83" s="306">
        <f t="shared" si="4"/>
        <v>65</v>
      </c>
      <c r="C83" s="42">
        <f t="shared" si="5"/>
        <v>95973000</v>
      </c>
      <c r="D83" s="41">
        <f>D81</f>
        <v>2600000</v>
      </c>
      <c r="E83" s="456"/>
      <c r="F83" s="104"/>
      <c r="G83" s="104"/>
      <c r="H83" s="104"/>
      <c r="I83" s="104"/>
      <c r="J83" s="242"/>
    </row>
    <row r="84" spans="1:10" ht="12.75">
      <c r="A84" s="90">
        <v>42460</v>
      </c>
      <c r="B84" s="307">
        <f t="shared" si="4"/>
        <v>26</v>
      </c>
      <c r="C84" s="41">
        <f t="shared" si="5"/>
        <v>95973000</v>
      </c>
      <c r="D84" s="41"/>
      <c r="E84" s="453">
        <f>E82</f>
        <v>0.05967</v>
      </c>
      <c r="F84" s="41">
        <f>((C83+D83)*E84/360*B83)+((C84+D84)*E84/360*B84)</f>
        <v>1475596.5022500001</v>
      </c>
      <c r="G84" s="41">
        <f>((C83+D83)*$H$3/360*B83)+((C84+D84)*$H$3/360*B84)</f>
        <v>98917.14444444444</v>
      </c>
      <c r="H84" s="91"/>
      <c r="I84" s="91"/>
      <c r="J84" s="231"/>
    </row>
    <row r="85" spans="1:10" ht="12.75">
      <c r="A85" s="90">
        <v>42526</v>
      </c>
      <c r="B85" s="307">
        <f t="shared" si="4"/>
        <v>66</v>
      </c>
      <c r="C85" s="41">
        <f t="shared" si="5"/>
        <v>93373000</v>
      </c>
      <c r="D85" s="41">
        <f>D83</f>
        <v>2600000</v>
      </c>
      <c r="E85" s="453"/>
      <c r="F85" s="41"/>
      <c r="G85" s="41"/>
      <c r="H85" s="91"/>
      <c r="I85" s="91"/>
      <c r="J85" s="231"/>
    </row>
    <row r="86" spans="1:10" ht="12.75">
      <c r="A86" s="90">
        <v>42551</v>
      </c>
      <c r="B86" s="307">
        <f t="shared" si="4"/>
        <v>25</v>
      </c>
      <c r="C86" s="41">
        <f t="shared" si="5"/>
        <v>93373000</v>
      </c>
      <c r="D86" s="41"/>
      <c r="E86" s="453">
        <f>E84</f>
        <v>0.05967</v>
      </c>
      <c r="F86" s="41">
        <f>((C85+D85)*E86/360*B85)+((C86+D86)*E86/360*B86)</f>
        <v>1436811.00225</v>
      </c>
      <c r="G86" s="41">
        <f>((C85+D85)*$H$3/360*B85)+((C86+D86)*$H$3/360*B86)</f>
        <v>96317.14444444445</v>
      </c>
      <c r="H86" s="91"/>
      <c r="I86" s="91"/>
      <c r="J86" s="231"/>
    </row>
    <row r="87" spans="1:10" ht="12.75">
      <c r="A87" s="90">
        <v>42618</v>
      </c>
      <c r="B87" s="307">
        <f t="shared" si="4"/>
        <v>67</v>
      </c>
      <c r="C87" s="41">
        <f t="shared" si="5"/>
        <v>90773000</v>
      </c>
      <c r="D87" s="41">
        <f>D85</f>
        <v>2600000</v>
      </c>
      <c r="E87" s="453"/>
      <c r="F87" s="41"/>
      <c r="G87" s="41"/>
      <c r="H87" s="91"/>
      <c r="I87" s="91"/>
      <c r="J87" s="231"/>
    </row>
    <row r="88" spans="1:10" ht="12.75">
      <c r="A88" s="90">
        <v>42643</v>
      </c>
      <c r="B88" s="307">
        <f t="shared" si="4"/>
        <v>25</v>
      </c>
      <c r="C88" s="41">
        <f t="shared" si="5"/>
        <v>90773000</v>
      </c>
      <c r="D88" s="41"/>
      <c r="E88" s="453">
        <f>E86</f>
        <v>0.05967</v>
      </c>
      <c r="F88" s="41">
        <f>((C87+D87)*E88/360*B87)+((C88+D88)*E88/360*B88)</f>
        <v>1413071.1269999999</v>
      </c>
      <c r="G88" s="41">
        <f>((C87+D87)*$H$3/360*B87)+((C88+D88)*$H$3/360*B88)</f>
        <v>94725.73333333334</v>
      </c>
      <c r="H88" s="91"/>
      <c r="I88" s="91"/>
      <c r="J88" s="231"/>
    </row>
    <row r="89" spans="1:10" ht="12.75">
      <c r="A89" s="90">
        <v>42709</v>
      </c>
      <c r="B89" s="307">
        <f t="shared" si="4"/>
        <v>66</v>
      </c>
      <c r="C89" s="41">
        <f t="shared" si="5"/>
        <v>88173000</v>
      </c>
      <c r="D89" s="41">
        <f>D87</f>
        <v>2600000</v>
      </c>
      <c r="E89" s="453"/>
      <c r="F89" s="41"/>
      <c r="G89" s="41"/>
      <c r="H89" s="91"/>
      <c r="I89" s="91"/>
      <c r="J89" s="231"/>
    </row>
    <row r="90" spans="1:10" ht="12.75">
      <c r="A90" s="97">
        <v>42735</v>
      </c>
      <c r="B90" s="308">
        <f t="shared" si="4"/>
        <v>26</v>
      </c>
      <c r="C90" s="99">
        <f t="shared" si="5"/>
        <v>88173000</v>
      </c>
      <c r="D90" s="99"/>
      <c r="E90" s="452">
        <f>E88</f>
        <v>0.05967</v>
      </c>
      <c r="F90" s="41">
        <f>((C89+D89)*E90/360*B89)+((C90+D90)*E90/360*B90)</f>
        <v>1372992.7770000002</v>
      </c>
      <c r="G90" s="41">
        <f>((C89+D89)*$H$3/360*B89)+((C90+D90)*$H$3/360*B90)</f>
        <v>92039.06666666667</v>
      </c>
      <c r="H90" s="300">
        <f>SUM(F83:G90)</f>
        <v>6080470.497388888</v>
      </c>
      <c r="I90" s="300">
        <f>SUM(D83:D90)</f>
        <v>10400000</v>
      </c>
      <c r="J90" s="301">
        <f>SUM(H90:I90)</f>
        <v>16480470.497388888</v>
      </c>
    </row>
    <row r="91" spans="1:10" ht="12.75">
      <c r="A91" s="103">
        <v>42799</v>
      </c>
      <c r="B91" s="306">
        <f t="shared" si="4"/>
        <v>64</v>
      </c>
      <c r="C91" s="42">
        <f t="shared" si="5"/>
        <v>85573000</v>
      </c>
      <c r="D91" s="41">
        <f>D89</f>
        <v>2600000</v>
      </c>
      <c r="E91" s="456"/>
      <c r="F91" s="104"/>
      <c r="G91" s="104"/>
      <c r="H91" s="104"/>
      <c r="I91" s="104"/>
      <c r="J91" s="242"/>
    </row>
    <row r="92" spans="1:10" ht="12.75">
      <c r="A92" s="90">
        <v>42825</v>
      </c>
      <c r="B92" s="307">
        <f t="shared" si="4"/>
        <v>26</v>
      </c>
      <c r="C92" s="41">
        <f t="shared" si="5"/>
        <v>85573000</v>
      </c>
      <c r="D92" s="41"/>
      <c r="E92" s="453">
        <f>E90</f>
        <v>0.05967</v>
      </c>
      <c r="F92" s="41">
        <f>((C91+D91)*E92/360*B91)+((C92+D92)*E92/360*B92)</f>
        <v>1304116.0275</v>
      </c>
      <c r="G92" s="41">
        <f>((C91+D91)*$H$3/360*B91)+((C92+D92)*$H$3/360*B92)</f>
        <v>87421.88888888889</v>
      </c>
      <c r="H92" s="91"/>
      <c r="I92" s="91"/>
      <c r="J92" s="231"/>
    </row>
    <row r="93" spans="1:10" ht="12.75">
      <c r="A93" s="90">
        <v>42891</v>
      </c>
      <c r="B93" s="307">
        <f t="shared" si="4"/>
        <v>66</v>
      </c>
      <c r="C93" s="41">
        <f t="shared" si="5"/>
        <v>82973000</v>
      </c>
      <c r="D93" s="41">
        <f>D91</f>
        <v>2600000</v>
      </c>
      <c r="E93" s="453"/>
      <c r="F93" s="41"/>
      <c r="G93" s="41"/>
      <c r="H93" s="91"/>
      <c r="I93" s="91"/>
      <c r="J93" s="231"/>
    </row>
    <row r="94" spans="1:10" ht="12.75">
      <c r="A94" s="90">
        <v>42916</v>
      </c>
      <c r="B94" s="307">
        <f t="shared" si="4"/>
        <v>25</v>
      </c>
      <c r="C94" s="41">
        <f t="shared" si="5"/>
        <v>82973000</v>
      </c>
      <c r="D94" s="41"/>
      <c r="E94" s="453">
        <f>E92</f>
        <v>0.05967</v>
      </c>
      <c r="F94" s="41">
        <f>((C93+D93)*E94/360*B93)+((C94+D94)*E94/360*B94)</f>
        <v>1279945.20225</v>
      </c>
      <c r="G94" s="41">
        <f>((C93+D93)*$H$3/360*B93)+((C94+D94)*$H$3/360*B94)</f>
        <v>85801.58888888889</v>
      </c>
      <c r="H94" s="91"/>
      <c r="I94" s="91"/>
      <c r="J94" s="231"/>
    </row>
    <row r="95" spans="1:10" ht="12.75">
      <c r="A95" s="90">
        <v>42983</v>
      </c>
      <c r="B95" s="307">
        <f t="shared" si="4"/>
        <v>67</v>
      </c>
      <c r="C95" s="41">
        <f t="shared" si="5"/>
        <v>80373000</v>
      </c>
      <c r="D95" s="41">
        <f>D93</f>
        <v>2600000</v>
      </c>
      <c r="E95" s="453"/>
      <c r="F95" s="41"/>
      <c r="G95" s="41"/>
      <c r="H95" s="91"/>
      <c r="I95" s="91"/>
      <c r="J95" s="231"/>
    </row>
    <row r="96" spans="1:10" ht="12.75">
      <c r="A96" s="90">
        <v>43008</v>
      </c>
      <c r="B96" s="307">
        <f t="shared" si="4"/>
        <v>25</v>
      </c>
      <c r="C96" s="41">
        <f t="shared" si="5"/>
        <v>80373000</v>
      </c>
      <c r="D96" s="41"/>
      <c r="E96" s="453">
        <f>E94</f>
        <v>0.05967</v>
      </c>
      <c r="F96" s="41">
        <f>((C95+D95)*E96/360*B95)+((C96+D96)*E96/360*B96)</f>
        <v>1254481.527</v>
      </c>
      <c r="G96" s="41">
        <f>((C95+D95)*$H$3/360*B95)+((C96+D96)*$H$3/360*B96)</f>
        <v>84094.62222222223</v>
      </c>
      <c r="H96" s="91"/>
      <c r="I96" s="91"/>
      <c r="J96" s="231"/>
    </row>
    <row r="97" spans="1:10" ht="12.75">
      <c r="A97" s="90">
        <v>43074</v>
      </c>
      <c r="B97" s="307">
        <f t="shared" si="4"/>
        <v>66</v>
      </c>
      <c r="C97" s="41">
        <f t="shared" si="5"/>
        <v>77773000</v>
      </c>
      <c r="D97" s="41">
        <f>D95</f>
        <v>2600000</v>
      </c>
      <c r="E97" s="453"/>
      <c r="F97" s="41"/>
      <c r="G97" s="41"/>
      <c r="H97" s="91"/>
      <c r="I97" s="91"/>
      <c r="J97" s="231"/>
    </row>
    <row r="98" spans="1:10" ht="12.75">
      <c r="A98" s="97">
        <v>43100</v>
      </c>
      <c r="B98" s="308">
        <f t="shared" si="4"/>
        <v>26</v>
      </c>
      <c r="C98" s="99">
        <f t="shared" si="5"/>
        <v>77773000</v>
      </c>
      <c r="D98" s="99"/>
      <c r="E98" s="452">
        <f>E96</f>
        <v>0.05967</v>
      </c>
      <c r="F98" s="41">
        <f>((C97+D97)*E98/360*B97)+((C98+D98)*E98/360*B98)</f>
        <v>1214403.1770000001</v>
      </c>
      <c r="G98" s="41">
        <f>((C97+D97)*$H$3/360*B97)+((C98+D98)*$H$3/360*B98)</f>
        <v>81407.95555555556</v>
      </c>
      <c r="H98" s="300">
        <f>SUM(F91:G98)</f>
        <v>5391671.989305556</v>
      </c>
      <c r="I98" s="300">
        <f>SUM(D91:D98)</f>
        <v>10400000</v>
      </c>
      <c r="J98" s="301">
        <f>SUM(H98:I98)</f>
        <v>15791671.989305556</v>
      </c>
    </row>
    <row r="99" spans="1:10" ht="12.75">
      <c r="A99" s="103">
        <v>43164</v>
      </c>
      <c r="B99" s="306">
        <f t="shared" si="4"/>
        <v>64</v>
      </c>
      <c r="C99" s="42">
        <f t="shared" si="5"/>
        <v>75173000</v>
      </c>
      <c r="D99" s="41">
        <f>D97</f>
        <v>2600000</v>
      </c>
      <c r="E99" s="456"/>
      <c r="F99" s="104"/>
      <c r="G99" s="104"/>
      <c r="H99" s="104"/>
      <c r="I99" s="104"/>
      <c r="J99" s="242"/>
    </row>
    <row r="100" spans="1:10" ht="12.75">
      <c r="A100" s="90">
        <v>43190</v>
      </c>
      <c r="B100" s="307">
        <f t="shared" si="4"/>
        <v>26</v>
      </c>
      <c r="C100" s="41">
        <f t="shared" si="5"/>
        <v>75173000</v>
      </c>
      <c r="D100" s="41"/>
      <c r="E100" s="453">
        <f>E98</f>
        <v>0.05967</v>
      </c>
      <c r="F100" s="41">
        <f>((C99+D99)*E100/360*B99)+((C100+D100)*E100/360*B100)</f>
        <v>1148974.0275</v>
      </c>
      <c r="G100" s="41">
        <f>((C99+D99)*$H$3/360*B99)+((C100+D100)*$H$3/360*B100)</f>
        <v>77021.88888888889</v>
      </c>
      <c r="H100" s="91"/>
      <c r="I100" s="91"/>
      <c r="J100" s="231"/>
    </row>
    <row r="101" spans="1:10" ht="12.75">
      <c r="A101" s="90">
        <v>43256</v>
      </c>
      <c r="B101" s="307">
        <f t="shared" si="4"/>
        <v>66</v>
      </c>
      <c r="C101" s="41">
        <f t="shared" si="5"/>
        <v>72573000</v>
      </c>
      <c r="D101" s="41">
        <f>D99</f>
        <v>2600000</v>
      </c>
      <c r="E101" s="453"/>
      <c r="F101" s="41"/>
      <c r="G101" s="41"/>
      <c r="H101" s="91"/>
      <c r="I101" s="91"/>
      <c r="J101" s="231"/>
    </row>
    <row r="102" spans="1:10" ht="12.75">
      <c r="A102" s="90">
        <v>43281</v>
      </c>
      <c r="B102" s="307">
        <f t="shared" si="4"/>
        <v>25</v>
      </c>
      <c r="C102" s="41">
        <f t="shared" si="5"/>
        <v>72573000</v>
      </c>
      <c r="D102" s="41"/>
      <c r="E102" s="453">
        <f>E100</f>
        <v>0.05967</v>
      </c>
      <c r="F102" s="41">
        <f>((C101+D101)*E102/360*B101)+((C102+D102)*E102/360*B102)</f>
        <v>1123079.40225</v>
      </c>
      <c r="G102" s="41">
        <f>((C101+D101)*$H$3/360*B101)+((C102+D102)*$H$3/360*B102)</f>
        <v>75286.03333333334</v>
      </c>
      <c r="H102" s="91"/>
      <c r="I102" s="91"/>
      <c r="J102" s="231"/>
    </row>
    <row r="103" spans="1:10" ht="12.75">
      <c r="A103" s="90">
        <v>43348</v>
      </c>
      <c r="B103" s="307">
        <f t="shared" si="4"/>
        <v>67</v>
      </c>
      <c r="C103" s="41">
        <f t="shared" si="5"/>
        <v>69973000</v>
      </c>
      <c r="D103" s="41">
        <f>D101</f>
        <v>2600000</v>
      </c>
      <c r="E103" s="453"/>
      <c r="F103" s="41"/>
      <c r="G103" s="41"/>
      <c r="H103" s="91"/>
      <c r="I103" s="91"/>
      <c r="J103" s="231"/>
    </row>
    <row r="104" spans="1:10" ht="12.75">
      <c r="A104" s="90">
        <v>43373</v>
      </c>
      <c r="B104" s="307">
        <f aca="true" t="shared" si="6" ref="B104:B135">A104-A103</f>
        <v>25</v>
      </c>
      <c r="C104" s="41">
        <f t="shared" si="5"/>
        <v>69973000</v>
      </c>
      <c r="D104" s="41"/>
      <c r="E104" s="453">
        <f>E102</f>
        <v>0.05967</v>
      </c>
      <c r="F104" s="41">
        <f>((C103+D103)*E104/360*B103)+((C104+D104)*E104/360*B104)</f>
        <v>1095891.9270000001</v>
      </c>
      <c r="G104" s="41">
        <f>((C103+D103)*$H$3/360*B103)+((C104+D104)*$H$3/360*B104)</f>
        <v>73463.51111111112</v>
      </c>
      <c r="H104" s="91"/>
      <c r="I104" s="91"/>
      <c r="J104" s="231"/>
    </row>
    <row r="105" spans="1:10" ht="12.75">
      <c r="A105" s="90">
        <v>43439</v>
      </c>
      <c r="B105" s="307">
        <f t="shared" si="6"/>
        <v>66</v>
      </c>
      <c r="C105" s="41">
        <f t="shared" si="5"/>
        <v>67373000</v>
      </c>
      <c r="D105" s="41">
        <f>D103</f>
        <v>2600000</v>
      </c>
      <c r="E105" s="453"/>
      <c r="F105" s="41"/>
      <c r="G105" s="41"/>
      <c r="H105" s="91"/>
      <c r="I105" s="91"/>
      <c r="J105" s="231"/>
    </row>
    <row r="106" spans="1:10" ht="12.75">
      <c r="A106" s="97">
        <v>43465</v>
      </c>
      <c r="B106" s="308">
        <f t="shared" si="6"/>
        <v>26</v>
      </c>
      <c r="C106" s="99">
        <f t="shared" si="5"/>
        <v>67373000</v>
      </c>
      <c r="D106" s="99"/>
      <c r="E106" s="452">
        <f>E104</f>
        <v>0.05967</v>
      </c>
      <c r="F106" s="41">
        <f>((C105+D105)*E106/360*B105)+((C106+D106)*E106/360*B106)</f>
        <v>1055813.577</v>
      </c>
      <c r="G106" s="41">
        <f>((C105+D105)*$H$3/360*B105)+((C106+D106)*$H$3/360*B106)</f>
        <v>70776.84444444445</v>
      </c>
      <c r="H106" s="300">
        <f>SUM(F99:G106)</f>
        <v>4720307.211527778</v>
      </c>
      <c r="I106" s="300">
        <f>SUM(D99:D106)</f>
        <v>10400000</v>
      </c>
      <c r="J106" s="301">
        <f>SUM(H106:I106)</f>
        <v>15120307.211527778</v>
      </c>
    </row>
    <row r="107" spans="1:10" ht="12.75">
      <c r="A107" s="103">
        <v>43529</v>
      </c>
      <c r="B107" s="306">
        <f t="shared" si="6"/>
        <v>64</v>
      </c>
      <c r="C107" s="42">
        <f t="shared" si="5"/>
        <v>64773000</v>
      </c>
      <c r="D107" s="41">
        <f>D105</f>
        <v>2600000</v>
      </c>
      <c r="E107" s="456"/>
      <c r="F107" s="104"/>
      <c r="G107" s="104"/>
      <c r="H107" s="104"/>
      <c r="I107" s="104"/>
      <c r="J107" s="242"/>
    </row>
    <row r="108" spans="1:10" ht="12.75">
      <c r="A108" s="90">
        <v>43555</v>
      </c>
      <c r="B108" s="307">
        <f t="shared" si="6"/>
        <v>26</v>
      </c>
      <c r="C108" s="41">
        <f aca="true" t="shared" si="7" ref="C108:C139">C107-D108</f>
        <v>64773000</v>
      </c>
      <c r="D108" s="41"/>
      <c r="E108" s="453">
        <f>E106</f>
        <v>0.05967</v>
      </c>
      <c r="F108" s="41">
        <f>((C107+D107)*E108/360*B107)+((C108+D108)*E108/360*B108)</f>
        <v>993832.0275000001</v>
      </c>
      <c r="G108" s="41">
        <f>((C107+D107)*$H$3/360*B107)+((C108+D108)*$H$3/360*B108)</f>
        <v>66621.88888888889</v>
      </c>
      <c r="H108" s="91"/>
      <c r="I108" s="91"/>
      <c r="J108" s="231"/>
    </row>
    <row r="109" spans="1:10" ht="12.75">
      <c r="A109" s="90">
        <v>43621</v>
      </c>
      <c r="B109" s="307">
        <f t="shared" si="6"/>
        <v>66</v>
      </c>
      <c r="C109" s="41">
        <f t="shared" si="7"/>
        <v>62173000</v>
      </c>
      <c r="D109" s="41">
        <f>D107</f>
        <v>2600000</v>
      </c>
      <c r="E109" s="453"/>
      <c r="F109" s="41"/>
      <c r="G109" s="41"/>
      <c r="H109" s="91"/>
      <c r="I109" s="91"/>
      <c r="J109" s="231"/>
    </row>
    <row r="110" spans="1:10" ht="12.75">
      <c r="A110" s="90">
        <v>43646</v>
      </c>
      <c r="B110" s="307">
        <f t="shared" si="6"/>
        <v>25</v>
      </c>
      <c r="C110" s="41">
        <f t="shared" si="7"/>
        <v>62173000</v>
      </c>
      <c r="D110" s="41"/>
      <c r="E110" s="453">
        <f>E108</f>
        <v>0.05967</v>
      </c>
      <c r="F110" s="41">
        <f>((C109+D109)*E110/360*B109)+((C110+D110)*E110/360*B110)</f>
        <v>966213.6022500001</v>
      </c>
      <c r="G110" s="41">
        <f>((C109+D109)*$H$3/360*B109)+((C110+D110)*$H$3/360*B110)</f>
        <v>64770.47777777778</v>
      </c>
      <c r="H110" s="91"/>
      <c r="I110" s="91"/>
      <c r="J110" s="231"/>
    </row>
    <row r="111" spans="1:10" ht="12.75">
      <c r="A111" s="90">
        <v>43713</v>
      </c>
      <c r="B111" s="307">
        <f t="shared" si="6"/>
        <v>67</v>
      </c>
      <c r="C111" s="41">
        <f t="shared" si="7"/>
        <v>59573000</v>
      </c>
      <c r="D111" s="41">
        <f>D109</f>
        <v>2600000</v>
      </c>
      <c r="E111" s="453"/>
      <c r="F111" s="41"/>
      <c r="G111" s="41"/>
      <c r="H111" s="91"/>
      <c r="I111" s="91"/>
      <c r="J111" s="231"/>
    </row>
    <row r="112" spans="1:10" ht="12.75">
      <c r="A112" s="90">
        <v>43738</v>
      </c>
      <c r="B112" s="307">
        <f t="shared" si="6"/>
        <v>25</v>
      </c>
      <c r="C112" s="41">
        <f t="shared" si="7"/>
        <v>59573000</v>
      </c>
      <c r="D112" s="41"/>
      <c r="E112" s="453">
        <f>E110</f>
        <v>0.05967</v>
      </c>
      <c r="F112" s="41">
        <f>((C111+D111)*E112/360*B111)+((C112+D112)*E112/360*B112)</f>
        <v>937302.327</v>
      </c>
      <c r="G112" s="41">
        <f>((C111+D111)*$H$3/360*B111)+((C112+D112)*$H$3/360*B112)</f>
        <v>62832.4</v>
      </c>
      <c r="H112" s="91"/>
      <c r="I112" s="91"/>
      <c r="J112" s="231"/>
    </row>
    <row r="113" spans="1:10" ht="12.75">
      <c r="A113" s="90">
        <v>43804</v>
      </c>
      <c r="B113" s="307">
        <f t="shared" si="6"/>
        <v>66</v>
      </c>
      <c r="C113" s="41">
        <f t="shared" si="7"/>
        <v>56973000</v>
      </c>
      <c r="D113" s="41">
        <f>D111</f>
        <v>2600000</v>
      </c>
      <c r="E113" s="453"/>
      <c r="F113" s="41"/>
      <c r="G113" s="41"/>
      <c r="H113" s="91"/>
      <c r="I113" s="91"/>
      <c r="J113" s="231"/>
    </row>
    <row r="114" spans="1:10" ht="12.75">
      <c r="A114" s="97">
        <v>43830</v>
      </c>
      <c r="B114" s="308">
        <f t="shared" si="6"/>
        <v>26</v>
      </c>
      <c r="C114" s="99">
        <f t="shared" si="7"/>
        <v>56973000</v>
      </c>
      <c r="D114" s="99"/>
      <c r="E114" s="452">
        <f>E112</f>
        <v>0.05967</v>
      </c>
      <c r="F114" s="41">
        <f>((C113+D113)*E114/360*B113)+((C114+D114)*E114/360*B114)</f>
        <v>897223.9770000001</v>
      </c>
      <c r="G114" s="41">
        <f>((C113+D113)*$H$3/360*B113)+((C114+D114)*$H$3/360*B114)</f>
        <v>60145.73333333334</v>
      </c>
      <c r="H114" s="300">
        <f>SUM(F107:G114)</f>
        <v>4048942.4337500003</v>
      </c>
      <c r="I114" s="300">
        <f>SUM(D107:D114)</f>
        <v>10400000</v>
      </c>
      <c r="J114" s="301">
        <f>SUM(H114:I114)</f>
        <v>14448942.43375</v>
      </c>
    </row>
    <row r="115" spans="1:10" ht="12.75">
      <c r="A115" s="103">
        <v>43895</v>
      </c>
      <c r="B115" s="306">
        <f t="shared" si="6"/>
        <v>65</v>
      </c>
      <c r="C115" s="42">
        <f t="shared" si="7"/>
        <v>54373000</v>
      </c>
      <c r="D115" s="41">
        <f>D113</f>
        <v>2600000</v>
      </c>
      <c r="E115" s="456"/>
      <c r="F115" s="104"/>
      <c r="G115" s="104"/>
      <c r="H115" s="104"/>
      <c r="I115" s="104"/>
      <c r="J115" s="242"/>
    </row>
    <row r="116" spans="1:10" ht="12.75">
      <c r="A116" s="90">
        <v>43921</v>
      </c>
      <c r="B116" s="307">
        <f t="shared" si="6"/>
        <v>26</v>
      </c>
      <c r="C116" s="41">
        <f t="shared" si="7"/>
        <v>54373000</v>
      </c>
      <c r="D116" s="41"/>
      <c r="E116" s="453">
        <f>E114</f>
        <v>0.05967</v>
      </c>
      <c r="F116" s="41">
        <f>((C115+D115)*E116/360*B115)+((C116+D116)*E116/360*B116)</f>
        <v>848133.30225</v>
      </c>
      <c r="G116" s="41">
        <f>((C115+D115)*$H$3/360*B115)+((C116+D116)*$H$3/360*B116)</f>
        <v>56854.922222222216</v>
      </c>
      <c r="H116" s="91"/>
      <c r="I116" s="91"/>
      <c r="J116" s="231"/>
    </row>
    <row r="117" spans="1:10" ht="12.75">
      <c r="A117" s="90">
        <v>43987</v>
      </c>
      <c r="B117" s="307">
        <f t="shared" si="6"/>
        <v>66</v>
      </c>
      <c r="C117" s="41">
        <f t="shared" si="7"/>
        <v>51773000</v>
      </c>
      <c r="D117" s="41">
        <f>D115</f>
        <v>2600000</v>
      </c>
      <c r="E117" s="453"/>
      <c r="F117" s="41"/>
      <c r="G117" s="41"/>
      <c r="H117" s="91"/>
      <c r="I117" s="91"/>
      <c r="J117" s="231"/>
    </row>
    <row r="118" spans="1:10" ht="12.75">
      <c r="A118" s="90">
        <v>44012</v>
      </c>
      <c r="B118" s="307">
        <f t="shared" si="6"/>
        <v>25</v>
      </c>
      <c r="C118" s="41">
        <f t="shared" si="7"/>
        <v>51773000</v>
      </c>
      <c r="D118" s="41"/>
      <c r="E118" s="453">
        <f>E116</f>
        <v>0.05967</v>
      </c>
      <c r="F118" s="41">
        <f>((C117+D117)*E118/360*B117)+((C118+D118)*E118/360*B118)</f>
        <v>809347.8022500001</v>
      </c>
      <c r="G118" s="41">
        <f>((C117+D117)*$H$3/360*B117)+((C118+D118)*$H$3/360*B118)</f>
        <v>54254.92222222222</v>
      </c>
      <c r="H118" s="91"/>
      <c r="I118" s="91"/>
      <c r="J118" s="231"/>
    </row>
    <row r="119" spans="1:10" ht="12.75">
      <c r="A119" s="90">
        <v>44079</v>
      </c>
      <c r="B119" s="307">
        <f t="shared" si="6"/>
        <v>67</v>
      </c>
      <c r="C119" s="41">
        <f t="shared" si="7"/>
        <v>49173000</v>
      </c>
      <c r="D119" s="41">
        <f>D117</f>
        <v>2600000</v>
      </c>
      <c r="E119" s="453"/>
      <c r="F119" s="41"/>
      <c r="G119" s="41"/>
      <c r="H119" s="91"/>
      <c r="I119" s="91"/>
      <c r="J119" s="231"/>
    </row>
    <row r="120" spans="1:10" ht="12.75">
      <c r="A120" s="90">
        <v>44104</v>
      </c>
      <c r="B120" s="307">
        <f t="shared" si="6"/>
        <v>25</v>
      </c>
      <c r="C120" s="41">
        <f t="shared" si="7"/>
        <v>49173000</v>
      </c>
      <c r="D120" s="41"/>
      <c r="E120" s="453">
        <f>E118</f>
        <v>0.05967</v>
      </c>
      <c r="F120" s="41">
        <f>((C119+D119)*E120/360*B119)+((C120+D120)*E120/360*B120)</f>
        <v>778712.7270000001</v>
      </c>
      <c r="G120" s="41">
        <f>((C119+D119)*$H$3/360*B119)+((C120+D120)*$H$3/360*B120)</f>
        <v>52201.28888888889</v>
      </c>
      <c r="H120" s="91"/>
      <c r="I120" s="91"/>
      <c r="J120" s="231"/>
    </row>
    <row r="121" spans="1:10" ht="12.75">
      <c r="A121" s="90">
        <v>44170</v>
      </c>
      <c r="B121" s="307">
        <f t="shared" si="6"/>
        <v>66</v>
      </c>
      <c r="C121" s="41">
        <f t="shared" si="7"/>
        <v>46573000</v>
      </c>
      <c r="D121" s="41">
        <f>D119</f>
        <v>2600000</v>
      </c>
      <c r="E121" s="453"/>
      <c r="F121" s="41"/>
      <c r="G121" s="41"/>
      <c r="H121" s="91"/>
      <c r="I121" s="91"/>
      <c r="J121" s="231"/>
    </row>
    <row r="122" spans="1:10" ht="12.75">
      <c r="A122" s="97">
        <v>44196</v>
      </c>
      <c r="B122" s="308">
        <f t="shared" si="6"/>
        <v>26</v>
      </c>
      <c r="C122" s="99">
        <f t="shared" si="7"/>
        <v>46573000</v>
      </c>
      <c r="D122" s="99"/>
      <c r="E122" s="452">
        <f>E120</f>
        <v>0.05967</v>
      </c>
      <c r="F122" s="41">
        <f>((C121+D121)*E122/360*B121)+((C122+D122)*E122/360*B122)</f>
        <v>738634.3770000001</v>
      </c>
      <c r="G122" s="41">
        <f>((C121+D121)*$H$3/360*B121)+((C122+D122)*$H$3/360*B122)</f>
        <v>49514.62222222222</v>
      </c>
      <c r="H122" s="300">
        <f>SUM(F115:G122)</f>
        <v>3387653.964055556</v>
      </c>
      <c r="I122" s="300">
        <f>SUM(D115:D122)</f>
        <v>10400000</v>
      </c>
      <c r="J122" s="301">
        <f>SUM(H122:I122)</f>
        <v>13787653.964055557</v>
      </c>
    </row>
    <row r="123" spans="1:10" ht="12.75">
      <c r="A123" s="103">
        <v>44260</v>
      </c>
      <c r="B123" s="306">
        <f t="shared" si="6"/>
        <v>64</v>
      </c>
      <c r="C123" s="42">
        <f t="shared" si="7"/>
        <v>43973000</v>
      </c>
      <c r="D123" s="41">
        <f>D121</f>
        <v>2600000</v>
      </c>
      <c r="E123" s="456"/>
      <c r="F123" s="104"/>
      <c r="G123" s="104"/>
      <c r="H123" s="104"/>
      <c r="I123" s="104"/>
      <c r="J123" s="242"/>
    </row>
    <row r="124" spans="1:10" ht="12.75">
      <c r="A124" s="90">
        <v>44286</v>
      </c>
      <c r="B124" s="307">
        <f t="shared" si="6"/>
        <v>26</v>
      </c>
      <c r="C124" s="41">
        <f t="shared" si="7"/>
        <v>43973000</v>
      </c>
      <c r="D124" s="41"/>
      <c r="E124" s="453">
        <f>E122</f>
        <v>0.05967</v>
      </c>
      <c r="F124" s="41">
        <f>((C123+D123)*E124/360*B123)+((C124+D124)*E124/360*B124)</f>
        <v>683548.0275000001</v>
      </c>
      <c r="G124" s="41">
        <f>((C123+D123)*$H$3/360*B123)+((C124+D124)*$H$3/360*B124)</f>
        <v>45821.88888888889</v>
      </c>
      <c r="H124" s="91"/>
      <c r="I124" s="91"/>
      <c r="J124" s="231"/>
    </row>
    <row r="125" spans="1:10" ht="12.75">
      <c r="A125" s="90">
        <v>44352</v>
      </c>
      <c r="B125" s="307">
        <f t="shared" si="6"/>
        <v>66</v>
      </c>
      <c r="C125" s="41">
        <f t="shared" si="7"/>
        <v>41373000</v>
      </c>
      <c r="D125" s="41">
        <f>D123</f>
        <v>2600000</v>
      </c>
      <c r="E125" s="453"/>
      <c r="F125" s="41"/>
      <c r="G125" s="41"/>
      <c r="H125" s="91"/>
      <c r="I125" s="91"/>
      <c r="J125" s="231"/>
    </row>
    <row r="126" spans="1:10" ht="12.75">
      <c r="A126" s="90">
        <v>44377</v>
      </c>
      <c r="B126" s="307">
        <f t="shared" si="6"/>
        <v>25</v>
      </c>
      <c r="C126" s="41">
        <f t="shared" si="7"/>
        <v>41373000</v>
      </c>
      <c r="D126" s="41"/>
      <c r="E126" s="453">
        <f>E124</f>
        <v>0.05967</v>
      </c>
      <c r="F126" s="41">
        <f>((C125+D125)*E126/360*B125)+((C126+D126)*E126/360*B126)</f>
        <v>652482.0022500001</v>
      </c>
      <c r="G126" s="41">
        <f>((C125+D125)*$H$3/360*B125)+((C126+D126)*$H$3/360*B126)</f>
        <v>43739.36666666667</v>
      </c>
      <c r="H126" s="91"/>
      <c r="I126" s="91"/>
      <c r="J126" s="231"/>
    </row>
    <row r="127" spans="1:10" ht="12.75">
      <c r="A127" s="90">
        <v>44444</v>
      </c>
      <c r="B127" s="307">
        <f t="shared" si="6"/>
        <v>67</v>
      </c>
      <c r="C127" s="41">
        <f t="shared" si="7"/>
        <v>38773000</v>
      </c>
      <c r="D127" s="41">
        <f>D125</f>
        <v>2600000</v>
      </c>
      <c r="E127" s="453"/>
      <c r="F127" s="41"/>
      <c r="G127" s="41"/>
      <c r="H127" s="91"/>
      <c r="I127" s="91"/>
      <c r="J127" s="231"/>
    </row>
    <row r="128" spans="1:10" ht="12.75">
      <c r="A128" s="90">
        <v>44469</v>
      </c>
      <c r="B128" s="307">
        <f t="shared" si="6"/>
        <v>25</v>
      </c>
      <c r="C128" s="41">
        <f t="shared" si="7"/>
        <v>38773000</v>
      </c>
      <c r="D128" s="41"/>
      <c r="E128" s="453">
        <f>E126</f>
        <v>0.05967</v>
      </c>
      <c r="F128" s="41">
        <f>((C127+D127)*E128/360*B127)+((C128+D128)*E128/360*B128)</f>
        <v>620123.1270000001</v>
      </c>
      <c r="G128" s="41">
        <f>((C127+D127)*$H$3/360*B127)+((C128+D128)*$H$3/360*B128)</f>
        <v>41570.177777777775</v>
      </c>
      <c r="H128" s="91"/>
      <c r="I128" s="91"/>
      <c r="J128" s="231"/>
    </row>
    <row r="129" spans="1:10" ht="12.75">
      <c r="A129" s="90">
        <v>44535</v>
      </c>
      <c r="B129" s="307">
        <f t="shared" si="6"/>
        <v>66</v>
      </c>
      <c r="C129" s="41">
        <f t="shared" si="7"/>
        <v>36173000</v>
      </c>
      <c r="D129" s="41">
        <f>D127</f>
        <v>2600000</v>
      </c>
      <c r="E129" s="453"/>
      <c r="F129" s="41"/>
      <c r="G129" s="41"/>
      <c r="H129" s="91"/>
      <c r="I129" s="91"/>
      <c r="J129" s="231"/>
    </row>
    <row r="130" spans="1:10" ht="12.75">
      <c r="A130" s="97">
        <v>44561</v>
      </c>
      <c r="B130" s="308">
        <f t="shared" si="6"/>
        <v>26</v>
      </c>
      <c r="C130" s="99">
        <f t="shared" si="7"/>
        <v>36173000</v>
      </c>
      <c r="D130" s="99"/>
      <c r="E130" s="452">
        <f>E128</f>
        <v>0.05967</v>
      </c>
      <c r="F130" s="41">
        <f>((C129+D129)*E130/360*B129)+((C130+D130)*E130/360*B130)</f>
        <v>580044.777</v>
      </c>
      <c r="G130" s="41">
        <f>((C129+D129)*$H$3/360*B129)+((C130+D130)*$H$3/360*B130)</f>
        <v>38883.51111111111</v>
      </c>
      <c r="H130" s="300">
        <f>SUM(F123:G130)</f>
        <v>2706212.8781944443</v>
      </c>
      <c r="I130" s="300">
        <f>SUM(D123:D130)</f>
        <v>10400000</v>
      </c>
      <c r="J130" s="301">
        <f>SUM(H130:I130)</f>
        <v>13106212.878194444</v>
      </c>
    </row>
    <row r="131" spans="1:10" ht="12.75">
      <c r="A131" s="103">
        <v>44625</v>
      </c>
      <c r="B131" s="306">
        <f t="shared" si="6"/>
        <v>64</v>
      </c>
      <c r="C131" s="42">
        <f t="shared" si="7"/>
        <v>33573000</v>
      </c>
      <c r="D131" s="41">
        <f>D129</f>
        <v>2600000</v>
      </c>
      <c r="E131" s="456"/>
      <c r="F131" s="104"/>
      <c r="G131" s="104"/>
      <c r="H131" s="104"/>
      <c r="I131" s="104"/>
      <c r="J131" s="242"/>
    </row>
    <row r="132" spans="1:10" ht="12.75">
      <c r="A132" s="90">
        <v>44651</v>
      </c>
      <c r="B132" s="307">
        <f t="shared" si="6"/>
        <v>26</v>
      </c>
      <c r="C132" s="41">
        <f t="shared" si="7"/>
        <v>33573000</v>
      </c>
      <c r="D132" s="41"/>
      <c r="E132" s="453">
        <f>E130</f>
        <v>0.05967</v>
      </c>
      <c r="F132" s="41">
        <f>((C131+D131)*E132/360*B131)+((C132+D132)*E132/360*B132)</f>
        <v>528406.0275</v>
      </c>
      <c r="G132" s="41">
        <f>((C131+D131)*$H$3/360*B131)+((C132+D132)*$H$3/360*B132)</f>
        <v>35421.88888888889</v>
      </c>
      <c r="H132" s="91"/>
      <c r="I132" s="91"/>
      <c r="J132" s="231"/>
    </row>
    <row r="133" spans="1:10" ht="12.75">
      <c r="A133" s="90">
        <v>44717</v>
      </c>
      <c r="B133" s="307">
        <f t="shared" si="6"/>
        <v>66</v>
      </c>
      <c r="C133" s="41">
        <f t="shared" si="7"/>
        <v>30973000</v>
      </c>
      <c r="D133" s="41">
        <f>D131</f>
        <v>2600000</v>
      </c>
      <c r="E133" s="453"/>
      <c r="F133" s="41"/>
      <c r="G133" s="41"/>
      <c r="H133" s="91"/>
      <c r="I133" s="91"/>
      <c r="J133" s="231"/>
    </row>
    <row r="134" spans="1:10" ht="12.75">
      <c r="A134" s="90">
        <v>44742</v>
      </c>
      <c r="B134" s="307">
        <f t="shared" si="6"/>
        <v>25</v>
      </c>
      <c r="C134" s="41">
        <f t="shared" si="7"/>
        <v>30973000</v>
      </c>
      <c r="D134" s="41"/>
      <c r="E134" s="453">
        <f>E132</f>
        <v>0.05967</v>
      </c>
      <c r="F134" s="41">
        <f>((C133+D133)*E134/360*B133)+((C134+D134)*E134/360*B134)</f>
        <v>495616.20225</v>
      </c>
      <c r="G134" s="41">
        <f>((C133+D133)*$H$3/360*B133)+((C134+D134)*$H$3/360*B134)</f>
        <v>33223.811111111114</v>
      </c>
      <c r="H134" s="91"/>
      <c r="I134" s="91"/>
      <c r="J134" s="231"/>
    </row>
    <row r="135" spans="1:10" ht="12.75">
      <c r="A135" s="90">
        <v>44809</v>
      </c>
      <c r="B135" s="307">
        <f t="shared" si="6"/>
        <v>67</v>
      </c>
      <c r="C135" s="41">
        <f t="shared" si="7"/>
        <v>28373000</v>
      </c>
      <c r="D135" s="41">
        <f>D133</f>
        <v>2600000</v>
      </c>
      <c r="E135" s="453"/>
      <c r="F135" s="41"/>
      <c r="G135" s="41"/>
      <c r="H135" s="91"/>
      <c r="I135" s="91"/>
      <c r="J135" s="231"/>
    </row>
    <row r="136" spans="1:10" ht="12.75">
      <c r="A136" s="90">
        <v>44834</v>
      </c>
      <c r="B136" s="307">
        <f aca="true" t="shared" si="8" ref="B136:B157">A136-A135</f>
        <v>25</v>
      </c>
      <c r="C136" s="41">
        <f t="shared" si="7"/>
        <v>28373000</v>
      </c>
      <c r="D136" s="41"/>
      <c r="E136" s="453">
        <f>E134</f>
        <v>0.05967</v>
      </c>
      <c r="F136" s="41">
        <f>((C135+D135)*E136/360*B135)+((C136+D136)*E136/360*B136)</f>
        <v>461533.527</v>
      </c>
      <c r="G136" s="41">
        <f>((C135+D135)*$H$3/360*B135)+((C136+D136)*$H$3/360*B136)</f>
        <v>30939.066666666666</v>
      </c>
      <c r="H136" s="91"/>
      <c r="I136" s="91"/>
      <c r="J136" s="231"/>
    </row>
    <row r="137" spans="1:10" ht="12.75">
      <c r="A137" s="90">
        <v>44900</v>
      </c>
      <c r="B137" s="307">
        <f t="shared" si="8"/>
        <v>66</v>
      </c>
      <c r="C137" s="41">
        <f t="shared" si="7"/>
        <v>25773000</v>
      </c>
      <c r="D137" s="41">
        <f>D135</f>
        <v>2600000</v>
      </c>
      <c r="E137" s="453"/>
      <c r="F137" s="41"/>
      <c r="G137" s="41"/>
      <c r="H137" s="91"/>
      <c r="I137" s="91"/>
      <c r="J137" s="231"/>
    </row>
    <row r="138" spans="1:10" ht="12.75">
      <c r="A138" s="97">
        <v>44926</v>
      </c>
      <c r="B138" s="308">
        <f t="shared" si="8"/>
        <v>26</v>
      </c>
      <c r="C138" s="99">
        <f t="shared" si="7"/>
        <v>25773000</v>
      </c>
      <c r="D138" s="99"/>
      <c r="E138" s="452">
        <f>E136</f>
        <v>0.05967</v>
      </c>
      <c r="F138" s="41">
        <f>((C137+D137)*E138/360*B137)+((C138+D138)*E138/360*B138)</f>
        <v>421455.17699999997</v>
      </c>
      <c r="G138" s="41">
        <f>((C137+D137)*$H$3/360*B137)+((C138+D138)*$H$3/360*B138)</f>
        <v>28252.399999999998</v>
      </c>
      <c r="H138" s="300">
        <f>SUM(F131:G138)</f>
        <v>2034848.1004166666</v>
      </c>
      <c r="I138" s="300">
        <f>SUM(D131:D138)</f>
        <v>10400000</v>
      </c>
      <c r="J138" s="301">
        <f>SUM(H138:I138)</f>
        <v>12434848.100416666</v>
      </c>
    </row>
    <row r="139" spans="1:10" ht="12.75">
      <c r="A139" s="103">
        <v>44990</v>
      </c>
      <c r="B139" s="306">
        <f t="shared" si="8"/>
        <v>64</v>
      </c>
      <c r="C139" s="42">
        <f t="shared" si="7"/>
        <v>23173000</v>
      </c>
      <c r="D139" s="41">
        <f>D137</f>
        <v>2600000</v>
      </c>
      <c r="E139" s="456"/>
      <c r="F139" s="104"/>
      <c r="G139" s="104"/>
      <c r="H139" s="104"/>
      <c r="I139" s="104"/>
      <c r="J139" s="242"/>
    </row>
    <row r="140" spans="1:10" ht="12.75">
      <c r="A140" s="90">
        <v>45016</v>
      </c>
      <c r="B140" s="307">
        <f t="shared" si="8"/>
        <v>26</v>
      </c>
      <c r="C140" s="41">
        <f aca="true" t="shared" si="9" ref="C140:C157">C139-D140</f>
        <v>23173000</v>
      </c>
      <c r="D140" s="41"/>
      <c r="E140" s="453">
        <f>E138</f>
        <v>0.05967</v>
      </c>
      <c r="F140" s="41">
        <f>((C139+D139)*E140/360*B139)+((C140+D140)*E140/360*B140)</f>
        <v>373264.02749999997</v>
      </c>
      <c r="G140" s="41">
        <f>((C139+D139)*$H$3/360*B139)+((C140+D140)*$H$3/360*B140)</f>
        <v>25021.88888888889</v>
      </c>
      <c r="H140" s="91"/>
      <c r="I140" s="91"/>
      <c r="J140" s="231"/>
    </row>
    <row r="141" spans="1:10" ht="12.75">
      <c r="A141" s="90">
        <v>45082</v>
      </c>
      <c r="B141" s="307">
        <f t="shared" si="8"/>
        <v>66</v>
      </c>
      <c r="C141" s="41">
        <f t="shared" si="9"/>
        <v>20573000</v>
      </c>
      <c r="D141" s="41">
        <f>D139</f>
        <v>2600000</v>
      </c>
      <c r="E141" s="453"/>
      <c r="F141" s="41"/>
      <c r="G141" s="41"/>
      <c r="H141" s="91"/>
      <c r="I141" s="91"/>
      <c r="J141" s="231"/>
    </row>
    <row r="142" spans="1:10" ht="12.75">
      <c r="A142" s="90">
        <v>45107</v>
      </c>
      <c r="B142" s="307">
        <f t="shared" si="8"/>
        <v>25</v>
      </c>
      <c r="C142" s="41">
        <f t="shared" si="9"/>
        <v>20573000</v>
      </c>
      <c r="D142" s="41"/>
      <c r="E142" s="453">
        <f>E140</f>
        <v>0.05967</v>
      </c>
      <c r="F142" s="41">
        <f>((C141+D141)*E142/360*B141)+((C142+D142)*E142/360*B142)</f>
        <v>338750.40225</v>
      </c>
      <c r="G142" s="41">
        <f>((C141+D141)*$H$3/360*B141)+((C142+D142)*$H$3/360*B142)</f>
        <v>22708.255555555555</v>
      </c>
      <c r="H142" s="91"/>
      <c r="I142" s="91"/>
      <c r="J142" s="231"/>
    </row>
    <row r="143" spans="1:10" ht="12.75">
      <c r="A143" s="90">
        <v>45174</v>
      </c>
      <c r="B143" s="307">
        <f t="shared" si="8"/>
        <v>67</v>
      </c>
      <c r="C143" s="41">
        <f t="shared" si="9"/>
        <v>17973000</v>
      </c>
      <c r="D143" s="41">
        <f>D141</f>
        <v>2600000</v>
      </c>
      <c r="E143" s="453"/>
      <c r="F143" s="41"/>
      <c r="G143" s="41"/>
      <c r="H143" s="91"/>
      <c r="I143" s="91"/>
      <c r="J143" s="231"/>
    </row>
    <row r="144" spans="1:10" ht="12.75">
      <c r="A144" s="90">
        <v>45199</v>
      </c>
      <c r="B144" s="307">
        <f t="shared" si="8"/>
        <v>25</v>
      </c>
      <c r="C144" s="41">
        <f t="shared" si="9"/>
        <v>17973000</v>
      </c>
      <c r="D144" s="41"/>
      <c r="E144" s="453">
        <f>E142</f>
        <v>0.05967</v>
      </c>
      <c r="F144" s="41">
        <f>((C143+D143)*E144/360*B143)+((C144+D144)*E144/360*B144)</f>
        <v>302943.927</v>
      </c>
      <c r="G144" s="41">
        <f>((C143+D143)*$H$3/360*B143)+((C144+D144)*$H$3/360*B144)</f>
        <v>20307.955555555556</v>
      </c>
      <c r="H144" s="91"/>
      <c r="I144" s="91"/>
      <c r="J144" s="231"/>
    </row>
    <row r="145" spans="1:10" ht="12.75">
      <c r="A145" s="90">
        <v>45265</v>
      </c>
      <c r="B145" s="307">
        <f t="shared" si="8"/>
        <v>66</v>
      </c>
      <c r="C145" s="41">
        <f t="shared" si="9"/>
        <v>15373000</v>
      </c>
      <c r="D145" s="41">
        <f>D143</f>
        <v>2600000</v>
      </c>
      <c r="E145" s="453"/>
      <c r="F145" s="41"/>
      <c r="G145" s="41"/>
      <c r="H145" s="91"/>
      <c r="I145" s="91"/>
      <c r="J145" s="231"/>
    </row>
    <row r="146" spans="1:10" ht="12.75">
      <c r="A146" s="97">
        <v>45291</v>
      </c>
      <c r="B146" s="308">
        <f t="shared" si="8"/>
        <v>26</v>
      </c>
      <c r="C146" s="99">
        <f t="shared" si="9"/>
        <v>15373000</v>
      </c>
      <c r="D146" s="99"/>
      <c r="E146" s="452">
        <f>E144</f>
        <v>0.05967</v>
      </c>
      <c r="F146" s="41">
        <f>((C145+D145)*E146/360*B145)+((C146+D146)*E146/360*B146)</f>
        <v>262865.577</v>
      </c>
      <c r="G146" s="41">
        <f>((C145+D145)*$H$3/360*B145)+((C146+D146)*$H$3/360*B146)</f>
        <v>17621.28888888889</v>
      </c>
      <c r="H146" s="300">
        <f>SUM(F139:G146)</f>
        <v>1363483.322638889</v>
      </c>
      <c r="I146" s="300">
        <f>SUM(D139:D146)</f>
        <v>10400000</v>
      </c>
      <c r="J146" s="301">
        <f>SUM(H146:I146)</f>
        <v>11763483.32263889</v>
      </c>
    </row>
    <row r="147" spans="1:10" ht="12.75">
      <c r="A147" s="103">
        <v>45356</v>
      </c>
      <c r="B147" s="306">
        <f t="shared" si="8"/>
        <v>65</v>
      </c>
      <c r="C147" s="42">
        <f t="shared" si="9"/>
        <v>12773000</v>
      </c>
      <c r="D147" s="41">
        <f>D145</f>
        <v>2600000</v>
      </c>
      <c r="E147" s="456"/>
      <c r="F147" s="104"/>
      <c r="G147" s="104"/>
      <c r="H147" s="104"/>
      <c r="I147" s="104"/>
      <c r="J147" s="242"/>
    </row>
    <row r="148" spans="1:10" ht="12.75">
      <c r="A148" s="90">
        <v>45382</v>
      </c>
      <c r="B148" s="307">
        <f t="shared" si="8"/>
        <v>26</v>
      </c>
      <c r="C148" s="41">
        <f t="shared" si="9"/>
        <v>12773000</v>
      </c>
      <c r="D148" s="41"/>
      <c r="E148" s="453">
        <f>E146</f>
        <v>0.05967</v>
      </c>
      <c r="F148" s="41">
        <f>((C147+D147)*E148/360*B147)+((C148+D148)*E148/360*B148)</f>
        <v>220670.10225</v>
      </c>
      <c r="G148" s="41">
        <f>((C147+D147)*$H$3/360*B147)+((C148+D148)*$H$3/360*B148)</f>
        <v>14792.699999999999</v>
      </c>
      <c r="H148" s="91"/>
      <c r="I148" s="91"/>
      <c r="J148" s="231"/>
    </row>
    <row r="149" spans="1:10" ht="12.75">
      <c r="A149" s="90">
        <v>45448</v>
      </c>
      <c r="B149" s="307">
        <f t="shared" si="8"/>
        <v>66</v>
      </c>
      <c r="C149" s="41">
        <f t="shared" si="9"/>
        <v>10173000</v>
      </c>
      <c r="D149" s="41">
        <f>D147</f>
        <v>2600000</v>
      </c>
      <c r="E149" s="453"/>
      <c r="F149" s="41"/>
      <c r="G149" s="41"/>
      <c r="H149" s="91"/>
      <c r="I149" s="91"/>
      <c r="J149" s="231"/>
    </row>
    <row r="150" spans="1:10" ht="12.75">
      <c r="A150" s="90">
        <v>45473</v>
      </c>
      <c r="B150" s="307">
        <f t="shared" si="8"/>
        <v>25</v>
      </c>
      <c r="C150" s="41">
        <f t="shared" si="9"/>
        <v>10173000</v>
      </c>
      <c r="D150" s="41"/>
      <c r="E150" s="453">
        <f>E148</f>
        <v>0.05967</v>
      </c>
      <c r="F150" s="41">
        <f>((C149+D149)*E150/360*B149)+((C150+D150)*E150/360*B150)</f>
        <v>181884.60225</v>
      </c>
      <c r="G150" s="41">
        <f>((C149+D149)*$H$3/360*B149)+((C150+D150)*$H$3/360*B150)</f>
        <v>12192.7</v>
      </c>
      <c r="H150" s="91"/>
      <c r="I150" s="91"/>
      <c r="J150" s="231"/>
    </row>
    <row r="151" spans="1:10" ht="12.75">
      <c r="A151" s="90">
        <v>45540</v>
      </c>
      <c r="B151" s="307">
        <f t="shared" si="8"/>
        <v>67</v>
      </c>
      <c r="C151" s="41">
        <f t="shared" si="9"/>
        <v>7573000</v>
      </c>
      <c r="D151" s="41">
        <f>D149</f>
        <v>2600000</v>
      </c>
      <c r="E151" s="453"/>
      <c r="F151" s="41"/>
      <c r="G151" s="41"/>
      <c r="H151" s="91"/>
      <c r="I151" s="91"/>
      <c r="J151" s="231"/>
    </row>
    <row r="152" spans="1:10" ht="12.75">
      <c r="A152" s="90">
        <v>45565</v>
      </c>
      <c r="B152" s="307">
        <f t="shared" si="8"/>
        <v>25</v>
      </c>
      <c r="C152" s="41">
        <f t="shared" si="9"/>
        <v>7573000</v>
      </c>
      <c r="D152" s="41"/>
      <c r="E152" s="453">
        <f>E150</f>
        <v>0.05967</v>
      </c>
      <c r="F152" s="41">
        <f>((C151+D151)*E152/360*B151)+((C152+D152)*E152/360*B152)</f>
        <v>144354.32700000002</v>
      </c>
      <c r="G152" s="41">
        <f>((C151+D151)*$H$3/360*B151)+((C152+D152)*$H$3/360*B152)</f>
        <v>9676.844444444445</v>
      </c>
      <c r="H152" s="91"/>
      <c r="I152" s="91"/>
      <c r="J152" s="231"/>
    </row>
    <row r="153" spans="1:10" ht="12.75">
      <c r="A153" s="90">
        <v>45631</v>
      </c>
      <c r="B153" s="307">
        <f t="shared" si="8"/>
        <v>66</v>
      </c>
      <c r="C153" s="41">
        <f t="shared" si="9"/>
        <v>4973000</v>
      </c>
      <c r="D153" s="41">
        <f>D151</f>
        <v>2600000</v>
      </c>
      <c r="E153" s="453"/>
      <c r="F153" s="41"/>
      <c r="G153" s="41"/>
      <c r="H153" s="91"/>
      <c r="I153" s="91"/>
      <c r="J153" s="231"/>
    </row>
    <row r="154" spans="1:10" ht="12.75">
      <c r="A154" s="97">
        <v>45657</v>
      </c>
      <c r="B154" s="308">
        <f t="shared" si="8"/>
        <v>26</v>
      </c>
      <c r="C154" s="99">
        <f t="shared" si="9"/>
        <v>4973000</v>
      </c>
      <c r="D154" s="99"/>
      <c r="E154" s="452">
        <f>E152</f>
        <v>0.05967</v>
      </c>
      <c r="F154" s="41">
        <f>((C153+D153)*E154/360*B153)+((C154+D154)*E154/360*B154)</f>
        <v>104275.97700000001</v>
      </c>
      <c r="G154" s="41">
        <f>((C153+D153)*$H$3/360*B153)+((C154+D154)*$H$3/360*B154)</f>
        <v>6990.177777777778</v>
      </c>
      <c r="H154" s="300">
        <f>SUM(F147:G154)</f>
        <v>694837.4307222223</v>
      </c>
      <c r="I154" s="300">
        <f>SUM(D147:D154)</f>
        <v>10400000</v>
      </c>
      <c r="J154" s="301">
        <f>SUM(H154:I154)</f>
        <v>11094837.430722222</v>
      </c>
    </row>
    <row r="155" spans="1:10" ht="12.75">
      <c r="A155" s="103">
        <v>45721</v>
      </c>
      <c r="B155" s="306">
        <f t="shared" si="8"/>
        <v>64</v>
      </c>
      <c r="C155" s="42">
        <f t="shared" si="9"/>
        <v>2373000</v>
      </c>
      <c r="D155" s="41">
        <f>D153</f>
        <v>2600000</v>
      </c>
      <c r="E155" s="456"/>
      <c r="F155" s="104"/>
      <c r="G155" s="104"/>
      <c r="H155" s="104"/>
      <c r="I155" s="104"/>
      <c r="J155" s="242"/>
    </row>
    <row r="156" spans="1:10" ht="12.75">
      <c r="A156" s="90">
        <v>45747</v>
      </c>
      <c r="B156" s="307">
        <f t="shared" si="8"/>
        <v>26</v>
      </c>
      <c r="C156" s="41">
        <f t="shared" si="9"/>
        <v>2373000</v>
      </c>
      <c r="D156" s="41"/>
      <c r="E156" s="453">
        <f>E154</f>
        <v>0.05967</v>
      </c>
      <c r="F156" s="41">
        <f>((C155+D155)*E156/360*B155)+((C156+D156)*E156/360*B156)</f>
        <v>62980.027500000004</v>
      </c>
      <c r="G156" s="41">
        <f>((C155+D155)*$H$3/360*B155)+((C156+D156)*$H$3/360*B156)</f>
        <v>4221.888888888889</v>
      </c>
      <c r="H156" s="91"/>
      <c r="I156" s="91"/>
      <c r="J156" s="231"/>
    </row>
    <row r="157" spans="1:10" ht="13.5" thickBot="1">
      <c r="A157" s="90">
        <v>45813</v>
      </c>
      <c r="B157" s="307">
        <f t="shared" si="8"/>
        <v>66</v>
      </c>
      <c r="C157" s="41">
        <f t="shared" si="9"/>
        <v>0</v>
      </c>
      <c r="D157" s="41">
        <v>2373000</v>
      </c>
      <c r="E157" s="453">
        <f>E156</f>
        <v>0.05967</v>
      </c>
      <c r="F157" s="41">
        <f>((C157+D157)*E157/360*B157)</f>
        <v>25959.4335</v>
      </c>
      <c r="G157" s="41">
        <f>((C157+D157)*$H$3/360*B157)</f>
        <v>1740.2</v>
      </c>
      <c r="H157" s="300">
        <f>SUM(F155:G157)</f>
        <v>94901.54988888888</v>
      </c>
      <c r="I157" s="300">
        <f>SUM(D155:D157)</f>
        <v>4973000</v>
      </c>
      <c r="J157" s="301">
        <f>SUM(H157:I157)</f>
        <v>5067901.549888889</v>
      </c>
    </row>
    <row r="158" spans="1:10" ht="13.5" thickTop="1">
      <c r="A158" s="563" t="s">
        <v>14</v>
      </c>
      <c r="B158" s="564"/>
      <c r="C158" s="565"/>
      <c r="D158" s="117">
        <f>SUM(D7:D157)</f>
        <v>179173000</v>
      </c>
      <c r="E158" s="457"/>
      <c r="F158" s="117">
        <f>SUM(F7:F157)</f>
        <v>109067594.47700007</v>
      </c>
      <c r="G158" s="117">
        <f>SUM(G7:G157)</f>
        <v>7645600.944444444</v>
      </c>
      <c r="H158" s="117">
        <f>SUM(H7:H157)</f>
        <v>116713195.42144443</v>
      </c>
      <c r="I158" s="117">
        <f>SUM(I7:I157)</f>
        <v>179173000</v>
      </c>
      <c r="J158" s="119">
        <f>SUM(J7:J157)</f>
        <v>295886195.4214445</v>
      </c>
    </row>
    <row r="159" spans="1:10" ht="12.75">
      <c r="A159" s="120"/>
      <c r="B159" s="121"/>
      <c r="E159" s="122"/>
      <c r="H159" s="121"/>
      <c r="J159" s="121"/>
    </row>
    <row r="160" spans="1:10" ht="12.75">
      <c r="A160" s="120"/>
      <c r="B160" s="121"/>
      <c r="E160" s="122"/>
      <c r="H160" s="121"/>
      <c r="J160" s="121"/>
    </row>
    <row r="161" spans="2:10" ht="12.75">
      <c r="B161" s="58" t="s">
        <v>181</v>
      </c>
      <c r="D161" s="58"/>
      <c r="E161" s="122" t="s">
        <v>116</v>
      </c>
      <c r="H161" s="311">
        <v>76930000</v>
      </c>
      <c r="J161" s="121"/>
    </row>
    <row r="162" spans="2:10" ht="12.75">
      <c r="B162" s="58" t="s">
        <v>182</v>
      </c>
      <c r="D162" s="58"/>
      <c r="E162" s="122" t="s">
        <v>140</v>
      </c>
      <c r="H162" s="311">
        <v>71971000</v>
      </c>
      <c r="J162" s="121"/>
    </row>
    <row r="163" spans="2:10" ht="13.5" thickBot="1">
      <c r="B163" s="58" t="s">
        <v>183</v>
      </c>
      <c r="D163" s="58"/>
      <c r="E163" s="122" t="s">
        <v>180</v>
      </c>
      <c r="F163" s="56"/>
      <c r="G163" s="56"/>
      <c r="H163" s="311">
        <v>30272000</v>
      </c>
      <c r="J163" s="121"/>
    </row>
    <row r="164" spans="2:10" ht="13.5" thickTop="1">
      <c r="B164" s="124" t="s">
        <v>14</v>
      </c>
      <c r="C164" s="129"/>
      <c r="D164" s="124"/>
      <c r="E164" s="125"/>
      <c r="F164" s="126"/>
      <c r="G164" s="126"/>
      <c r="H164" s="312">
        <f>SUM(H161:H163)</f>
        <v>179173000</v>
      </c>
      <c r="J164" s="121"/>
    </row>
    <row r="165" spans="6:7" ht="12.75">
      <c r="F165" s="56"/>
      <c r="G165" s="56"/>
    </row>
    <row r="166" spans="6:7" ht="12.75">
      <c r="F166" s="56"/>
      <c r="G166" s="56"/>
    </row>
  </sheetData>
  <sheetProtection/>
  <mergeCells count="1">
    <mergeCell ref="A158:C158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2005. december 1-i felvételre tervezett 179.173 eFt hitel</oddHeader>
    <oddFooter>&amp;L&amp;8&amp;D&amp;C&amp;8C:\Andi\adósságszolgálat\&amp;F\&amp;A&amp;R&amp;8&amp;P/&amp;N</oddFooter>
  </headerFooter>
  <rowBreaks count="2" manualBreakCount="2">
    <brk id="66" max="255" man="1"/>
    <brk id="12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2"/>
  <sheetViews>
    <sheetView zoomScaleSheetLayoutView="100" zoomScalePageLayoutView="0" workbookViewId="0" topLeftCell="A1">
      <selection activeCell="A23" sqref="A23:I24"/>
    </sheetView>
  </sheetViews>
  <sheetFormatPr defaultColWidth="9.00390625" defaultRowHeight="12.75"/>
  <cols>
    <col min="1" max="1" width="11.0039062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7.875" style="58" customWidth="1"/>
    <col min="6" max="7" width="12.625" style="58" customWidth="1"/>
    <col min="8" max="8" width="13.125" style="58" bestFit="1" customWidth="1"/>
    <col min="9" max="9" width="12.625" style="58" bestFit="1" customWidth="1"/>
    <col min="10" max="10" width="14.50390625" style="58" bestFit="1" customWidth="1"/>
    <col min="11" max="11" width="2.125" style="58" customWidth="1"/>
    <col min="12" max="16384" width="9.375" style="58" customWidth="1"/>
  </cols>
  <sheetData>
    <row r="1" ht="12.75">
      <c r="A1" s="162" t="s">
        <v>259</v>
      </c>
    </row>
    <row r="2" spans="1:10" ht="12.75">
      <c r="A2" s="163" t="s">
        <v>109</v>
      </c>
      <c r="B2" s="162"/>
      <c r="C2" s="163" t="s">
        <v>110</v>
      </c>
      <c r="D2" s="163"/>
      <c r="H2" s="163"/>
      <c r="I2" s="163"/>
      <c r="J2" s="163"/>
    </row>
    <row r="3" spans="1:10" ht="12.75">
      <c r="A3" s="163" t="s">
        <v>272</v>
      </c>
      <c r="B3" s="133"/>
      <c r="C3" s="132"/>
      <c r="D3" s="132"/>
      <c r="E3" s="132"/>
      <c r="F3" s="132"/>
      <c r="G3" s="459" t="s">
        <v>273</v>
      </c>
      <c r="H3" s="487">
        <v>0.004</v>
      </c>
      <c r="I3" s="132"/>
      <c r="J3" s="132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69" t="s">
        <v>271</v>
      </c>
      <c r="H4" s="68" t="s">
        <v>264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5" t="s">
        <v>229</v>
      </c>
      <c r="H5" s="74" t="s">
        <v>265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80"/>
      <c r="F6" s="81"/>
      <c r="G6" s="81"/>
      <c r="H6" s="458" t="s">
        <v>266</v>
      </c>
      <c r="I6" s="82" t="s">
        <v>13</v>
      </c>
      <c r="J6" s="83" t="s">
        <v>12</v>
      </c>
    </row>
    <row r="7" spans="1:10" ht="12.75">
      <c r="A7" s="103">
        <v>38702</v>
      </c>
      <c r="B7" s="306"/>
      <c r="C7" s="41">
        <v>425421000</v>
      </c>
      <c r="D7" s="42"/>
      <c r="E7" s="299"/>
      <c r="F7" s="42"/>
      <c r="G7" s="42"/>
      <c r="H7" s="152"/>
      <c r="I7" s="152"/>
      <c r="J7" s="153"/>
    </row>
    <row r="8" spans="1:10" ht="12.75">
      <c r="A8" s="97">
        <v>38716</v>
      </c>
      <c r="B8" s="308">
        <f>A8-A7</f>
        <v>14</v>
      </c>
      <c r="C8" s="99">
        <f>C7-D8</f>
        <v>425421000</v>
      </c>
      <c r="D8" s="99"/>
      <c r="E8" s="452">
        <v>0.03476</v>
      </c>
      <c r="F8" s="99">
        <v>575075</v>
      </c>
      <c r="G8" s="99">
        <v>66177</v>
      </c>
      <c r="H8" s="145">
        <f>SUM(F8:G8)</f>
        <v>641252</v>
      </c>
      <c r="I8" s="101">
        <f>SUM(D8:D8)</f>
        <v>0</v>
      </c>
      <c r="J8" s="102">
        <f>SUM(H8:I8)</f>
        <v>641252</v>
      </c>
    </row>
    <row r="9" spans="1:10" ht="12.75">
      <c r="A9" s="103">
        <v>38807</v>
      </c>
      <c r="B9" s="306">
        <f>A9-A8</f>
        <v>91</v>
      </c>
      <c r="C9" s="42">
        <f>C8-D9</f>
        <v>425421000</v>
      </c>
      <c r="D9" s="42"/>
      <c r="E9" s="454">
        <f>E8</f>
        <v>0.03476</v>
      </c>
      <c r="F9" s="41">
        <v>4101886</v>
      </c>
      <c r="G9" s="41">
        <v>430148</v>
      </c>
      <c r="H9" s="234"/>
      <c r="I9" s="104"/>
      <c r="J9" s="242"/>
    </row>
    <row r="10" spans="1:10" ht="12.75">
      <c r="A10" s="90">
        <v>38898</v>
      </c>
      <c r="B10" s="307">
        <f>A10-A9</f>
        <v>91</v>
      </c>
      <c r="C10" s="41">
        <f>C9-D10</f>
        <v>425421000</v>
      </c>
      <c r="D10" s="41"/>
      <c r="E10" s="453">
        <v>0.04127</v>
      </c>
      <c r="F10" s="41">
        <v>4434447</v>
      </c>
      <c r="G10" s="41">
        <v>430148</v>
      </c>
      <c r="H10" s="236"/>
      <c r="I10" s="91"/>
      <c r="J10" s="231"/>
    </row>
    <row r="11" spans="1:10" ht="12.75">
      <c r="A11" s="90">
        <v>38953</v>
      </c>
      <c r="B11" s="307">
        <f>A11-A10</f>
        <v>55</v>
      </c>
      <c r="C11" s="41">
        <v>607314000</v>
      </c>
      <c r="D11" s="41"/>
      <c r="E11" s="453"/>
      <c r="F11" s="107"/>
      <c r="G11" s="107"/>
      <c r="H11" s="236"/>
      <c r="I11" s="91"/>
      <c r="J11" s="231"/>
    </row>
    <row r="12" spans="1:10" ht="12.75">
      <c r="A12" s="90">
        <v>38989</v>
      </c>
      <c r="B12" s="307">
        <f aca="true" t="shared" si="0" ref="B12:B26">A12-A11</f>
        <v>36</v>
      </c>
      <c r="C12" s="41">
        <f>C11-D12</f>
        <v>607314000</v>
      </c>
      <c r="D12" s="41"/>
      <c r="E12" s="453">
        <v>0.04391</v>
      </c>
      <c r="F12" s="41">
        <v>5517521</v>
      </c>
      <c r="G12" s="41">
        <v>502905</v>
      </c>
      <c r="H12" s="236"/>
      <c r="I12" s="91"/>
      <c r="J12" s="231"/>
    </row>
    <row r="13" spans="1:10" ht="12.75">
      <c r="A13" s="243">
        <v>38991</v>
      </c>
      <c r="B13" s="307">
        <f>A13-A12</f>
        <v>2</v>
      </c>
      <c r="C13" s="41">
        <f>C12-D13</f>
        <v>607314000</v>
      </c>
      <c r="D13" s="107"/>
      <c r="E13" s="455">
        <v>0.04391</v>
      </c>
      <c r="F13" s="107"/>
      <c r="G13" s="107"/>
      <c r="H13" s="485"/>
      <c r="I13" s="108"/>
      <c r="J13" s="251"/>
    </row>
    <row r="14" spans="1:10" ht="12.75">
      <c r="A14" s="97">
        <v>39080</v>
      </c>
      <c r="B14" s="308">
        <f>A14-A13</f>
        <v>89</v>
      </c>
      <c r="C14" s="99">
        <f>C13-D14</f>
        <v>607314000</v>
      </c>
      <c r="D14" s="99"/>
      <c r="E14" s="452">
        <v>0.04706</v>
      </c>
      <c r="F14" s="99">
        <v>7213811</v>
      </c>
      <c r="G14" s="99">
        <v>614062</v>
      </c>
      <c r="H14" s="486">
        <f>SUM(F9:G14)</f>
        <v>23244928</v>
      </c>
      <c r="I14" s="300">
        <f>SUM(D9:D14)</f>
        <v>0</v>
      </c>
      <c r="J14" s="301">
        <f>SUM(H14:I14)</f>
        <v>23244928</v>
      </c>
    </row>
    <row r="15" spans="1:10" ht="12.75">
      <c r="A15" s="90">
        <v>39171</v>
      </c>
      <c r="B15" s="349">
        <f t="shared" si="0"/>
        <v>91</v>
      </c>
      <c r="C15" s="86">
        <f aca="true" t="shared" si="1" ref="C15:C25">C14-D15</f>
        <v>607314000</v>
      </c>
      <c r="D15" s="41"/>
      <c r="E15" s="453">
        <v>0.05052</v>
      </c>
      <c r="F15" s="41">
        <v>7738091</v>
      </c>
      <c r="G15" s="41">
        <v>614062</v>
      </c>
      <c r="H15" s="236"/>
      <c r="I15" s="91"/>
      <c r="J15" s="231"/>
    </row>
    <row r="16" spans="1:10" ht="12.75">
      <c r="A16" s="90">
        <v>39262</v>
      </c>
      <c r="B16" s="307">
        <f t="shared" si="0"/>
        <v>91</v>
      </c>
      <c r="C16" s="41">
        <f t="shared" si="1"/>
        <v>607314000</v>
      </c>
      <c r="D16" s="41"/>
      <c r="E16" s="453">
        <v>0.05244</v>
      </c>
      <c r="F16" s="41">
        <v>8043874</v>
      </c>
      <c r="G16" s="41">
        <v>614062</v>
      </c>
      <c r="H16" s="236"/>
      <c r="I16" s="91"/>
      <c r="J16" s="231"/>
    </row>
    <row r="17" spans="1:10" ht="12.75">
      <c r="A17" s="90">
        <v>39353</v>
      </c>
      <c r="B17" s="307">
        <f t="shared" si="0"/>
        <v>91</v>
      </c>
      <c r="C17" s="41">
        <f t="shared" si="1"/>
        <v>607314000</v>
      </c>
      <c r="D17" s="41"/>
      <c r="E17" s="453">
        <v>0.05494</v>
      </c>
      <c r="F17" s="41">
        <v>8425706</v>
      </c>
      <c r="G17" s="41">
        <v>614062</v>
      </c>
      <c r="H17" s="236"/>
      <c r="I17" s="91"/>
      <c r="J17" s="231"/>
    </row>
    <row r="18" spans="1:10" ht="12.75">
      <c r="A18" s="97">
        <v>39445</v>
      </c>
      <c r="B18" s="308">
        <f t="shared" si="0"/>
        <v>92</v>
      </c>
      <c r="C18" s="99">
        <f t="shared" si="1"/>
        <v>607314000</v>
      </c>
      <c r="D18" s="99"/>
      <c r="E18" s="452">
        <v>0.06116</v>
      </c>
      <c r="F18" s="99">
        <v>9460704</v>
      </c>
      <c r="G18" s="99">
        <v>620810</v>
      </c>
      <c r="H18" s="486">
        <f>SUM(F15:G18)</f>
        <v>36131371</v>
      </c>
      <c r="I18" s="300">
        <f>SUM(D15:D18)</f>
        <v>0</v>
      </c>
      <c r="J18" s="301">
        <f>SUM(H18:I18)</f>
        <v>36131371</v>
      </c>
    </row>
    <row r="19" spans="1:10" ht="12.75">
      <c r="A19" s="103">
        <v>39538</v>
      </c>
      <c r="B19" s="310">
        <f t="shared" si="0"/>
        <v>93</v>
      </c>
      <c r="C19" s="42">
        <f t="shared" si="1"/>
        <v>607314000</v>
      </c>
      <c r="D19" s="42"/>
      <c r="E19" s="304">
        <v>0.06095</v>
      </c>
      <c r="F19" s="42">
        <v>9563475</v>
      </c>
      <c r="G19" s="42">
        <v>627558</v>
      </c>
      <c r="H19" s="104"/>
      <c r="I19" s="104"/>
      <c r="J19" s="242"/>
    </row>
    <row r="20" spans="1:10" ht="12.75">
      <c r="A20" s="90">
        <v>39604</v>
      </c>
      <c r="B20" s="309">
        <f t="shared" si="0"/>
        <v>66</v>
      </c>
      <c r="C20" s="41">
        <f t="shared" si="1"/>
        <v>598514000</v>
      </c>
      <c r="D20" s="41">
        <v>8800000</v>
      </c>
      <c r="E20" s="302"/>
      <c r="F20" s="41"/>
      <c r="G20" s="41"/>
      <c r="H20" s="91"/>
      <c r="I20" s="91"/>
      <c r="J20" s="231"/>
    </row>
    <row r="21" spans="1:10" ht="12.75">
      <c r="A21" s="90">
        <v>39629</v>
      </c>
      <c r="B21" s="309">
        <f t="shared" si="0"/>
        <v>25</v>
      </c>
      <c r="C21" s="41">
        <f t="shared" si="1"/>
        <v>598514000</v>
      </c>
      <c r="D21" s="41"/>
      <c r="E21" s="302">
        <v>0.06061</v>
      </c>
      <c r="F21" s="41">
        <v>9268108</v>
      </c>
      <c r="G21" s="41">
        <f>((C20+D20)*$H$3/360*B20)+((C21+D21)*$H$3/360*B21)</f>
        <v>611617.4888888889</v>
      </c>
      <c r="H21" s="91"/>
      <c r="I21" s="91"/>
      <c r="J21" s="231"/>
    </row>
    <row r="22" spans="1:10" ht="12.75">
      <c r="A22" s="90">
        <v>39696</v>
      </c>
      <c r="B22" s="309">
        <f t="shared" si="0"/>
        <v>67</v>
      </c>
      <c r="C22" s="41">
        <f t="shared" si="1"/>
        <v>589714000</v>
      </c>
      <c r="D22" s="41">
        <v>8800000</v>
      </c>
      <c r="E22" s="302"/>
      <c r="F22" s="41"/>
      <c r="G22" s="41"/>
      <c r="H22" s="91"/>
      <c r="I22" s="91"/>
      <c r="J22" s="231"/>
    </row>
    <row r="23" spans="1:10" ht="12.75">
      <c r="A23" s="90">
        <v>39721</v>
      </c>
      <c r="B23" s="309">
        <f t="shared" si="0"/>
        <v>25</v>
      </c>
      <c r="C23" s="41">
        <f t="shared" si="1"/>
        <v>589714000</v>
      </c>
      <c r="D23" s="41"/>
      <c r="E23" s="302">
        <v>0.06277</v>
      </c>
      <c r="F23" s="41">
        <v>9558946</v>
      </c>
      <c r="G23" s="41">
        <f>((C22+D22)*$H$3/360*B22)+((C23+D23)*$H$3/360*B23)</f>
        <v>609369.8666666667</v>
      </c>
      <c r="H23" s="91"/>
      <c r="I23" s="91"/>
      <c r="J23" s="231"/>
    </row>
    <row r="24" spans="1:10" ht="12.75">
      <c r="A24" s="243">
        <v>39787</v>
      </c>
      <c r="B24" s="309">
        <f t="shared" si="0"/>
        <v>66</v>
      </c>
      <c r="C24" s="41">
        <f t="shared" si="1"/>
        <v>580914000</v>
      </c>
      <c r="D24" s="107">
        <v>8800000</v>
      </c>
      <c r="E24" s="305"/>
      <c r="F24" s="107"/>
      <c r="G24" s="107"/>
      <c r="H24" s="108"/>
      <c r="I24" s="108"/>
      <c r="J24" s="251"/>
    </row>
    <row r="25" spans="1:10" ht="12.75">
      <c r="A25" s="97">
        <v>39813</v>
      </c>
      <c r="B25" s="308">
        <f t="shared" si="0"/>
        <v>26</v>
      </c>
      <c r="C25" s="99">
        <f t="shared" si="1"/>
        <v>580914000</v>
      </c>
      <c r="D25" s="99"/>
      <c r="E25" s="303">
        <v>0.06567</v>
      </c>
      <c r="F25" s="99">
        <f>((C24+D24)*E25/360*B24)+((C25+D25)*E25/360*B25)</f>
        <v>9855039.986000001</v>
      </c>
      <c r="G25" s="41">
        <f>((C24+D24)*$H$3/360*B24)+((C25+D25)*$H$3/360*B25)</f>
        <v>600276.5333333333</v>
      </c>
      <c r="H25" s="300">
        <f>SUM(F19:G25)</f>
        <v>40694390.87488889</v>
      </c>
      <c r="I25" s="300">
        <f>SUM(D19:D25)</f>
        <v>26400000</v>
      </c>
      <c r="J25" s="301">
        <f>SUM(H25:I25)</f>
        <v>67094390.87488889</v>
      </c>
    </row>
    <row r="26" spans="1:10" ht="12.75">
      <c r="A26" s="103">
        <v>39877</v>
      </c>
      <c r="B26" s="306">
        <f t="shared" si="0"/>
        <v>64</v>
      </c>
      <c r="C26" s="42">
        <f aca="true" t="shared" si="2" ref="C26:C33">C25-D26</f>
        <v>572114000</v>
      </c>
      <c r="D26" s="42">
        <v>8800000</v>
      </c>
      <c r="E26" s="104"/>
      <c r="F26" s="104"/>
      <c r="G26" s="104"/>
      <c r="H26" s="104"/>
      <c r="I26" s="104"/>
      <c r="J26" s="242"/>
    </row>
    <row r="27" spans="1:10" ht="12.75">
      <c r="A27" s="90">
        <v>39903</v>
      </c>
      <c r="B27" s="307">
        <f aca="true" t="shared" si="3" ref="B27:B91">A27-A26</f>
        <v>26</v>
      </c>
      <c r="C27" s="41">
        <f t="shared" si="2"/>
        <v>572114000</v>
      </c>
      <c r="D27" s="41"/>
      <c r="E27" s="302">
        <f>E25</f>
        <v>0.06567</v>
      </c>
      <c r="F27" s="41">
        <f>((C26+D26)*E27/360*B26)+((C27+D27)*E27/360*B27)</f>
        <v>9495418.661666667</v>
      </c>
      <c r="G27" s="41">
        <f>((C26+D26)*$H$3/360*B26)+((C27+D27)*$H$3/360*B27)</f>
        <v>578371.7777777778</v>
      </c>
      <c r="H27" s="91"/>
      <c r="I27" s="91"/>
      <c r="J27" s="231"/>
    </row>
    <row r="28" spans="1:10" ht="12.75">
      <c r="A28" s="90">
        <v>39969</v>
      </c>
      <c r="B28" s="307">
        <f t="shared" si="3"/>
        <v>66</v>
      </c>
      <c r="C28" s="41">
        <f t="shared" si="2"/>
        <v>563314000</v>
      </c>
      <c r="D28" s="41">
        <v>8800000</v>
      </c>
      <c r="E28" s="302"/>
      <c r="F28" s="41"/>
      <c r="G28" s="41"/>
      <c r="H28" s="91"/>
      <c r="I28" s="91"/>
      <c r="J28" s="231"/>
    </row>
    <row r="29" spans="1:10" ht="12.75">
      <c r="A29" s="90">
        <v>39994</v>
      </c>
      <c r="B29" s="307">
        <f t="shared" si="3"/>
        <v>25</v>
      </c>
      <c r="C29" s="41">
        <f t="shared" si="2"/>
        <v>563314000</v>
      </c>
      <c r="D29" s="41"/>
      <c r="E29" s="302">
        <f>E27</f>
        <v>0.06567</v>
      </c>
      <c r="F29" s="41">
        <f>((C28+D28)*E29/360*B28)+((C29+D29)*E29/360*B29)</f>
        <v>9456913.057166668</v>
      </c>
      <c r="G29" s="41">
        <f>((C28+D28)*$H$3/360*B28)+((C29+D29)*$H$3/360*B29)</f>
        <v>576026.3777777778</v>
      </c>
      <c r="H29" s="91"/>
      <c r="I29" s="91"/>
      <c r="J29" s="231"/>
    </row>
    <row r="30" spans="1:10" ht="12.75">
      <c r="A30" s="90">
        <v>40061</v>
      </c>
      <c r="B30" s="307">
        <f t="shared" si="3"/>
        <v>67</v>
      </c>
      <c r="C30" s="41">
        <f t="shared" si="2"/>
        <v>554514000</v>
      </c>
      <c r="D30" s="41">
        <v>8800000</v>
      </c>
      <c r="E30" s="302"/>
      <c r="F30" s="41"/>
      <c r="G30" s="41"/>
      <c r="H30" s="91"/>
      <c r="I30" s="91"/>
      <c r="J30" s="231"/>
    </row>
    <row r="31" spans="1:10" ht="12.75">
      <c r="A31" s="90">
        <v>40086</v>
      </c>
      <c r="B31" s="307">
        <f t="shared" si="3"/>
        <v>25</v>
      </c>
      <c r="C31" s="41">
        <f t="shared" si="2"/>
        <v>554514000</v>
      </c>
      <c r="D31" s="41"/>
      <c r="E31" s="302">
        <f>E29</f>
        <v>0.06567</v>
      </c>
      <c r="F31" s="41">
        <f>((C30+D30)*E31/360*B30)+((C31+D31)*E31/360*B31)</f>
        <v>9413591.652666667</v>
      </c>
      <c r="G31" s="41">
        <f>((C30+D30)*$H$3/360*B30)+((C31+D31)*$H$3/360*B31)</f>
        <v>573387.6444444444</v>
      </c>
      <c r="H31" s="91"/>
      <c r="I31" s="91"/>
      <c r="J31" s="231"/>
    </row>
    <row r="32" spans="1:10" ht="12.75">
      <c r="A32" s="90">
        <v>40152</v>
      </c>
      <c r="B32" s="307">
        <f t="shared" si="3"/>
        <v>66</v>
      </c>
      <c r="C32" s="41">
        <f t="shared" si="2"/>
        <v>545714000</v>
      </c>
      <c r="D32" s="41">
        <v>8800000</v>
      </c>
      <c r="E32" s="302"/>
      <c r="F32" s="41"/>
      <c r="G32" s="41"/>
      <c r="H32" s="91"/>
      <c r="I32" s="91"/>
      <c r="J32" s="231"/>
    </row>
    <row r="33" spans="1:10" ht="12.75">
      <c r="A33" s="97">
        <v>40178</v>
      </c>
      <c r="B33" s="308">
        <f t="shared" si="3"/>
        <v>26</v>
      </c>
      <c r="C33" s="99">
        <f t="shared" si="2"/>
        <v>545714000</v>
      </c>
      <c r="D33" s="99"/>
      <c r="E33" s="303">
        <f>E31</f>
        <v>0.06567</v>
      </c>
      <c r="F33" s="99">
        <f>((C32+D32)*E33/360*B32)+((C33+D33)*E33/360*B33)</f>
        <v>9264301.852666667</v>
      </c>
      <c r="G33" s="41">
        <f>((C32+D32)*$H$3/360*B32)+((C33+D33)*$H$3/360*B33)</f>
        <v>564294.3111111111</v>
      </c>
      <c r="H33" s="300">
        <f>SUM(F27:G33)</f>
        <v>39922305.33527777</v>
      </c>
      <c r="I33" s="300">
        <f>SUM(D26:D33)</f>
        <v>35200000</v>
      </c>
      <c r="J33" s="301">
        <f>SUM(H33:I33)</f>
        <v>75122305.33527777</v>
      </c>
    </row>
    <row r="34" spans="1:10" ht="12.75">
      <c r="A34" s="103">
        <v>40242</v>
      </c>
      <c r="B34" s="306">
        <f>A34-A33</f>
        <v>64</v>
      </c>
      <c r="C34" s="42">
        <f aca="true" t="shared" si="4" ref="C34:C97">C33-D34</f>
        <v>536914000</v>
      </c>
      <c r="D34" s="42">
        <v>8800000</v>
      </c>
      <c r="E34" s="104"/>
      <c r="F34" s="104"/>
      <c r="G34" s="104"/>
      <c r="H34" s="104"/>
      <c r="I34" s="104"/>
      <c r="J34" s="242"/>
    </row>
    <row r="35" spans="1:10" ht="12.75">
      <c r="A35" s="90">
        <v>40268</v>
      </c>
      <c r="B35" s="307">
        <f t="shared" si="3"/>
        <v>26</v>
      </c>
      <c r="C35" s="41">
        <f t="shared" si="4"/>
        <v>536914000</v>
      </c>
      <c r="D35" s="41"/>
      <c r="E35" s="302">
        <f>E33</f>
        <v>0.06567</v>
      </c>
      <c r="F35" s="41">
        <f>((C34+D34)*E35/360*B34)+((C35+D35)*E35/360*B35)</f>
        <v>8917522.661666667</v>
      </c>
      <c r="G35" s="41">
        <f>((C34+D34)*$H$3/360*B34)+((C35+D35)*$H$3/360*B35)</f>
        <v>543171.7777777778</v>
      </c>
      <c r="H35" s="91"/>
      <c r="I35" s="91"/>
      <c r="J35" s="231"/>
    </row>
    <row r="36" spans="1:10" ht="12.75">
      <c r="A36" s="90">
        <v>40334</v>
      </c>
      <c r="B36" s="307">
        <f t="shared" si="3"/>
        <v>66</v>
      </c>
      <c r="C36" s="41">
        <f t="shared" si="4"/>
        <v>528114000</v>
      </c>
      <c r="D36" s="41">
        <v>8800000</v>
      </c>
      <c r="E36" s="302"/>
      <c r="F36" s="41"/>
      <c r="G36" s="41"/>
      <c r="H36" s="91"/>
      <c r="I36" s="91"/>
      <c r="J36" s="231"/>
    </row>
    <row r="37" spans="1:10" ht="12.75">
      <c r="A37" s="90">
        <v>40359</v>
      </c>
      <c r="B37" s="307">
        <f t="shared" si="3"/>
        <v>25</v>
      </c>
      <c r="C37" s="41">
        <f t="shared" si="4"/>
        <v>528114000</v>
      </c>
      <c r="D37" s="41"/>
      <c r="E37" s="302">
        <f>E35</f>
        <v>0.06567</v>
      </c>
      <c r="F37" s="41">
        <f>((C36+D36)*E37/360*B36)+((C37+D37)*E37/360*B37)</f>
        <v>8872595.9905</v>
      </c>
      <c r="G37" s="41">
        <f>((C36+D36)*$H$3/360*B36)+((C37+D37)*$H$3/360*B37)</f>
        <v>540435.2666666666</v>
      </c>
      <c r="H37" s="91"/>
      <c r="I37" s="91"/>
      <c r="J37" s="231"/>
    </row>
    <row r="38" spans="1:10" ht="12.75">
      <c r="A38" s="90">
        <v>40426</v>
      </c>
      <c r="B38" s="307">
        <f t="shared" si="3"/>
        <v>67</v>
      </c>
      <c r="C38" s="41">
        <f t="shared" si="4"/>
        <v>519314000</v>
      </c>
      <c r="D38" s="41">
        <v>8800000</v>
      </c>
      <c r="E38" s="302"/>
      <c r="F38" s="41"/>
      <c r="G38" s="41"/>
      <c r="H38" s="91"/>
      <c r="I38" s="91"/>
      <c r="J38" s="231"/>
    </row>
    <row r="39" spans="1:10" ht="12.75">
      <c r="A39" s="90">
        <v>40451</v>
      </c>
      <c r="B39" s="307">
        <f t="shared" si="3"/>
        <v>25</v>
      </c>
      <c r="C39" s="41">
        <f t="shared" si="4"/>
        <v>519314000</v>
      </c>
      <c r="D39" s="41"/>
      <c r="E39" s="302">
        <f>E37</f>
        <v>0.06567</v>
      </c>
      <c r="F39" s="41">
        <f>((C38+D38)*E39/360*B38)+((C39+D39)*E39/360*B39)</f>
        <v>8822853.519333335</v>
      </c>
      <c r="G39" s="41">
        <f>((C38+D38)*$H$3/360*B38)+((C39+D39)*$H$3/360*B39)</f>
        <v>537405.4222222222</v>
      </c>
      <c r="H39" s="91"/>
      <c r="I39" s="91"/>
      <c r="J39" s="231"/>
    </row>
    <row r="40" spans="1:10" ht="12.75">
      <c r="A40" s="90">
        <v>40517</v>
      </c>
      <c r="B40" s="307">
        <f t="shared" si="3"/>
        <v>66</v>
      </c>
      <c r="C40" s="41">
        <f t="shared" si="4"/>
        <v>510514000</v>
      </c>
      <c r="D40" s="41">
        <v>8800000</v>
      </c>
      <c r="E40" s="302"/>
      <c r="F40" s="41"/>
      <c r="G40" s="41"/>
      <c r="H40" s="91"/>
      <c r="I40" s="91"/>
      <c r="J40" s="231"/>
    </row>
    <row r="41" spans="1:10" ht="12.75">
      <c r="A41" s="97">
        <v>40543</v>
      </c>
      <c r="B41" s="308">
        <f t="shared" si="3"/>
        <v>26</v>
      </c>
      <c r="C41" s="99">
        <f t="shared" si="4"/>
        <v>510514000</v>
      </c>
      <c r="D41" s="99"/>
      <c r="E41" s="303">
        <f>E39</f>
        <v>0.06567</v>
      </c>
      <c r="F41" s="99">
        <f>((C40+D40)*E41/360*B40)+((C41+D41)*E41/360*B41)</f>
        <v>8673563.719333334</v>
      </c>
      <c r="G41" s="41">
        <f>((C40+D40)*$H$3/360*B40)+((C41+D41)*$H$3/360*B41)</f>
        <v>528312.088888889</v>
      </c>
      <c r="H41" s="300">
        <f>SUM(F35:G41)</f>
        <v>37435860.44638889</v>
      </c>
      <c r="I41" s="300">
        <f>SUM(D34:D41)</f>
        <v>35200000</v>
      </c>
      <c r="J41" s="301">
        <f>SUM(H41:I41)</f>
        <v>72635860.4463889</v>
      </c>
    </row>
    <row r="42" spans="1:10" ht="12.75">
      <c r="A42" s="103">
        <v>40607</v>
      </c>
      <c r="B42" s="306">
        <f>A42-A41</f>
        <v>64</v>
      </c>
      <c r="C42" s="42">
        <f t="shared" si="4"/>
        <v>501714000</v>
      </c>
      <c r="D42" s="42">
        <v>8800000</v>
      </c>
      <c r="E42" s="104"/>
      <c r="F42" s="104"/>
      <c r="G42" s="104"/>
      <c r="H42" s="104"/>
      <c r="I42" s="104"/>
      <c r="J42" s="242"/>
    </row>
    <row r="43" spans="1:10" ht="12.75">
      <c r="A43" s="90">
        <v>40633</v>
      </c>
      <c r="B43" s="307">
        <f t="shared" si="3"/>
        <v>26</v>
      </c>
      <c r="C43" s="41">
        <f t="shared" si="4"/>
        <v>501714000</v>
      </c>
      <c r="D43" s="41"/>
      <c r="E43" s="302">
        <f>E41</f>
        <v>0.06567</v>
      </c>
      <c r="F43" s="41">
        <f>((C42+D42)*E43/360*B42)+((C43+D43)*E43/360*B43)</f>
        <v>8339626.661666667</v>
      </c>
      <c r="G43" s="41">
        <f>((C42+D42)*$H$3/360*B42)+((C43+D43)*$H$3/360*B43)</f>
        <v>507971.77777777775</v>
      </c>
      <c r="H43" s="91"/>
      <c r="I43" s="91"/>
      <c r="J43" s="231"/>
    </row>
    <row r="44" spans="1:10" ht="12.75">
      <c r="A44" s="90">
        <v>40699</v>
      </c>
      <c r="B44" s="307">
        <f t="shared" si="3"/>
        <v>66</v>
      </c>
      <c r="C44" s="41">
        <f t="shared" si="4"/>
        <v>492914000</v>
      </c>
      <c r="D44" s="41">
        <v>8800000</v>
      </c>
      <c r="E44" s="302"/>
      <c r="F44" s="41"/>
      <c r="G44" s="41"/>
      <c r="H44" s="91"/>
      <c r="I44" s="91"/>
      <c r="J44" s="231"/>
    </row>
    <row r="45" spans="1:10" ht="12.75">
      <c r="A45" s="90">
        <v>40724</v>
      </c>
      <c r="B45" s="307">
        <f t="shared" si="3"/>
        <v>25</v>
      </c>
      <c r="C45" s="41">
        <f t="shared" si="4"/>
        <v>492914000</v>
      </c>
      <c r="D45" s="41"/>
      <c r="E45" s="302">
        <f>E43</f>
        <v>0.06567</v>
      </c>
      <c r="F45" s="41">
        <f>((C44+D44)*E45/360*B44)+((C45+D45)*E45/360*B45)</f>
        <v>8288278.923833335</v>
      </c>
      <c r="G45" s="41">
        <f>((C44+D44)*$H$3/360*B44)+((C45+D45)*$H$3/360*B45)</f>
        <v>504844.1555555556</v>
      </c>
      <c r="H45" s="91"/>
      <c r="I45" s="91"/>
      <c r="J45" s="231"/>
    </row>
    <row r="46" spans="1:10" ht="12.75">
      <c r="A46" s="90">
        <v>40791</v>
      </c>
      <c r="B46" s="307">
        <f t="shared" si="3"/>
        <v>67</v>
      </c>
      <c r="C46" s="41">
        <f t="shared" si="4"/>
        <v>484114000</v>
      </c>
      <c r="D46" s="41">
        <v>8800000</v>
      </c>
      <c r="E46" s="302"/>
      <c r="F46" s="41"/>
      <c r="G46" s="41"/>
      <c r="H46" s="91"/>
      <c r="I46" s="91"/>
      <c r="J46" s="231"/>
    </row>
    <row r="47" spans="1:10" ht="12.75">
      <c r="A47" s="90">
        <v>40816</v>
      </c>
      <c r="B47" s="307">
        <f t="shared" si="3"/>
        <v>25</v>
      </c>
      <c r="C47" s="41">
        <f t="shared" si="4"/>
        <v>484114000</v>
      </c>
      <c r="D47" s="41"/>
      <c r="E47" s="302">
        <f>E45</f>
        <v>0.06567</v>
      </c>
      <c r="F47" s="41">
        <f>((C46+D46)*E47/360*B46)+((C47+D47)*E47/360*B47)</f>
        <v>8232115.386000001</v>
      </c>
      <c r="G47" s="41">
        <f>((C46+D46)*$H$3/360*B46)+((C47+D47)*$H$3/360*B47)</f>
        <v>501423.2</v>
      </c>
      <c r="H47" s="91"/>
      <c r="I47" s="91"/>
      <c r="J47" s="231"/>
    </row>
    <row r="48" spans="1:10" ht="12.75">
      <c r="A48" s="90">
        <v>40882</v>
      </c>
      <c r="B48" s="307">
        <f t="shared" si="3"/>
        <v>66</v>
      </c>
      <c r="C48" s="41">
        <f t="shared" si="4"/>
        <v>475314000</v>
      </c>
      <c r="D48" s="41">
        <v>8800000</v>
      </c>
      <c r="E48" s="302"/>
      <c r="F48" s="41"/>
      <c r="G48" s="41"/>
      <c r="H48" s="91"/>
      <c r="I48" s="91"/>
      <c r="J48" s="231"/>
    </row>
    <row r="49" spans="1:10" ht="12.75">
      <c r="A49" s="97">
        <v>40908</v>
      </c>
      <c r="B49" s="308">
        <f t="shared" si="3"/>
        <v>26</v>
      </c>
      <c r="C49" s="99">
        <f t="shared" si="4"/>
        <v>475314000</v>
      </c>
      <c r="D49" s="99"/>
      <c r="E49" s="303">
        <f>E47</f>
        <v>0.06567</v>
      </c>
      <c r="F49" s="99">
        <f>((C48+D48)*E49/360*B48)+((C49+D49)*E49/360*B49)</f>
        <v>8082825.586000001</v>
      </c>
      <c r="G49" s="41">
        <f>((C48+D48)*$H$3/360*B48)+((C49+D49)*$H$3/360*B49)</f>
        <v>492329.8666666667</v>
      </c>
      <c r="H49" s="300">
        <f>SUM(F43:G49)</f>
        <v>34949415.5575</v>
      </c>
      <c r="I49" s="300">
        <f>SUM(D42:D49)</f>
        <v>35200000</v>
      </c>
      <c r="J49" s="301">
        <f>SUM(H49:I49)</f>
        <v>70149415.5575</v>
      </c>
    </row>
    <row r="50" spans="1:10" ht="12.75">
      <c r="A50" s="103">
        <v>40973</v>
      </c>
      <c r="B50" s="306">
        <f>A50-A49</f>
        <v>65</v>
      </c>
      <c r="C50" s="42">
        <f t="shared" si="4"/>
        <v>466514000</v>
      </c>
      <c r="D50" s="42">
        <v>8800000</v>
      </c>
      <c r="E50" s="104"/>
      <c r="F50" s="104"/>
      <c r="G50" s="104"/>
      <c r="H50" s="104"/>
      <c r="I50" s="104"/>
      <c r="J50" s="242"/>
    </row>
    <row r="51" spans="1:10" ht="12.75">
      <c r="A51" s="90">
        <v>40999</v>
      </c>
      <c r="B51" s="307">
        <f t="shared" si="3"/>
        <v>26</v>
      </c>
      <c r="C51" s="41">
        <f t="shared" si="4"/>
        <v>466514000</v>
      </c>
      <c r="D51" s="41"/>
      <c r="E51" s="302">
        <f>E49</f>
        <v>0.06567</v>
      </c>
      <c r="F51" s="41">
        <f>((C50+D50)*E51/360*B50)+((C51+D51)*E51/360*B51)</f>
        <v>7848435.8571666675</v>
      </c>
      <c r="G51" s="41">
        <f>((C50+D50)*$H$3/360*B50)+((C51+D51)*$H$3/360*B51)</f>
        <v>478053.0444444444</v>
      </c>
      <c r="H51" s="91"/>
      <c r="I51" s="91"/>
      <c r="J51" s="231"/>
    </row>
    <row r="52" spans="1:10" ht="12.75">
      <c r="A52" s="90">
        <v>41065</v>
      </c>
      <c r="B52" s="307">
        <f t="shared" si="3"/>
        <v>66</v>
      </c>
      <c r="C52" s="41">
        <f t="shared" si="4"/>
        <v>457714000</v>
      </c>
      <c r="D52" s="41">
        <v>8800000</v>
      </c>
      <c r="E52" s="302"/>
      <c r="F52" s="41"/>
      <c r="G52" s="41"/>
      <c r="H52" s="91"/>
      <c r="I52" s="91"/>
      <c r="J52" s="231"/>
    </row>
    <row r="53" spans="1:10" ht="12.75">
      <c r="A53" s="90">
        <v>41090</v>
      </c>
      <c r="B53" s="307">
        <f t="shared" si="3"/>
        <v>25</v>
      </c>
      <c r="C53" s="41">
        <f t="shared" si="4"/>
        <v>457714000</v>
      </c>
      <c r="D53" s="41"/>
      <c r="E53" s="302">
        <f>E51</f>
        <v>0.06567</v>
      </c>
      <c r="F53" s="41">
        <f>((C52+D52)*E53/360*B52)+((C53+D53)*E53/360*B53)</f>
        <v>7703961.8571666675</v>
      </c>
      <c r="G53" s="41">
        <f>((C52+D52)*$H$3/360*B52)+((C53+D53)*$H$3/360*B53)</f>
        <v>469253.0444444444</v>
      </c>
      <c r="H53" s="91"/>
      <c r="I53" s="91"/>
      <c r="J53" s="231"/>
    </row>
    <row r="54" spans="1:10" ht="12.75">
      <c r="A54" s="90">
        <v>41157</v>
      </c>
      <c r="B54" s="307">
        <f t="shared" si="3"/>
        <v>67</v>
      </c>
      <c r="C54" s="41">
        <f t="shared" si="4"/>
        <v>448914000</v>
      </c>
      <c r="D54" s="41">
        <v>8800000</v>
      </c>
      <c r="E54" s="302"/>
      <c r="F54" s="41"/>
      <c r="G54" s="41"/>
      <c r="H54" s="91"/>
      <c r="I54" s="91"/>
      <c r="J54" s="231"/>
    </row>
    <row r="55" spans="1:10" ht="12.75">
      <c r="A55" s="90">
        <v>41182</v>
      </c>
      <c r="B55" s="307">
        <f t="shared" si="3"/>
        <v>25</v>
      </c>
      <c r="C55" s="41">
        <f t="shared" si="4"/>
        <v>448914000</v>
      </c>
      <c r="D55" s="41"/>
      <c r="E55" s="302">
        <f>E53</f>
        <v>0.06567</v>
      </c>
      <c r="F55" s="41">
        <f>((C54+D54)*E55/360*B54)+((C55+D55)*E55/360*B55)</f>
        <v>7641377.252666667</v>
      </c>
      <c r="G55" s="41">
        <f>((C54+D54)*$H$3/360*B54)+((C55+D55)*$H$3/360*B55)</f>
        <v>465440.97777777776</v>
      </c>
      <c r="H55" s="91"/>
      <c r="I55" s="91"/>
      <c r="J55" s="231"/>
    </row>
    <row r="56" spans="1:10" ht="12.75">
      <c r="A56" s="90">
        <v>41248</v>
      </c>
      <c r="B56" s="307">
        <f t="shared" si="3"/>
        <v>66</v>
      </c>
      <c r="C56" s="41">
        <f t="shared" si="4"/>
        <v>440114000</v>
      </c>
      <c r="D56" s="41">
        <v>8800000</v>
      </c>
      <c r="E56" s="302"/>
      <c r="F56" s="41"/>
      <c r="G56" s="41"/>
      <c r="H56" s="91"/>
      <c r="I56" s="91"/>
      <c r="J56" s="231"/>
    </row>
    <row r="57" spans="1:10" ht="12.75">
      <c r="A57" s="97">
        <v>41274</v>
      </c>
      <c r="B57" s="308">
        <f t="shared" si="3"/>
        <v>26</v>
      </c>
      <c r="C57" s="99">
        <f t="shared" si="4"/>
        <v>440114000</v>
      </c>
      <c r="D57" s="99"/>
      <c r="E57" s="303">
        <f>E55</f>
        <v>0.06567</v>
      </c>
      <c r="F57" s="99">
        <f>((C56+D56)*E57/360*B56)+((C57+D57)*E57/360*B57)</f>
        <v>7492087.452666668</v>
      </c>
      <c r="G57" s="41">
        <f>((C56+D56)*$H$3/360*B56)+((C57+D57)*$H$3/360*B57)</f>
        <v>456347.6444444444</v>
      </c>
      <c r="H57" s="300">
        <f>SUM(F51:G57)</f>
        <v>32554957.130777784</v>
      </c>
      <c r="I57" s="300">
        <f>SUM(D50:D57)</f>
        <v>35200000</v>
      </c>
      <c r="J57" s="301">
        <f>SUM(H57:I57)</f>
        <v>67754957.13077778</v>
      </c>
    </row>
    <row r="58" spans="1:10" ht="12.75">
      <c r="A58" s="103">
        <v>41338</v>
      </c>
      <c r="B58" s="306">
        <f>A58-A57</f>
        <v>64</v>
      </c>
      <c r="C58" s="42">
        <f t="shared" si="4"/>
        <v>431314000</v>
      </c>
      <c r="D58" s="42">
        <v>8800000</v>
      </c>
      <c r="E58" s="104"/>
      <c r="F58" s="104"/>
      <c r="G58" s="104"/>
      <c r="H58" s="104"/>
      <c r="I58" s="104"/>
      <c r="J58" s="242"/>
    </row>
    <row r="59" spans="1:10" ht="12.75">
      <c r="A59" s="90">
        <v>41364</v>
      </c>
      <c r="B59" s="307">
        <f t="shared" si="3"/>
        <v>26</v>
      </c>
      <c r="C59" s="41">
        <f t="shared" si="4"/>
        <v>431314000</v>
      </c>
      <c r="D59" s="41"/>
      <c r="E59" s="302">
        <f>E57</f>
        <v>0.06567</v>
      </c>
      <c r="F59" s="41">
        <f>((C58+D58)*E59/360*B58)+((C59+D59)*E59/360*B59)</f>
        <v>7183834.661666667</v>
      </c>
      <c r="G59" s="41">
        <f>((C58+D58)*$H$3/360*B58)+((C59+D59)*$H$3/360*B59)</f>
        <v>437571.77777777775</v>
      </c>
      <c r="H59" s="91"/>
      <c r="I59" s="91"/>
      <c r="J59" s="231"/>
    </row>
    <row r="60" spans="1:10" ht="12.75">
      <c r="A60" s="90">
        <v>41430</v>
      </c>
      <c r="B60" s="307">
        <f t="shared" si="3"/>
        <v>66</v>
      </c>
      <c r="C60" s="41">
        <f t="shared" si="4"/>
        <v>422514000</v>
      </c>
      <c r="D60" s="41">
        <v>8800000</v>
      </c>
      <c r="E60" s="302"/>
      <c r="F60" s="41"/>
      <c r="G60" s="41"/>
      <c r="H60" s="91"/>
      <c r="I60" s="91"/>
      <c r="J60" s="231"/>
    </row>
    <row r="61" spans="1:10" ht="12.75">
      <c r="A61" s="90">
        <v>41455</v>
      </c>
      <c r="B61" s="307">
        <f t="shared" si="3"/>
        <v>25</v>
      </c>
      <c r="C61" s="41">
        <f t="shared" si="4"/>
        <v>422514000</v>
      </c>
      <c r="D61" s="41"/>
      <c r="E61" s="302">
        <f>E59</f>
        <v>0.06567</v>
      </c>
      <c r="F61" s="41">
        <f>((C60+D60)*E61/360*B60)+((C61+D61)*E61/360*B61)</f>
        <v>7119644.790500001</v>
      </c>
      <c r="G61" s="41">
        <f>((C60+D60)*$H$3/360*B60)+((C61+D61)*$H$3/360*B61)</f>
        <v>433661.93333333335</v>
      </c>
      <c r="H61" s="91"/>
      <c r="I61" s="91"/>
      <c r="J61" s="231"/>
    </row>
    <row r="62" spans="1:10" ht="12.75">
      <c r="A62" s="90">
        <v>41522</v>
      </c>
      <c r="B62" s="307">
        <f t="shared" si="3"/>
        <v>67</v>
      </c>
      <c r="C62" s="41">
        <f t="shared" si="4"/>
        <v>413714000</v>
      </c>
      <c r="D62" s="41">
        <v>8800000</v>
      </c>
      <c r="E62" s="302"/>
      <c r="F62" s="41"/>
      <c r="G62" s="41"/>
      <c r="H62" s="91"/>
      <c r="I62" s="91"/>
      <c r="J62" s="231"/>
    </row>
    <row r="63" spans="1:10" ht="12.75">
      <c r="A63" s="90">
        <v>41547</v>
      </c>
      <c r="B63" s="307">
        <f t="shared" si="3"/>
        <v>25</v>
      </c>
      <c r="C63" s="41">
        <f t="shared" si="4"/>
        <v>413714000</v>
      </c>
      <c r="D63" s="41"/>
      <c r="E63" s="302">
        <f>E61</f>
        <v>0.06567</v>
      </c>
      <c r="F63" s="41">
        <f>((C62+D62)*E63/360*B62)+((C63+D63)*E63/360*B63)</f>
        <v>7050639.119333334</v>
      </c>
      <c r="G63" s="41">
        <f>((C62+D62)*$H$3/360*B62)+((C63+D63)*$H$3/360*B63)</f>
        <v>429458.7555555556</v>
      </c>
      <c r="H63" s="91"/>
      <c r="I63" s="91"/>
      <c r="J63" s="231"/>
    </row>
    <row r="64" spans="1:10" ht="12.75">
      <c r="A64" s="90">
        <v>41613</v>
      </c>
      <c r="B64" s="307">
        <f t="shared" si="3"/>
        <v>66</v>
      </c>
      <c r="C64" s="41">
        <f t="shared" si="4"/>
        <v>404914000</v>
      </c>
      <c r="D64" s="41">
        <v>8800000</v>
      </c>
      <c r="E64" s="302"/>
      <c r="F64" s="41"/>
      <c r="G64" s="41"/>
      <c r="H64" s="91"/>
      <c r="I64" s="91"/>
      <c r="J64" s="231"/>
    </row>
    <row r="65" spans="1:10" ht="12.75">
      <c r="A65" s="97">
        <v>41639</v>
      </c>
      <c r="B65" s="308">
        <f t="shared" si="3"/>
        <v>26</v>
      </c>
      <c r="C65" s="99">
        <f t="shared" si="4"/>
        <v>404914000</v>
      </c>
      <c r="D65" s="99"/>
      <c r="E65" s="303">
        <f>E63</f>
        <v>0.06567</v>
      </c>
      <c r="F65" s="99">
        <f>((C64+D64)*E65/360*B64)+((C65+D65)*E65/360*B65)</f>
        <v>6901349.3193333335</v>
      </c>
      <c r="G65" s="41">
        <f>((C64+D64)*$H$3/360*B64)+((C65+D65)*$H$3/360*B65)</f>
        <v>420365.4222222222</v>
      </c>
      <c r="H65" s="300">
        <f>SUM(F59:G65)</f>
        <v>29976525.779722225</v>
      </c>
      <c r="I65" s="300">
        <f>SUM(D58:D65)</f>
        <v>35200000</v>
      </c>
      <c r="J65" s="301">
        <f>SUM(H65:I65)</f>
        <v>65176525.77972223</v>
      </c>
    </row>
    <row r="66" spans="1:10" ht="12.75">
      <c r="A66" s="103">
        <v>41703</v>
      </c>
      <c r="B66" s="306">
        <f>A66-A65</f>
        <v>64</v>
      </c>
      <c r="C66" s="42">
        <f t="shared" si="4"/>
        <v>396114000</v>
      </c>
      <c r="D66" s="42">
        <v>8800000</v>
      </c>
      <c r="E66" s="104"/>
      <c r="F66" s="104"/>
      <c r="G66" s="104"/>
      <c r="H66" s="104"/>
      <c r="I66" s="104"/>
      <c r="J66" s="242"/>
    </row>
    <row r="67" spans="1:10" ht="12.75">
      <c r="A67" s="90">
        <v>41729</v>
      </c>
      <c r="B67" s="307">
        <f t="shared" si="3"/>
        <v>26</v>
      </c>
      <c r="C67" s="41">
        <f t="shared" si="4"/>
        <v>396114000</v>
      </c>
      <c r="D67" s="41"/>
      <c r="E67" s="302">
        <f>E65</f>
        <v>0.06567</v>
      </c>
      <c r="F67" s="41">
        <f>((C66+D66)*E67/360*B66)+((C67+D67)*E67/360*B67)</f>
        <v>6605938.661666667</v>
      </c>
      <c r="G67" s="41">
        <f>((C66+D66)*$H$3/360*B66)+((C67+D67)*$H$3/360*B67)</f>
        <v>402371.77777777775</v>
      </c>
      <c r="H67" s="91"/>
      <c r="I67" s="91"/>
      <c r="J67" s="231"/>
    </row>
    <row r="68" spans="1:10" ht="12.75">
      <c r="A68" s="90">
        <v>41795</v>
      </c>
      <c r="B68" s="307">
        <f t="shared" si="3"/>
        <v>66</v>
      </c>
      <c r="C68" s="41">
        <f t="shared" si="4"/>
        <v>387314000</v>
      </c>
      <c r="D68" s="41">
        <v>8800000</v>
      </c>
      <c r="E68" s="302"/>
      <c r="F68" s="41"/>
      <c r="G68" s="41"/>
      <c r="H68" s="91"/>
      <c r="I68" s="91"/>
      <c r="J68" s="231"/>
    </row>
    <row r="69" spans="1:10" ht="12.75">
      <c r="A69" s="90">
        <v>41820</v>
      </c>
      <c r="B69" s="307">
        <f t="shared" si="3"/>
        <v>25</v>
      </c>
      <c r="C69" s="41">
        <f t="shared" si="4"/>
        <v>387314000</v>
      </c>
      <c r="D69" s="41"/>
      <c r="E69" s="302">
        <f>E67</f>
        <v>0.06567</v>
      </c>
      <c r="F69" s="41">
        <f>((C68+D68)*E69/360*B68)+((C69+D69)*E69/360*B69)</f>
        <v>6535327.723833334</v>
      </c>
      <c r="G69" s="41">
        <f>((C68+D68)*$H$3/360*B68)+((C69+D69)*$H$3/360*B69)</f>
        <v>398070.8222222222</v>
      </c>
      <c r="H69" s="91"/>
      <c r="I69" s="91"/>
      <c r="J69" s="231"/>
    </row>
    <row r="70" spans="1:10" ht="12.75">
      <c r="A70" s="90">
        <v>41887</v>
      </c>
      <c r="B70" s="307">
        <f t="shared" si="3"/>
        <v>67</v>
      </c>
      <c r="C70" s="41">
        <f t="shared" si="4"/>
        <v>378514000</v>
      </c>
      <c r="D70" s="41">
        <v>8800000</v>
      </c>
      <c r="E70" s="302"/>
      <c r="F70" s="41"/>
      <c r="G70" s="41"/>
      <c r="H70" s="91"/>
      <c r="I70" s="91"/>
      <c r="J70" s="231"/>
    </row>
    <row r="71" spans="1:10" ht="12.75">
      <c r="A71" s="90">
        <v>41912</v>
      </c>
      <c r="B71" s="307">
        <f t="shared" si="3"/>
        <v>25</v>
      </c>
      <c r="C71" s="41">
        <f t="shared" si="4"/>
        <v>378514000</v>
      </c>
      <c r="D71" s="41"/>
      <c r="E71" s="302">
        <f>E69</f>
        <v>0.06567</v>
      </c>
      <c r="F71" s="41">
        <f>((C70+D70)*E71/360*B70)+((C71+D71)*E71/360*B71)</f>
        <v>6459900.986000001</v>
      </c>
      <c r="G71" s="41">
        <f>((C70+D70)*$H$3/360*B70)+((C71+D71)*$H$3/360*B71)</f>
        <v>393476.5333333333</v>
      </c>
      <c r="H71" s="91"/>
      <c r="I71" s="91"/>
      <c r="J71" s="231"/>
    </row>
    <row r="72" spans="1:10" ht="12.75">
      <c r="A72" s="90">
        <v>41978</v>
      </c>
      <c r="B72" s="307">
        <f t="shared" si="3"/>
        <v>66</v>
      </c>
      <c r="C72" s="41">
        <f t="shared" si="4"/>
        <v>369714000</v>
      </c>
      <c r="D72" s="41">
        <v>8800000</v>
      </c>
      <c r="E72" s="302"/>
      <c r="F72" s="41"/>
      <c r="G72" s="41"/>
      <c r="H72" s="91"/>
      <c r="I72" s="91"/>
      <c r="J72" s="231"/>
    </row>
    <row r="73" spans="1:10" ht="12.75">
      <c r="A73" s="97">
        <v>42004</v>
      </c>
      <c r="B73" s="308">
        <f t="shared" si="3"/>
        <v>26</v>
      </c>
      <c r="C73" s="99">
        <f t="shared" si="4"/>
        <v>369714000</v>
      </c>
      <c r="D73" s="99"/>
      <c r="E73" s="303">
        <f>E71</f>
        <v>0.06567</v>
      </c>
      <c r="F73" s="99">
        <f>((C72+D72)*E73/360*B72)+((C73+D73)*E73/360*B73)</f>
        <v>6310611.186000001</v>
      </c>
      <c r="G73" s="41">
        <f>((C72+D72)*$H$3/360*B72)+((C73+D73)*$H$3/360*B73)</f>
        <v>384383.19999999995</v>
      </c>
      <c r="H73" s="300">
        <f>SUM(F67:G73)</f>
        <v>27490080.890833337</v>
      </c>
      <c r="I73" s="300">
        <f>SUM(D66:D73)</f>
        <v>35200000</v>
      </c>
      <c r="J73" s="301">
        <f>SUM(H73:I73)</f>
        <v>62690080.89083333</v>
      </c>
    </row>
    <row r="74" spans="1:10" ht="12.75">
      <c r="A74" s="103">
        <v>42068</v>
      </c>
      <c r="B74" s="306">
        <f>A74-A73</f>
        <v>64</v>
      </c>
      <c r="C74" s="42">
        <f t="shared" si="4"/>
        <v>360914000</v>
      </c>
      <c r="D74" s="42">
        <v>8800000</v>
      </c>
      <c r="E74" s="104"/>
      <c r="F74" s="104"/>
      <c r="G74" s="104"/>
      <c r="H74" s="104"/>
      <c r="I74" s="104"/>
      <c r="J74" s="242"/>
    </row>
    <row r="75" spans="1:10" ht="12.75">
      <c r="A75" s="90">
        <v>42094</v>
      </c>
      <c r="B75" s="307">
        <f t="shared" si="3"/>
        <v>26</v>
      </c>
      <c r="C75" s="41">
        <f t="shared" si="4"/>
        <v>360914000</v>
      </c>
      <c r="D75" s="41"/>
      <c r="E75" s="302">
        <f>E73</f>
        <v>0.06567</v>
      </c>
      <c r="F75" s="41">
        <f>((C74+D74)*E75/360*B74)+((C75+D75)*E75/360*B75)</f>
        <v>6028042.661666667</v>
      </c>
      <c r="G75" s="41">
        <f>((C74+D74)*$H$3/360*B74)+((C75+D75)*$H$3/360*B75)</f>
        <v>367171.77777777775</v>
      </c>
      <c r="H75" s="91"/>
      <c r="I75" s="91"/>
      <c r="J75" s="231"/>
    </row>
    <row r="76" spans="1:10" ht="12.75">
      <c r="A76" s="90">
        <v>42160</v>
      </c>
      <c r="B76" s="307">
        <f t="shared" si="3"/>
        <v>66</v>
      </c>
      <c r="C76" s="41">
        <f t="shared" si="4"/>
        <v>352114000</v>
      </c>
      <c r="D76" s="41">
        <v>8800000</v>
      </c>
      <c r="E76" s="302"/>
      <c r="F76" s="41"/>
      <c r="G76" s="41"/>
      <c r="H76" s="91"/>
      <c r="I76" s="91"/>
      <c r="J76" s="231"/>
    </row>
    <row r="77" spans="1:10" ht="12.75">
      <c r="A77" s="90">
        <v>42185</v>
      </c>
      <c r="B77" s="307">
        <f t="shared" si="3"/>
        <v>25</v>
      </c>
      <c r="C77" s="41">
        <f t="shared" si="4"/>
        <v>352114000</v>
      </c>
      <c r="D77" s="41"/>
      <c r="E77" s="302">
        <f>E75</f>
        <v>0.06567</v>
      </c>
      <c r="F77" s="41">
        <f>((C76+D76)*E77/360*B76)+((C77+D77)*E77/360*B77)</f>
        <v>5951010.657166667</v>
      </c>
      <c r="G77" s="41">
        <f>((C76+D76)*$H$3/360*B76)+((C77+D77)*$H$3/360*B77)</f>
        <v>362479.7111111111</v>
      </c>
      <c r="H77" s="91"/>
      <c r="I77" s="91"/>
      <c r="J77" s="231"/>
    </row>
    <row r="78" spans="1:10" ht="12.75">
      <c r="A78" s="90">
        <v>42252</v>
      </c>
      <c r="B78" s="307">
        <f t="shared" si="3"/>
        <v>67</v>
      </c>
      <c r="C78" s="41">
        <f t="shared" si="4"/>
        <v>343314000</v>
      </c>
      <c r="D78" s="41">
        <v>8800000</v>
      </c>
      <c r="E78" s="302"/>
      <c r="F78" s="41"/>
      <c r="G78" s="41"/>
      <c r="H78" s="91"/>
      <c r="I78" s="91"/>
      <c r="J78" s="231"/>
    </row>
    <row r="79" spans="1:10" ht="12.75">
      <c r="A79" s="90">
        <v>42277</v>
      </c>
      <c r="B79" s="307">
        <f t="shared" si="3"/>
        <v>25</v>
      </c>
      <c r="C79" s="41">
        <f t="shared" si="4"/>
        <v>343314000</v>
      </c>
      <c r="D79" s="41"/>
      <c r="E79" s="302">
        <f>E77</f>
        <v>0.06567</v>
      </c>
      <c r="F79" s="41">
        <f>((C78+D78)*E79/360*B78)+((C79+D79)*E79/360*B79)</f>
        <v>5869162.852666667</v>
      </c>
      <c r="G79" s="41">
        <f>((C78+D78)*$H$3/360*B78)+((C79+D79)*$H$3/360*B79)</f>
        <v>357494.3111111111</v>
      </c>
      <c r="H79" s="91"/>
      <c r="I79" s="91"/>
      <c r="J79" s="231"/>
    </row>
    <row r="80" spans="1:10" ht="12.75">
      <c r="A80" s="90">
        <v>42343</v>
      </c>
      <c r="B80" s="307">
        <f t="shared" si="3"/>
        <v>66</v>
      </c>
      <c r="C80" s="41">
        <f t="shared" si="4"/>
        <v>334514000</v>
      </c>
      <c r="D80" s="41">
        <v>8800000</v>
      </c>
      <c r="E80" s="302"/>
      <c r="F80" s="41"/>
      <c r="G80" s="41"/>
      <c r="H80" s="91"/>
      <c r="I80" s="91"/>
      <c r="J80" s="231"/>
    </row>
    <row r="81" spans="1:10" ht="12.75">
      <c r="A81" s="97">
        <v>42369</v>
      </c>
      <c r="B81" s="308">
        <f t="shared" si="3"/>
        <v>26</v>
      </c>
      <c r="C81" s="99">
        <f t="shared" si="4"/>
        <v>334514000</v>
      </c>
      <c r="D81" s="99"/>
      <c r="E81" s="303">
        <f>E79</f>
        <v>0.06567</v>
      </c>
      <c r="F81" s="99">
        <f>((C80+D80)*E81/360*B80)+((C81+D81)*E81/360*B81)</f>
        <v>5719873.052666667</v>
      </c>
      <c r="G81" s="41">
        <f>((C80+D80)*$H$3/360*B80)+((C81+D81)*$H$3/360*B81)</f>
        <v>348400.97777777776</v>
      </c>
      <c r="H81" s="300">
        <f>SUM(F75:G81)</f>
        <v>25003636.00194445</v>
      </c>
      <c r="I81" s="300">
        <f>SUM(D74:D81)</f>
        <v>35200000</v>
      </c>
      <c r="J81" s="301">
        <f>SUM(H81:I81)</f>
        <v>60203636.00194445</v>
      </c>
    </row>
    <row r="82" spans="1:10" ht="12.75">
      <c r="A82" s="103">
        <v>42434</v>
      </c>
      <c r="B82" s="306">
        <f>A82-A81</f>
        <v>65</v>
      </c>
      <c r="C82" s="42">
        <f t="shared" si="4"/>
        <v>325714000</v>
      </c>
      <c r="D82" s="42">
        <v>8800000</v>
      </c>
      <c r="E82" s="104"/>
      <c r="F82" s="104"/>
      <c r="G82" s="104"/>
      <c r="H82" s="104"/>
      <c r="I82" s="104"/>
      <c r="J82" s="242"/>
    </row>
    <row r="83" spans="1:10" ht="12.75">
      <c r="A83" s="90">
        <v>42460</v>
      </c>
      <c r="B83" s="307">
        <f t="shared" si="3"/>
        <v>26</v>
      </c>
      <c r="C83" s="41">
        <f t="shared" si="4"/>
        <v>325714000</v>
      </c>
      <c r="D83" s="41"/>
      <c r="E83" s="302">
        <f>E81</f>
        <v>0.06567</v>
      </c>
      <c r="F83" s="41">
        <f>((C82+D82)*E83/360*B82)+((C83+D83)*E83/360*B83)</f>
        <v>5511167.590500001</v>
      </c>
      <c r="G83" s="41">
        <f>((C82+D82)*$H$3/360*B82)+((C83+D83)*$H$3/360*B83)</f>
        <v>335688.6</v>
      </c>
      <c r="H83" s="91"/>
      <c r="I83" s="91"/>
      <c r="J83" s="231"/>
    </row>
    <row r="84" spans="1:10" ht="12.75">
      <c r="A84" s="90">
        <v>42526</v>
      </c>
      <c r="B84" s="307">
        <f t="shared" si="3"/>
        <v>66</v>
      </c>
      <c r="C84" s="41">
        <f t="shared" si="4"/>
        <v>316914000</v>
      </c>
      <c r="D84" s="41">
        <v>8800000</v>
      </c>
      <c r="E84" s="302"/>
      <c r="F84" s="41"/>
      <c r="G84" s="41"/>
      <c r="H84" s="91"/>
      <c r="I84" s="91"/>
      <c r="J84" s="231"/>
    </row>
    <row r="85" spans="1:10" ht="12.75">
      <c r="A85" s="90">
        <v>42551</v>
      </c>
      <c r="B85" s="307">
        <f t="shared" si="3"/>
        <v>25</v>
      </c>
      <c r="C85" s="41">
        <f t="shared" si="4"/>
        <v>316914000</v>
      </c>
      <c r="D85" s="41"/>
      <c r="E85" s="302">
        <f>E83</f>
        <v>0.06567</v>
      </c>
      <c r="F85" s="41">
        <f>((C84+D84)*E85/360*B84)+((C85+D85)*E85/360*B85)</f>
        <v>5366693.590500001</v>
      </c>
      <c r="G85" s="41">
        <f>((C84+D84)*$H$3/360*B84)+((C85+D85)*$H$3/360*B85)</f>
        <v>326888.6</v>
      </c>
      <c r="H85" s="91"/>
      <c r="I85" s="91"/>
      <c r="J85" s="231"/>
    </row>
    <row r="86" spans="1:10" ht="12.75">
      <c r="A86" s="90">
        <v>42618</v>
      </c>
      <c r="B86" s="307">
        <f t="shared" si="3"/>
        <v>67</v>
      </c>
      <c r="C86" s="41">
        <f t="shared" si="4"/>
        <v>308114000</v>
      </c>
      <c r="D86" s="41">
        <v>8800000</v>
      </c>
      <c r="E86" s="302"/>
      <c r="F86" s="41"/>
      <c r="G86" s="41"/>
      <c r="H86" s="91"/>
      <c r="I86" s="91"/>
      <c r="J86" s="231"/>
    </row>
    <row r="87" spans="1:10" ht="12.75">
      <c r="A87" s="90">
        <v>42643</v>
      </c>
      <c r="B87" s="307">
        <f t="shared" si="3"/>
        <v>25</v>
      </c>
      <c r="C87" s="41">
        <f t="shared" si="4"/>
        <v>308114000</v>
      </c>
      <c r="D87" s="41"/>
      <c r="E87" s="302">
        <f>E85</f>
        <v>0.06567</v>
      </c>
      <c r="F87" s="41">
        <f>((C86+D86)*E87/360*B86)+((C87+D87)*E87/360*B87)</f>
        <v>5278424.719333334</v>
      </c>
      <c r="G87" s="41">
        <f>((C86+D86)*$H$3/360*B86)+((C87+D87)*$H$3/360*B87)</f>
        <v>321512.0888888889</v>
      </c>
      <c r="H87" s="91"/>
      <c r="I87" s="91"/>
      <c r="J87" s="231"/>
    </row>
    <row r="88" spans="1:10" ht="12.75">
      <c r="A88" s="90">
        <v>42709</v>
      </c>
      <c r="B88" s="307">
        <f t="shared" si="3"/>
        <v>66</v>
      </c>
      <c r="C88" s="41">
        <f t="shared" si="4"/>
        <v>299314000</v>
      </c>
      <c r="D88" s="41">
        <v>8800000</v>
      </c>
      <c r="E88" s="302"/>
      <c r="F88" s="41"/>
      <c r="G88" s="41"/>
      <c r="H88" s="91"/>
      <c r="I88" s="91"/>
      <c r="J88" s="231"/>
    </row>
    <row r="89" spans="1:10" ht="12.75">
      <c r="A89" s="97">
        <v>42735</v>
      </c>
      <c r="B89" s="308">
        <f t="shared" si="3"/>
        <v>26</v>
      </c>
      <c r="C89" s="99">
        <f t="shared" si="4"/>
        <v>299314000</v>
      </c>
      <c r="D89" s="99"/>
      <c r="E89" s="303">
        <f>E87</f>
        <v>0.06567</v>
      </c>
      <c r="F89" s="99">
        <f>((C88+D88)*E89/360*B88)+((C89+D89)*E89/360*B89)</f>
        <v>5129134.919333334</v>
      </c>
      <c r="G89" s="41">
        <f>((C88+D88)*$H$3/360*B88)+((C89+D89)*$H$3/360*B89)</f>
        <v>312418.7555555556</v>
      </c>
      <c r="H89" s="300">
        <f>SUM(F83:G89)</f>
        <v>22581928.86411111</v>
      </c>
      <c r="I89" s="300">
        <f>SUM(D82:D89)</f>
        <v>35200000</v>
      </c>
      <c r="J89" s="301">
        <f>SUM(H89:I89)</f>
        <v>57781928.86411111</v>
      </c>
    </row>
    <row r="90" spans="1:10" ht="12.75">
      <c r="A90" s="103">
        <v>42799</v>
      </c>
      <c r="B90" s="306">
        <f>A90-A89</f>
        <v>64</v>
      </c>
      <c r="C90" s="42">
        <f t="shared" si="4"/>
        <v>290514000</v>
      </c>
      <c r="D90" s="42">
        <v>8800000</v>
      </c>
      <c r="E90" s="104"/>
      <c r="F90" s="104"/>
      <c r="G90" s="104"/>
      <c r="H90" s="104"/>
      <c r="I90" s="104"/>
      <c r="J90" s="242"/>
    </row>
    <row r="91" spans="1:10" ht="12.75">
      <c r="A91" s="90">
        <v>42825</v>
      </c>
      <c r="B91" s="307">
        <f t="shared" si="3"/>
        <v>26</v>
      </c>
      <c r="C91" s="41">
        <f t="shared" si="4"/>
        <v>290514000</v>
      </c>
      <c r="D91" s="41"/>
      <c r="E91" s="302">
        <f>E89</f>
        <v>0.06567</v>
      </c>
      <c r="F91" s="41">
        <f>((C90+D90)*E91/360*B90)+((C91+D91)*E91/360*B91)</f>
        <v>4872250.661666667</v>
      </c>
      <c r="G91" s="41">
        <f>((C90+D90)*$H$3/360*B90)+((C91+D91)*$H$3/360*B91)</f>
        <v>296771.77777777775</v>
      </c>
      <c r="H91" s="91"/>
      <c r="I91" s="91"/>
      <c r="J91" s="231"/>
    </row>
    <row r="92" spans="1:10" ht="12.75">
      <c r="A92" s="90">
        <v>42891</v>
      </c>
      <c r="B92" s="307">
        <f aca="true" t="shared" si="5" ref="B92:B97">A92-A91</f>
        <v>66</v>
      </c>
      <c r="C92" s="41">
        <f t="shared" si="4"/>
        <v>281714000</v>
      </c>
      <c r="D92" s="41">
        <v>8800000</v>
      </c>
      <c r="E92" s="302"/>
      <c r="F92" s="41"/>
      <c r="G92" s="41"/>
      <c r="H92" s="91"/>
      <c r="I92" s="91"/>
      <c r="J92" s="231"/>
    </row>
    <row r="93" spans="1:10" ht="12.75">
      <c r="A93" s="90">
        <v>42916</v>
      </c>
      <c r="B93" s="307">
        <f t="shared" si="5"/>
        <v>25</v>
      </c>
      <c r="C93" s="41">
        <f t="shared" si="4"/>
        <v>281714000</v>
      </c>
      <c r="D93" s="41"/>
      <c r="E93" s="302">
        <f>E91</f>
        <v>0.06567</v>
      </c>
      <c r="F93" s="41">
        <f>((C92+D92)*E93/360*B92)+((C93+D93)*E93/360*B93)</f>
        <v>4782376.523833334</v>
      </c>
      <c r="G93" s="41">
        <f>((C92+D92)*$H$3/360*B92)+((C93+D93)*$H$3/360*B93)</f>
        <v>291297.4888888889</v>
      </c>
      <c r="H93" s="91"/>
      <c r="I93" s="91"/>
      <c r="J93" s="231"/>
    </row>
    <row r="94" spans="1:10" ht="12.75">
      <c r="A94" s="90">
        <v>42983</v>
      </c>
      <c r="B94" s="307">
        <f t="shared" si="5"/>
        <v>67</v>
      </c>
      <c r="C94" s="41">
        <f t="shared" si="4"/>
        <v>272914000</v>
      </c>
      <c r="D94" s="41">
        <v>8800000</v>
      </c>
      <c r="E94" s="302"/>
      <c r="F94" s="41"/>
      <c r="G94" s="41"/>
      <c r="H94" s="91"/>
      <c r="I94" s="91"/>
      <c r="J94" s="231"/>
    </row>
    <row r="95" spans="1:10" ht="12.75">
      <c r="A95" s="90">
        <v>43008</v>
      </c>
      <c r="B95" s="307">
        <f t="shared" si="5"/>
        <v>25</v>
      </c>
      <c r="C95" s="41">
        <f t="shared" si="4"/>
        <v>272914000</v>
      </c>
      <c r="D95" s="41"/>
      <c r="E95" s="302">
        <f>E93</f>
        <v>0.06567</v>
      </c>
      <c r="F95" s="41">
        <f>((C94+D94)*E95/360*B94)+((C95+D95)*E95/360*B95)</f>
        <v>4687686.586000001</v>
      </c>
      <c r="G95" s="41">
        <f>((C94+D94)*$H$3/360*B94)+((C95+D95)*$H$3/360*B95)</f>
        <v>285529.8666666667</v>
      </c>
      <c r="H95" s="91"/>
      <c r="I95" s="91"/>
      <c r="J95" s="231"/>
    </row>
    <row r="96" spans="1:10" ht="12.75">
      <c r="A96" s="90">
        <v>43074</v>
      </c>
      <c r="B96" s="307">
        <f t="shared" si="5"/>
        <v>66</v>
      </c>
      <c r="C96" s="41">
        <f t="shared" si="4"/>
        <v>264114000</v>
      </c>
      <c r="D96" s="41">
        <v>8800000</v>
      </c>
      <c r="E96" s="302"/>
      <c r="F96" s="41"/>
      <c r="G96" s="41"/>
      <c r="H96" s="91"/>
      <c r="I96" s="91"/>
      <c r="J96" s="231"/>
    </row>
    <row r="97" spans="1:10" ht="12.75">
      <c r="A97" s="97">
        <v>43100</v>
      </c>
      <c r="B97" s="308">
        <f t="shared" si="5"/>
        <v>26</v>
      </c>
      <c r="C97" s="99">
        <f t="shared" si="4"/>
        <v>264114000</v>
      </c>
      <c r="D97" s="99"/>
      <c r="E97" s="303">
        <f>E95</f>
        <v>0.06567</v>
      </c>
      <c r="F97" s="99">
        <f>((C96+D96)*E97/360*B96)+((C97+D97)*E97/360*B97)</f>
        <v>4538396.786</v>
      </c>
      <c r="G97" s="41">
        <f>((C96+D96)*$H$3/360*B96)+((C97+D97)*$H$3/360*B97)</f>
        <v>276436.5333333333</v>
      </c>
      <c r="H97" s="300">
        <f>SUM(F91:G97)</f>
        <v>20030746.224166673</v>
      </c>
      <c r="I97" s="300">
        <f>SUM(D90:D97)</f>
        <v>35200000</v>
      </c>
      <c r="J97" s="301">
        <f>SUM(H97:I97)</f>
        <v>55230746.22416668</v>
      </c>
    </row>
    <row r="98" spans="1:10" ht="12.75">
      <c r="A98" s="103">
        <v>43164</v>
      </c>
      <c r="B98" s="306">
        <f>A98-A97</f>
        <v>64</v>
      </c>
      <c r="C98" s="42">
        <f aca="true" t="shared" si="6" ref="C98:C156">C97-D98</f>
        <v>255314000</v>
      </c>
      <c r="D98" s="42">
        <v>8800000</v>
      </c>
      <c r="E98" s="104"/>
      <c r="F98" s="104"/>
      <c r="G98" s="104"/>
      <c r="H98" s="104"/>
      <c r="I98" s="104"/>
      <c r="J98" s="242"/>
    </row>
    <row r="99" spans="1:10" ht="12.75">
      <c r="A99" s="90">
        <v>43190</v>
      </c>
      <c r="B99" s="307">
        <f aca="true" t="shared" si="7" ref="B99:B105">A99-A98</f>
        <v>26</v>
      </c>
      <c r="C99" s="41">
        <f t="shared" si="6"/>
        <v>255314000</v>
      </c>
      <c r="D99" s="41"/>
      <c r="E99" s="302">
        <f>E97</f>
        <v>0.06567</v>
      </c>
      <c r="F99" s="41">
        <f>((C98+D98)*E99/360*B98)+((C99+D99)*E99/360*B99)</f>
        <v>4294354.661666667</v>
      </c>
      <c r="G99" s="41">
        <f>((C98+D98)*$H$3/360*B98)+((C99+D99)*$H$3/360*B99)</f>
        <v>261571.77777777775</v>
      </c>
      <c r="H99" s="91"/>
      <c r="I99" s="91"/>
      <c r="J99" s="231"/>
    </row>
    <row r="100" spans="1:10" ht="12.75">
      <c r="A100" s="90">
        <v>43256</v>
      </c>
      <c r="B100" s="307">
        <f t="shared" si="7"/>
        <v>66</v>
      </c>
      <c r="C100" s="41">
        <f t="shared" si="6"/>
        <v>246514000</v>
      </c>
      <c r="D100" s="41">
        <v>8800000</v>
      </c>
      <c r="E100" s="302"/>
      <c r="F100" s="41"/>
      <c r="G100" s="41"/>
      <c r="H100" s="91"/>
      <c r="I100" s="91"/>
      <c r="J100" s="231"/>
    </row>
    <row r="101" spans="1:10" ht="12.75">
      <c r="A101" s="90">
        <v>43281</v>
      </c>
      <c r="B101" s="307">
        <f t="shared" si="7"/>
        <v>25</v>
      </c>
      <c r="C101" s="41">
        <f t="shared" si="6"/>
        <v>246514000</v>
      </c>
      <c r="D101" s="41"/>
      <c r="E101" s="302">
        <f>E99</f>
        <v>0.06567</v>
      </c>
      <c r="F101" s="41">
        <f>((C100+D100)*E101/360*B100)+((C101+D101)*E101/360*B101)</f>
        <v>4198059.457166667</v>
      </c>
      <c r="G101" s="41">
        <f>((C100+D100)*$H$3/360*B100)+((C101+D101)*$H$3/360*B101)</f>
        <v>255706.3777777778</v>
      </c>
      <c r="H101" s="91"/>
      <c r="I101" s="91"/>
      <c r="J101" s="231"/>
    </row>
    <row r="102" spans="1:10" ht="12.75">
      <c r="A102" s="90">
        <v>43348</v>
      </c>
      <c r="B102" s="307">
        <f t="shared" si="7"/>
        <v>67</v>
      </c>
      <c r="C102" s="41">
        <f t="shared" si="6"/>
        <v>237714000</v>
      </c>
      <c r="D102" s="41">
        <v>8800000</v>
      </c>
      <c r="E102" s="302"/>
      <c r="F102" s="41"/>
      <c r="G102" s="41"/>
      <c r="H102" s="91"/>
      <c r="I102" s="91"/>
      <c r="J102" s="231"/>
    </row>
    <row r="103" spans="1:10" ht="12.75">
      <c r="A103" s="90">
        <v>43373</v>
      </c>
      <c r="B103" s="307">
        <f t="shared" si="7"/>
        <v>25</v>
      </c>
      <c r="C103" s="41">
        <f t="shared" si="6"/>
        <v>237714000</v>
      </c>
      <c r="D103" s="41"/>
      <c r="E103" s="302">
        <f>E101</f>
        <v>0.06567</v>
      </c>
      <c r="F103" s="41">
        <f>((C102+D102)*E103/360*B102)+((C103+D103)*E103/360*B103)</f>
        <v>4096948.452666667</v>
      </c>
      <c r="G103" s="41">
        <f>((C102+D102)*$H$3/360*B102)+((C103+D103)*$H$3/360*B103)</f>
        <v>249547.64444444445</v>
      </c>
      <c r="H103" s="91"/>
      <c r="I103" s="91"/>
      <c r="J103" s="231"/>
    </row>
    <row r="104" spans="1:10" ht="12.75">
      <c r="A104" s="90">
        <v>43439</v>
      </c>
      <c r="B104" s="307">
        <f t="shared" si="7"/>
        <v>66</v>
      </c>
      <c r="C104" s="41">
        <f t="shared" si="6"/>
        <v>228914000</v>
      </c>
      <c r="D104" s="41">
        <v>8800000</v>
      </c>
      <c r="E104" s="302"/>
      <c r="F104" s="41"/>
      <c r="G104" s="41"/>
      <c r="H104" s="91"/>
      <c r="I104" s="91"/>
      <c r="J104" s="231"/>
    </row>
    <row r="105" spans="1:10" ht="12.75">
      <c r="A105" s="97">
        <v>43465</v>
      </c>
      <c r="B105" s="308">
        <f t="shared" si="7"/>
        <v>26</v>
      </c>
      <c r="C105" s="99">
        <f t="shared" si="6"/>
        <v>228914000</v>
      </c>
      <c r="D105" s="99"/>
      <c r="E105" s="303">
        <f>E103</f>
        <v>0.06567</v>
      </c>
      <c r="F105" s="99">
        <f>((C104+D104)*E105/360*B104)+((C105+D105)*E105/360*B105)</f>
        <v>3947658.652666667</v>
      </c>
      <c r="G105" s="41">
        <f>((C104+D104)*$H$3/360*B104)+((C105+D105)*$H$3/360*B105)</f>
        <v>240454.31111111114</v>
      </c>
      <c r="H105" s="300">
        <f>SUM(F99:G105)</f>
        <v>17544301.33527778</v>
      </c>
      <c r="I105" s="300">
        <f>SUM(D98:D105)</f>
        <v>35200000</v>
      </c>
      <c r="J105" s="301">
        <f>SUM(H105:I105)</f>
        <v>52744301.33527778</v>
      </c>
    </row>
    <row r="106" spans="1:10" ht="12.75">
      <c r="A106" s="103">
        <v>43529</v>
      </c>
      <c r="B106" s="306">
        <f>A106-A105</f>
        <v>64</v>
      </c>
      <c r="C106" s="42">
        <f t="shared" si="6"/>
        <v>220114000</v>
      </c>
      <c r="D106" s="42">
        <v>8800000</v>
      </c>
      <c r="E106" s="104"/>
      <c r="F106" s="104"/>
      <c r="G106" s="104"/>
      <c r="H106" s="104"/>
      <c r="I106" s="104"/>
      <c r="J106" s="242"/>
    </row>
    <row r="107" spans="1:10" ht="12.75">
      <c r="A107" s="90">
        <v>43555</v>
      </c>
      <c r="B107" s="307">
        <f aca="true" t="shared" si="8" ref="B107:B113">A107-A106</f>
        <v>26</v>
      </c>
      <c r="C107" s="41">
        <f t="shared" si="6"/>
        <v>220114000</v>
      </c>
      <c r="D107" s="41"/>
      <c r="E107" s="302">
        <f>E105</f>
        <v>0.06567</v>
      </c>
      <c r="F107" s="41">
        <f>((C106+D106)*E107/360*B106)+((C107+D107)*E107/360*B107)</f>
        <v>3716458.661666667</v>
      </c>
      <c r="G107" s="41">
        <f>((C106+D106)*$H$3/360*B106)+((C107+D107)*$H$3/360*B107)</f>
        <v>226371.77777777778</v>
      </c>
      <c r="H107" s="91"/>
      <c r="I107" s="91"/>
      <c r="J107" s="231"/>
    </row>
    <row r="108" spans="1:10" ht="12.75">
      <c r="A108" s="90">
        <v>43621</v>
      </c>
      <c r="B108" s="307">
        <f t="shared" si="8"/>
        <v>66</v>
      </c>
      <c r="C108" s="41">
        <f t="shared" si="6"/>
        <v>211314000</v>
      </c>
      <c r="D108" s="41">
        <v>8800000</v>
      </c>
      <c r="E108" s="302"/>
      <c r="F108" s="41"/>
      <c r="G108" s="41"/>
      <c r="H108" s="91"/>
      <c r="I108" s="91"/>
      <c r="J108" s="231"/>
    </row>
    <row r="109" spans="1:10" ht="12.75">
      <c r="A109" s="90">
        <v>43646</v>
      </c>
      <c r="B109" s="307">
        <f t="shared" si="8"/>
        <v>25</v>
      </c>
      <c r="C109" s="41">
        <f t="shared" si="6"/>
        <v>211314000</v>
      </c>
      <c r="D109" s="41"/>
      <c r="E109" s="302">
        <f>E107</f>
        <v>0.06567</v>
      </c>
      <c r="F109" s="41">
        <f>((C108+D108)*E109/360*B108)+((C109+D109)*E109/360*B109)</f>
        <v>3613742.3905000007</v>
      </c>
      <c r="G109" s="41">
        <f>((C108+D108)*$H$3/360*B108)+((C109+D109)*$H$3/360*B109)</f>
        <v>220115.2666666667</v>
      </c>
      <c r="H109" s="91"/>
      <c r="I109" s="91"/>
      <c r="J109" s="231"/>
    </row>
    <row r="110" spans="1:10" ht="12.75">
      <c r="A110" s="90">
        <v>43713</v>
      </c>
      <c r="B110" s="307">
        <f t="shared" si="8"/>
        <v>67</v>
      </c>
      <c r="C110" s="41">
        <f t="shared" si="6"/>
        <v>202514000</v>
      </c>
      <c r="D110" s="41">
        <v>8800000</v>
      </c>
      <c r="E110" s="302"/>
      <c r="F110" s="41"/>
      <c r="G110" s="41"/>
      <c r="H110" s="91"/>
      <c r="I110" s="91"/>
      <c r="J110" s="231"/>
    </row>
    <row r="111" spans="1:10" ht="12.75">
      <c r="A111" s="90">
        <v>43738</v>
      </c>
      <c r="B111" s="307">
        <f t="shared" si="8"/>
        <v>25</v>
      </c>
      <c r="C111" s="41">
        <f t="shared" si="6"/>
        <v>202514000</v>
      </c>
      <c r="D111" s="41"/>
      <c r="E111" s="302">
        <f>E109</f>
        <v>0.06567</v>
      </c>
      <c r="F111" s="41">
        <f>((C110+D110)*E111/360*B110)+((C111+D111)*E111/360*B111)</f>
        <v>3506210.3193333335</v>
      </c>
      <c r="G111" s="41">
        <f>((C110+D110)*$H$3/360*B110)+((C111+D111)*$H$3/360*B111)</f>
        <v>213565.4222222222</v>
      </c>
      <c r="H111" s="91"/>
      <c r="I111" s="91"/>
      <c r="J111" s="231"/>
    </row>
    <row r="112" spans="1:10" ht="12.75">
      <c r="A112" s="90">
        <v>43804</v>
      </c>
      <c r="B112" s="307">
        <f t="shared" si="8"/>
        <v>66</v>
      </c>
      <c r="C112" s="41">
        <f t="shared" si="6"/>
        <v>193714000</v>
      </c>
      <c r="D112" s="41">
        <v>8800000</v>
      </c>
      <c r="E112" s="302"/>
      <c r="F112" s="41"/>
      <c r="G112" s="41"/>
      <c r="H112" s="91"/>
      <c r="I112" s="91"/>
      <c r="J112" s="231"/>
    </row>
    <row r="113" spans="1:10" ht="12.75">
      <c r="A113" s="97">
        <v>43830</v>
      </c>
      <c r="B113" s="308">
        <f t="shared" si="8"/>
        <v>26</v>
      </c>
      <c r="C113" s="99">
        <f t="shared" si="6"/>
        <v>193714000</v>
      </c>
      <c r="D113" s="99"/>
      <c r="E113" s="303">
        <f>E111</f>
        <v>0.06567</v>
      </c>
      <c r="F113" s="99">
        <f>((C112+D112)*E113/360*B112)+((C113+D113)*E113/360*B113)</f>
        <v>3356920.5193333337</v>
      </c>
      <c r="G113" s="41">
        <f>((C112+D112)*$H$3/360*B112)+((C113+D113)*$H$3/360*B113)</f>
        <v>204472.0888888889</v>
      </c>
      <c r="H113" s="300">
        <f>SUM(F107:G113)</f>
        <v>15057856.446388891</v>
      </c>
      <c r="I113" s="300">
        <f>SUM(D106:D113)</f>
        <v>35200000</v>
      </c>
      <c r="J113" s="301">
        <f>SUM(H113:I113)</f>
        <v>50257856.44638889</v>
      </c>
    </row>
    <row r="114" spans="1:10" ht="12.75">
      <c r="A114" s="103">
        <v>43895</v>
      </c>
      <c r="B114" s="306">
        <f>A114-A113</f>
        <v>65</v>
      </c>
      <c r="C114" s="42">
        <f t="shared" si="6"/>
        <v>184914000</v>
      </c>
      <c r="D114" s="42">
        <v>8800000</v>
      </c>
      <c r="E114" s="104"/>
      <c r="F114" s="104"/>
      <c r="G114" s="104"/>
      <c r="H114" s="104"/>
      <c r="I114" s="104"/>
      <c r="J114" s="242"/>
    </row>
    <row r="115" spans="1:10" ht="12.75">
      <c r="A115" s="90">
        <v>43921</v>
      </c>
      <c r="B115" s="307">
        <f aca="true" t="shared" si="9" ref="B115:B121">A115-A114</f>
        <v>26</v>
      </c>
      <c r="C115" s="41">
        <f t="shared" si="6"/>
        <v>184914000</v>
      </c>
      <c r="D115" s="41"/>
      <c r="E115" s="302">
        <f>E113</f>
        <v>0.06567</v>
      </c>
      <c r="F115" s="41">
        <f>((C114+D114)*E115/360*B114)+((C115+D115)*E115/360*B115)</f>
        <v>3173899.3238333333</v>
      </c>
      <c r="G115" s="41">
        <f>((C114+D114)*$H$3/360*B114)+((C115+D115)*$H$3/360*B115)</f>
        <v>193324.15555555557</v>
      </c>
      <c r="H115" s="91"/>
      <c r="I115" s="91"/>
      <c r="J115" s="231"/>
    </row>
    <row r="116" spans="1:10" ht="12.75">
      <c r="A116" s="90">
        <v>43987</v>
      </c>
      <c r="B116" s="307">
        <f t="shared" si="9"/>
        <v>66</v>
      </c>
      <c r="C116" s="41">
        <f t="shared" si="6"/>
        <v>176114000</v>
      </c>
      <c r="D116" s="41">
        <v>8800000</v>
      </c>
      <c r="E116" s="302"/>
      <c r="F116" s="41"/>
      <c r="G116" s="41"/>
      <c r="H116" s="91"/>
      <c r="I116" s="91"/>
      <c r="J116" s="231"/>
    </row>
    <row r="117" spans="1:10" ht="12.75">
      <c r="A117" s="90">
        <v>44012</v>
      </c>
      <c r="B117" s="307">
        <f t="shared" si="9"/>
        <v>25</v>
      </c>
      <c r="C117" s="41">
        <f t="shared" si="6"/>
        <v>176114000</v>
      </c>
      <c r="D117" s="41"/>
      <c r="E117" s="302">
        <f>E115</f>
        <v>0.06567</v>
      </c>
      <c r="F117" s="41">
        <f>((C116+D116)*E117/360*B116)+((C117+D117)*E117/360*B117)</f>
        <v>3029425.3238333333</v>
      </c>
      <c r="G117" s="41">
        <f>((C116+D116)*$H$3/360*B116)+((C117+D117)*$H$3/360*B117)</f>
        <v>184524.15555555557</v>
      </c>
      <c r="H117" s="91"/>
      <c r="I117" s="91"/>
      <c r="J117" s="231"/>
    </row>
    <row r="118" spans="1:10" ht="12.75">
      <c r="A118" s="90">
        <v>44079</v>
      </c>
      <c r="B118" s="307">
        <f t="shared" si="9"/>
        <v>67</v>
      </c>
      <c r="C118" s="41">
        <f t="shared" si="6"/>
        <v>167314000</v>
      </c>
      <c r="D118" s="41">
        <v>8800000</v>
      </c>
      <c r="E118" s="302"/>
      <c r="F118" s="41"/>
      <c r="G118" s="41"/>
      <c r="H118" s="91"/>
      <c r="I118" s="91"/>
      <c r="J118" s="231"/>
    </row>
    <row r="119" spans="1:10" ht="12.75">
      <c r="A119" s="90">
        <v>44104</v>
      </c>
      <c r="B119" s="307">
        <f t="shared" si="9"/>
        <v>25</v>
      </c>
      <c r="C119" s="41">
        <f t="shared" si="6"/>
        <v>167314000</v>
      </c>
      <c r="D119" s="41"/>
      <c r="E119" s="302">
        <f>E117</f>
        <v>0.06567</v>
      </c>
      <c r="F119" s="41">
        <f>((C118+D118)*E119/360*B118)+((C119+D119)*E119/360*B119)</f>
        <v>2915472.186</v>
      </c>
      <c r="G119" s="41">
        <f>((C118+D118)*$H$3/360*B118)+((C119+D119)*$H$3/360*B119)</f>
        <v>177583.2</v>
      </c>
      <c r="H119" s="91"/>
      <c r="I119" s="91"/>
      <c r="J119" s="231"/>
    </row>
    <row r="120" spans="1:10" ht="12.75">
      <c r="A120" s="90">
        <v>44170</v>
      </c>
      <c r="B120" s="307">
        <f t="shared" si="9"/>
        <v>66</v>
      </c>
      <c r="C120" s="41">
        <f t="shared" si="6"/>
        <v>158514000</v>
      </c>
      <c r="D120" s="41">
        <v>8800000</v>
      </c>
      <c r="E120" s="302"/>
      <c r="F120" s="41"/>
      <c r="G120" s="41"/>
      <c r="H120" s="91"/>
      <c r="I120" s="91"/>
      <c r="J120" s="231"/>
    </row>
    <row r="121" spans="1:10" ht="12.75">
      <c r="A121" s="97">
        <v>44196</v>
      </c>
      <c r="B121" s="308">
        <f t="shared" si="9"/>
        <v>26</v>
      </c>
      <c r="C121" s="99">
        <f t="shared" si="6"/>
        <v>158514000</v>
      </c>
      <c r="D121" s="99"/>
      <c r="E121" s="303">
        <f>E119</f>
        <v>0.06567</v>
      </c>
      <c r="F121" s="99">
        <f>((C120+D120)*E121/360*B120)+((C121+D121)*E121/360*B121)</f>
        <v>2766182.3860000004</v>
      </c>
      <c r="G121" s="41">
        <f>((C120+D120)*$H$3/360*B120)+((C121+D121)*$H$3/360*B121)</f>
        <v>168489.86666666667</v>
      </c>
      <c r="H121" s="300">
        <f>SUM(F115:G121)</f>
        <v>12608900.597444445</v>
      </c>
      <c r="I121" s="300">
        <f>SUM(D114:D121)</f>
        <v>35200000</v>
      </c>
      <c r="J121" s="301">
        <f>SUM(H121:I121)</f>
        <v>47808900.597444445</v>
      </c>
    </row>
    <row r="122" spans="1:10" ht="12.75">
      <c r="A122" s="103">
        <v>44260</v>
      </c>
      <c r="B122" s="306">
        <f>A122-A121</f>
        <v>64</v>
      </c>
      <c r="C122" s="42">
        <f t="shared" si="6"/>
        <v>149714000</v>
      </c>
      <c r="D122" s="42">
        <v>8800000</v>
      </c>
      <c r="E122" s="104"/>
      <c r="F122" s="104"/>
      <c r="G122" s="104"/>
      <c r="H122" s="104"/>
      <c r="I122" s="104"/>
      <c r="J122" s="242"/>
    </row>
    <row r="123" spans="1:10" ht="12.75">
      <c r="A123" s="90">
        <v>44286</v>
      </c>
      <c r="B123" s="307">
        <f aca="true" t="shared" si="10" ref="B123:B129">A123-A122</f>
        <v>26</v>
      </c>
      <c r="C123" s="41">
        <f t="shared" si="6"/>
        <v>149714000</v>
      </c>
      <c r="D123" s="41"/>
      <c r="E123" s="302">
        <f>E121</f>
        <v>0.06567</v>
      </c>
      <c r="F123" s="41">
        <f>((C122+D122)*E123/360*B122)+((C123+D123)*E123/360*B123)</f>
        <v>2560666.661666667</v>
      </c>
      <c r="G123" s="41">
        <f>((C122+D122)*$H$3/360*B122)+((C123+D123)*$H$3/360*B123)</f>
        <v>155971.77777777778</v>
      </c>
      <c r="H123" s="91"/>
      <c r="I123" s="91"/>
      <c r="J123" s="231"/>
    </row>
    <row r="124" spans="1:10" ht="12.75">
      <c r="A124" s="90">
        <v>44352</v>
      </c>
      <c r="B124" s="307">
        <f t="shared" si="10"/>
        <v>66</v>
      </c>
      <c r="C124" s="41">
        <f t="shared" si="6"/>
        <v>140914000</v>
      </c>
      <c r="D124" s="41">
        <v>8800000</v>
      </c>
      <c r="E124" s="302"/>
      <c r="F124" s="41"/>
      <c r="G124" s="41"/>
      <c r="H124" s="91"/>
      <c r="I124" s="91"/>
      <c r="J124" s="231"/>
    </row>
    <row r="125" spans="1:10" ht="12.75">
      <c r="A125" s="90">
        <v>44377</v>
      </c>
      <c r="B125" s="307">
        <f t="shared" si="10"/>
        <v>25</v>
      </c>
      <c r="C125" s="41">
        <f t="shared" si="6"/>
        <v>140914000</v>
      </c>
      <c r="D125" s="41"/>
      <c r="E125" s="302">
        <f>E123</f>
        <v>0.06567</v>
      </c>
      <c r="F125" s="41">
        <f>((C124+D124)*E125/360*B124)+((C125+D125)*E125/360*B125)</f>
        <v>2445108.257166667</v>
      </c>
      <c r="G125" s="41">
        <f>((C124+D124)*$H$3/360*B124)+((C125+D125)*$H$3/360*B125)</f>
        <v>148933.04444444444</v>
      </c>
      <c r="H125" s="91"/>
      <c r="I125" s="91"/>
      <c r="J125" s="231"/>
    </row>
    <row r="126" spans="1:10" ht="12.75">
      <c r="A126" s="90">
        <v>44444</v>
      </c>
      <c r="B126" s="307">
        <f t="shared" si="10"/>
        <v>67</v>
      </c>
      <c r="C126" s="41">
        <f t="shared" si="6"/>
        <v>132114000</v>
      </c>
      <c r="D126" s="41">
        <v>8800000</v>
      </c>
      <c r="E126" s="302"/>
      <c r="F126" s="41"/>
      <c r="G126" s="41"/>
      <c r="H126" s="91"/>
      <c r="I126" s="91"/>
      <c r="J126" s="231"/>
    </row>
    <row r="127" spans="1:10" ht="12.75">
      <c r="A127" s="90">
        <v>44469</v>
      </c>
      <c r="B127" s="307">
        <f t="shared" si="10"/>
        <v>25</v>
      </c>
      <c r="C127" s="41">
        <f t="shared" si="6"/>
        <v>132114000</v>
      </c>
      <c r="D127" s="41"/>
      <c r="E127" s="302">
        <f>E125</f>
        <v>0.06567</v>
      </c>
      <c r="F127" s="41">
        <f>((C126+D126)*E127/360*B126)+((C127+D127)*E127/360*B127)</f>
        <v>2324734.052666667</v>
      </c>
      <c r="G127" s="41">
        <f>((C126+D126)*$H$3/360*B126)+((C127+D127)*$H$3/360*B127)</f>
        <v>141600.9777777778</v>
      </c>
      <c r="H127" s="91"/>
      <c r="I127" s="91"/>
      <c r="J127" s="231"/>
    </row>
    <row r="128" spans="1:10" ht="12.75">
      <c r="A128" s="90">
        <v>44535</v>
      </c>
      <c r="B128" s="307">
        <f t="shared" si="10"/>
        <v>66</v>
      </c>
      <c r="C128" s="41">
        <f t="shared" si="6"/>
        <v>123314000</v>
      </c>
      <c r="D128" s="41">
        <v>8800000</v>
      </c>
      <c r="E128" s="302"/>
      <c r="F128" s="41"/>
      <c r="G128" s="41"/>
      <c r="H128" s="91"/>
      <c r="I128" s="91"/>
      <c r="J128" s="231"/>
    </row>
    <row r="129" spans="1:10" ht="12.75">
      <c r="A129" s="97">
        <v>44561</v>
      </c>
      <c r="B129" s="308">
        <f t="shared" si="10"/>
        <v>26</v>
      </c>
      <c r="C129" s="99">
        <f t="shared" si="6"/>
        <v>123314000</v>
      </c>
      <c r="D129" s="99"/>
      <c r="E129" s="303">
        <f>E127</f>
        <v>0.06567</v>
      </c>
      <c r="F129" s="99">
        <f>((C128+D128)*E129/360*B128)+((C129+D129)*E129/360*B129)</f>
        <v>2175444.252666667</v>
      </c>
      <c r="G129" s="41">
        <f>((C128+D128)*$H$3/360*B128)+((C129+D129)*$H$3/360*B129)</f>
        <v>132507.64444444445</v>
      </c>
      <c r="H129" s="300">
        <f>SUM(F123:G129)</f>
        <v>10084966.668611115</v>
      </c>
      <c r="I129" s="300">
        <f>SUM(D122:D129)</f>
        <v>35200000</v>
      </c>
      <c r="J129" s="301">
        <f>SUM(H129:I129)</f>
        <v>45284966.66861112</v>
      </c>
    </row>
    <row r="130" spans="1:10" ht="12.75">
      <c r="A130" s="103">
        <v>44625</v>
      </c>
      <c r="B130" s="306">
        <f>A130-A129</f>
        <v>64</v>
      </c>
      <c r="C130" s="42">
        <f t="shared" si="6"/>
        <v>114514000</v>
      </c>
      <c r="D130" s="42">
        <v>8800000</v>
      </c>
      <c r="E130" s="104"/>
      <c r="F130" s="104"/>
      <c r="G130" s="104"/>
      <c r="H130" s="104"/>
      <c r="I130" s="104"/>
      <c r="J130" s="242"/>
    </row>
    <row r="131" spans="1:10" ht="12.75">
      <c r="A131" s="90">
        <v>44651</v>
      </c>
      <c r="B131" s="307">
        <f aca="true" t="shared" si="11" ref="B131:B137">A131-A130</f>
        <v>26</v>
      </c>
      <c r="C131" s="41">
        <f t="shared" si="6"/>
        <v>114514000</v>
      </c>
      <c r="D131" s="41"/>
      <c r="E131" s="302">
        <f>E129</f>
        <v>0.06567</v>
      </c>
      <c r="F131" s="41">
        <f>((C130+D130)*E131/360*B130)+((C131+D131)*E131/360*B131)</f>
        <v>1982770.661666667</v>
      </c>
      <c r="G131" s="41">
        <f>((C130+D130)*$H$3/360*B130)+((C131+D131)*$H$3/360*B131)</f>
        <v>120771.77777777778</v>
      </c>
      <c r="H131" s="91"/>
      <c r="I131" s="91"/>
      <c r="J131" s="231"/>
    </row>
    <row r="132" spans="1:10" ht="12.75">
      <c r="A132" s="90">
        <v>44717</v>
      </c>
      <c r="B132" s="307">
        <f t="shared" si="11"/>
        <v>66</v>
      </c>
      <c r="C132" s="41">
        <f t="shared" si="6"/>
        <v>105714000</v>
      </c>
      <c r="D132" s="41">
        <v>8800000</v>
      </c>
      <c r="E132" s="302"/>
      <c r="F132" s="41"/>
      <c r="G132" s="41"/>
      <c r="H132" s="91"/>
      <c r="I132" s="91"/>
      <c r="J132" s="231"/>
    </row>
    <row r="133" spans="1:10" ht="12.75">
      <c r="A133" s="90">
        <v>44742</v>
      </c>
      <c r="B133" s="307">
        <f t="shared" si="11"/>
        <v>25</v>
      </c>
      <c r="C133" s="41">
        <f t="shared" si="6"/>
        <v>105714000</v>
      </c>
      <c r="D133" s="41"/>
      <c r="E133" s="302">
        <f>E131</f>
        <v>0.06567</v>
      </c>
      <c r="F133" s="41">
        <f>((C132+D132)*E133/360*B132)+((C133+D133)*E133/360*B133)</f>
        <v>1860791.1905</v>
      </c>
      <c r="G133" s="41">
        <f>((C132+D132)*$H$3/360*B132)+((C133+D133)*$H$3/360*B133)</f>
        <v>113341.93333333333</v>
      </c>
      <c r="H133" s="91"/>
      <c r="I133" s="91"/>
      <c r="J133" s="231"/>
    </row>
    <row r="134" spans="1:10" ht="12.75">
      <c r="A134" s="90">
        <v>44809</v>
      </c>
      <c r="B134" s="307">
        <f t="shared" si="11"/>
        <v>67</v>
      </c>
      <c r="C134" s="41">
        <f t="shared" si="6"/>
        <v>96914000</v>
      </c>
      <c r="D134" s="41">
        <v>8800000</v>
      </c>
      <c r="E134" s="302"/>
      <c r="F134" s="41"/>
      <c r="G134" s="41"/>
      <c r="H134" s="91"/>
      <c r="I134" s="91"/>
      <c r="J134" s="231"/>
    </row>
    <row r="135" spans="1:10" ht="12.75">
      <c r="A135" s="90">
        <v>44834</v>
      </c>
      <c r="B135" s="307">
        <f t="shared" si="11"/>
        <v>25</v>
      </c>
      <c r="C135" s="41">
        <f t="shared" si="6"/>
        <v>96914000</v>
      </c>
      <c r="D135" s="41"/>
      <c r="E135" s="302">
        <f>E133</f>
        <v>0.06567</v>
      </c>
      <c r="F135" s="41">
        <f>((C134+D134)*E135/360*B134)+((C135+D135)*E135/360*B135)</f>
        <v>1733995.9193333336</v>
      </c>
      <c r="G135" s="41">
        <f>((C134+D134)*$H$3/360*B134)+((C135+D135)*$H$3/360*B135)</f>
        <v>105618.75555555556</v>
      </c>
      <c r="H135" s="91"/>
      <c r="I135" s="91"/>
      <c r="J135" s="231"/>
    </row>
    <row r="136" spans="1:10" ht="12.75">
      <c r="A136" s="90">
        <v>44900</v>
      </c>
      <c r="B136" s="307">
        <f t="shared" si="11"/>
        <v>66</v>
      </c>
      <c r="C136" s="41">
        <f t="shared" si="6"/>
        <v>88114000</v>
      </c>
      <c r="D136" s="41">
        <v>8800000</v>
      </c>
      <c r="E136" s="302"/>
      <c r="F136" s="41"/>
      <c r="G136" s="41"/>
      <c r="H136" s="91"/>
      <c r="I136" s="91"/>
      <c r="J136" s="231"/>
    </row>
    <row r="137" spans="1:10" ht="12.75">
      <c r="A137" s="97">
        <v>44926</v>
      </c>
      <c r="B137" s="308">
        <f t="shared" si="11"/>
        <v>26</v>
      </c>
      <c r="C137" s="99">
        <f t="shared" si="6"/>
        <v>88114000</v>
      </c>
      <c r="D137" s="99"/>
      <c r="E137" s="303">
        <f>E135</f>
        <v>0.06567</v>
      </c>
      <c r="F137" s="99">
        <f>((C136+D136)*E137/360*B136)+((C137+D137)*E137/360*B137)</f>
        <v>1584706.1193333336</v>
      </c>
      <c r="G137" s="41">
        <f>((C136+D136)*$H$3/360*B136)+((C137+D137)*$H$3/360*B137)</f>
        <v>96525.42222222223</v>
      </c>
      <c r="H137" s="300">
        <f>SUM(F131:G137)</f>
        <v>7598521.779722223</v>
      </c>
      <c r="I137" s="300">
        <f>SUM(D130:D137)</f>
        <v>35200000</v>
      </c>
      <c r="J137" s="301">
        <f>SUM(H137:I137)</f>
        <v>42798521.77972222</v>
      </c>
    </row>
    <row r="138" spans="1:10" ht="12.75">
      <c r="A138" s="103">
        <v>44990</v>
      </c>
      <c r="B138" s="306">
        <f>A138-A137</f>
        <v>64</v>
      </c>
      <c r="C138" s="42">
        <f t="shared" si="6"/>
        <v>79314000</v>
      </c>
      <c r="D138" s="42">
        <v>8800000</v>
      </c>
      <c r="E138" s="104"/>
      <c r="F138" s="104"/>
      <c r="G138" s="104"/>
      <c r="H138" s="104"/>
      <c r="I138" s="104"/>
      <c r="J138" s="242"/>
    </row>
    <row r="139" spans="1:10" ht="12.75">
      <c r="A139" s="90">
        <v>45016</v>
      </c>
      <c r="B139" s="307">
        <f aca="true" t="shared" si="12" ref="B139:B145">A139-A138</f>
        <v>26</v>
      </c>
      <c r="C139" s="41">
        <f t="shared" si="6"/>
        <v>79314000</v>
      </c>
      <c r="D139" s="41"/>
      <c r="E139" s="302">
        <f>E137</f>
        <v>0.06567</v>
      </c>
      <c r="F139" s="41">
        <f>((C138+D138)*E139/360*B138)+((C139+D139)*E139/360*B139)</f>
        <v>1404874.6616666669</v>
      </c>
      <c r="G139" s="41">
        <f>((C138+D138)*$H$3/360*B138)+((C139+D139)*$H$3/360*B139)</f>
        <v>85571.77777777778</v>
      </c>
      <c r="H139" s="91"/>
      <c r="I139" s="91"/>
      <c r="J139" s="231"/>
    </row>
    <row r="140" spans="1:10" ht="12.75">
      <c r="A140" s="90">
        <v>45082</v>
      </c>
      <c r="B140" s="307">
        <f t="shared" si="12"/>
        <v>66</v>
      </c>
      <c r="C140" s="41">
        <f t="shared" si="6"/>
        <v>70514000</v>
      </c>
      <c r="D140" s="41">
        <v>8800000</v>
      </c>
      <c r="E140" s="302"/>
      <c r="F140" s="41"/>
      <c r="G140" s="41"/>
      <c r="H140" s="91"/>
      <c r="I140" s="91"/>
      <c r="J140" s="231"/>
    </row>
    <row r="141" spans="1:10" ht="12.75">
      <c r="A141" s="90">
        <v>45107</v>
      </c>
      <c r="B141" s="307">
        <f t="shared" si="12"/>
        <v>25</v>
      </c>
      <c r="C141" s="41">
        <f t="shared" si="6"/>
        <v>70514000</v>
      </c>
      <c r="D141" s="41"/>
      <c r="E141" s="302">
        <f>E139</f>
        <v>0.06567</v>
      </c>
      <c r="F141" s="41">
        <f>((C140+D140)*E141/360*B140)+((C141+D141)*E141/360*B141)</f>
        <v>1276474.1238333336</v>
      </c>
      <c r="G141" s="41">
        <f>((C140+D140)*$H$3/360*B140)+((C141+D141)*$H$3/360*B141)</f>
        <v>77750.82222222222</v>
      </c>
      <c r="H141" s="91"/>
      <c r="I141" s="91"/>
      <c r="J141" s="231"/>
    </row>
    <row r="142" spans="1:10" ht="12.75">
      <c r="A142" s="90">
        <v>45174</v>
      </c>
      <c r="B142" s="307">
        <f t="shared" si="12"/>
        <v>67</v>
      </c>
      <c r="C142" s="41">
        <f t="shared" si="6"/>
        <v>61714000</v>
      </c>
      <c r="D142" s="41">
        <v>8800000</v>
      </c>
      <c r="E142" s="302"/>
      <c r="F142" s="41"/>
      <c r="G142" s="41"/>
      <c r="H142" s="91"/>
      <c r="I142" s="91"/>
      <c r="J142" s="231"/>
    </row>
    <row r="143" spans="1:10" ht="12.75">
      <c r="A143" s="90">
        <v>45199</v>
      </c>
      <c r="B143" s="307">
        <f t="shared" si="12"/>
        <v>25</v>
      </c>
      <c r="C143" s="41">
        <f t="shared" si="6"/>
        <v>61714000</v>
      </c>
      <c r="D143" s="41"/>
      <c r="E143" s="302">
        <f>E141</f>
        <v>0.06567</v>
      </c>
      <c r="F143" s="41">
        <f>((C142+D142)*E143/360*B142)+((C143+D143)*E143/360*B143)</f>
        <v>1143257.7860000003</v>
      </c>
      <c r="G143" s="41">
        <f>((C142+D142)*$H$3/360*B142)+((C143+D143)*$H$3/360*B143)</f>
        <v>69636.53333333334</v>
      </c>
      <c r="H143" s="91"/>
      <c r="I143" s="91"/>
      <c r="J143" s="231"/>
    </row>
    <row r="144" spans="1:10" ht="12.75">
      <c r="A144" s="90">
        <v>45265</v>
      </c>
      <c r="B144" s="307">
        <f t="shared" si="12"/>
        <v>66</v>
      </c>
      <c r="C144" s="41">
        <f t="shared" si="6"/>
        <v>52914000</v>
      </c>
      <c r="D144" s="41">
        <v>8800000</v>
      </c>
      <c r="E144" s="302"/>
      <c r="F144" s="41"/>
      <c r="G144" s="41"/>
      <c r="H144" s="91"/>
      <c r="I144" s="91"/>
      <c r="J144" s="231"/>
    </row>
    <row r="145" spans="1:10" ht="12.75">
      <c r="A145" s="97">
        <v>45291</v>
      </c>
      <c r="B145" s="308">
        <f t="shared" si="12"/>
        <v>26</v>
      </c>
      <c r="C145" s="99">
        <f t="shared" si="6"/>
        <v>52914000</v>
      </c>
      <c r="D145" s="99"/>
      <c r="E145" s="303">
        <f>E143</f>
        <v>0.06567</v>
      </c>
      <c r="F145" s="99">
        <f>((C144+D144)*E145/360*B144)+((C145+D145)*E145/360*B145)</f>
        <v>993967.986</v>
      </c>
      <c r="G145" s="41">
        <f>((C144+D144)*$H$3/360*B144)+((C145+D145)*$H$3/360*B145)</f>
        <v>60543.2</v>
      </c>
      <c r="H145" s="300">
        <f>SUM(F139:G145)</f>
        <v>5112076.890833334</v>
      </c>
      <c r="I145" s="300">
        <f>SUM(D138:D145)</f>
        <v>35200000</v>
      </c>
      <c r="J145" s="301">
        <f>SUM(H145:I145)</f>
        <v>40312076.89083333</v>
      </c>
    </row>
    <row r="146" spans="1:10" ht="12.75">
      <c r="A146" s="103">
        <v>45356</v>
      </c>
      <c r="B146" s="306">
        <f>A146-A145</f>
        <v>65</v>
      </c>
      <c r="C146" s="42">
        <f t="shared" si="6"/>
        <v>44114000</v>
      </c>
      <c r="D146" s="42">
        <v>8800000</v>
      </c>
      <c r="E146" s="104"/>
      <c r="F146" s="104"/>
      <c r="G146" s="104"/>
      <c r="H146" s="104"/>
      <c r="I146" s="104"/>
      <c r="J146" s="242"/>
    </row>
    <row r="147" spans="1:10" ht="12.75">
      <c r="A147" s="90">
        <v>45382</v>
      </c>
      <c r="B147" s="307">
        <f aca="true" t="shared" si="13" ref="B147:B153">A147-A146</f>
        <v>26</v>
      </c>
      <c r="C147" s="41">
        <f t="shared" si="6"/>
        <v>44114000</v>
      </c>
      <c r="D147" s="41"/>
      <c r="E147" s="302">
        <f>E145</f>
        <v>0.06567</v>
      </c>
      <c r="F147" s="41">
        <f>((C146+D146)*E147/360*B146)+((C147+D147)*E147/360*B147)</f>
        <v>836631.0571666667</v>
      </c>
      <c r="G147" s="41">
        <f>((C146+D146)*$H$3/360*B146)+((C147+D147)*$H$3/360*B147)</f>
        <v>50959.71111111111</v>
      </c>
      <c r="H147" s="91"/>
      <c r="I147" s="91"/>
      <c r="J147" s="231"/>
    </row>
    <row r="148" spans="1:10" ht="12.75">
      <c r="A148" s="90">
        <v>45448</v>
      </c>
      <c r="B148" s="307">
        <f t="shared" si="13"/>
        <v>66</v>
      </c>
      <c r="C148" s="41">
        <f t="shared" si="6"/>
        <v>35314000</v>
      </c>
      <c r="D148" s="41">
        <v>8800000</v>
      </c>
      <c r="E148" s="302"/>
      <c r="F148" s="41"/>
      <c r="G148" s="41"/>
      <c r="H148" s="91"/>
      <c r="I148" s="91"/>
      <c r="J148" s="231"/>
    </row>
    <row r="149" spans="1:10" ht="12.75">
      <c r="A149" s="90">
        <v>45473</v>
      </c>
      <c r="B149" s="307">
        <f t="shared" si="13"/>
        <v>25</v>
      </c>
      <c r="C149" s="41">
        <f t="shared" si="6"/>
        <v>35314000</v>
      </c>
      <c r="D149" s="41"/>
      <c r="E149" s="302">
        <f>E147</f>
        <v>0.06567</v>
      </c>
      <c r="F149" s="41">
        <f>((C148+D148)*E149/360*B148)+((C149+D149)*E149/360*B149)</f>
        <v>692157.0571666667</v>
      </c>
      <c r="G149" s="41">
        <f>((C148+D148)*$H$3/360*B148)+((C149+D149)*$H$3/360*B149)</f>
        <v>42159.711111111115</v>
      </c>
      <c r="H149" s="91"/>
      <c r="I149" s="91"/>
      <c r="J149" s="231"/>
    </row>
    <row r="150" spans="1:10" ht="12.75">
      <c r="A150" s="90">
        <v>45540</v>
      </c>
      <c r="B150" s="307">
        <f t="shared" si="13"/>
        <v>67</v>
      </c>
      <c r="C150" s="41">
        <f t="shared" si="6"/>
        <v>26514000</v>
      </c>
      <c r="D150" s="41">
        <v>8800000</v>
      </c>
      <c r="E150" s="302"/>
      <c r="F150" s="41"/>
      <c r="G150" s="41"/>
      <c r="H150" s="91"/>
      <c r="I150" s="91"/>
      <c r="J150" s="231"/>
    </row>
    <row r="151" spans="1:10" ht="12.75">
      <c r="A151" s="90">
        <v>45565</v>
      </c>
      <c r="B151" s="307">
        <f t="shared" si="13"/>
        <v>25</v>
      </c>
      <c r="C151" s="41">
        <f t="shared" si="6"/>
        <v>26514000</v>
      </c>
      <c r="D151" s="41"/>
      <c r="E151" s="302">
        <f>E149</f>
        <v>0.06567</v>
      </c>
      <c r="F151" s="41">
        <f>((C150+D150)*E151/360*B150)+((C151+D151)*E151/360*B151)</f>
        <v>552519.6526666668</v>
      </c>
      <c r="G151" s="41">
        <f>((C150+D150)*$H$3/360*B150)+((C151+D151)*$H$3/360*B151)</f>
        <v>33654.311111111114</v>
      </c>
      <c r="H151" s="91"/>
      <c r="I151" s="91"/>
      <c r="J151" s="231"/>
    </row>
    <row r="152" spans="1:10" ht="12.75">
      <c r="A152" s="90">
        <v>45631</v>
      </c>
      <c r="B152" s="307">
        <f t="shared" si="13"/>
        <v>66</v>
      </c>
      <c r="C152" s="41">
        <f t="shared" si="6"/>
        <v>17714000</v>
      </c>
      <c r="D152" s="41">
        <v>8800000</v>
      </c>
      <c r="E152" s="302"/>
      <c r="F152" s="41"/>
      <c r="G152" s="41"/>
      <c r="H152" s="91"/>
      <c r="I152" s="91"/>
      <c r="J152" s="231"/>
    </row>
    <row r="153" spans="1:10" ht="12.75">
      <c r="A153" s="97">
        <v>45657</v>
      </c>
      <c r="B153" s="308">
        <f t="shared" si="13"/>
        <v>26</v>
      </c>
      <c r="C153" s="99">
        <f t="shared" si="6"/>
        <v>17714000</v>
      </c>
      <c r="D153" s="99"/>
      <c r="E153" s="303">
        <f>E151</f>
        <v>0.06567</v>
      </c>
      <c r="F153" s="99">
        <f>((C152+D152)*E153/360*B152)+((C153+D153)*E153/360*B153)</f>
        <v>403229.8526666667</v>
      </c>
      <c r="G153" s="41">
        <f>((C152+D152)*$H$3/360*B152)+((C153+D153)*$H$3/360*B153)</f>
        <v>24560.977777777778</v>
      </c>
      <c r="H153" s="300">
        <f>SUM(F147:G153)</f>
        <v>2635872.330777778</v>
      </c>
      <c r="I153" s="300">
        <f>SUM(D146:D153)</f>
        <v>35200000</v>
      </c>
      <c r="J153" s="301">
        <f>SUM(H153:I153)</f>
        <v>37835872.33077778</v>
      </c>
    </row>
    <row r="154" spans="1:10" ht="12.75">
      <c r="A154" s="103">
        <v>45721</v>
      </c>
      <c r="B154" s="306">
        <f>A154-A153</f>
        <v>64</v>
      </c>
      <c r="C154" s="42">
        <f t="shared" si="6"/>
        <v>8914000</v>
      </c>
      <c r="D154" s="42">
        <v>8800000</v>
      </c>
      <c r="E154" s="104"/>
      <c r="F154" s="104"/>
      <c r="G154" s="104"/>
      <c r="H154" s="104"/>
      <c r="I154" s="104"/>
      <c r="J154" s="242"/>
    </row>
    <row r="155" spans="1:10" ht="12.75">
      <c r="A155" s="90">
        <v>45747</v>
      </c>
      <c r="B155" s="307">
        <f>A155-A154</f>
        <v>26</v>
      </c>
      <c r="C155" s="41">
        <f t="shared" si="6"/>
        <v>8914000</v>
      </c>
      <c r="D155" s="41"/>
      <c r="E155" s="302">
        <f>E153</f>
        <v>0.06567</v>
      </c>
      <c r="F155" s="41">
        <f>((C154+D154)*E155/360*B154)+((C155+D155)*E155/360*B155)</f>
        <v>249082.66166666668</v>
      </c>
      <c r="G155" s="41">
        <f>((C154+D154)*$H$3/360*B154)+((C155+D155)*$H$3/360*B155)</f>
        <v>15171.777777777777</v>
      </c>
      <c r="H155" s="91"/>
      <c r="I155" s="91"/>
      <c r="J155" s="231"/>
    </row>
    <row r="156" spans="1:10" ht="13.5" thickBot="1">
      <c r="A156" s="90">
        <v>45813</v>
      </c>
      <c r="B156" s="307">
        <f>A156-A155</f>
        <v>66</v>
      </c>
      <c r="C156" s="41">
        <f t="shared" si="6"/>
        <v>0</v>
      </c>
      <c r="D156" s="41">
        <v>8914000</v>
      </c>
      <c r="E156" s="302">
        <f>E155</f>
        <v>0.06567</v>
      </c>
      <c r="F156" s="41">
        <f>((C156+D156)*E156/360*B156)</f>
        <v>107320.103</v>
      </c>
      <c r="G156" s="41">
        <f>((C156+D156)*$H$3/360*B156)</f>
        <v>6536.933333333333</v>
      </c>
      <c r="H156" s="300">
        <f>SUM(F155:G156)</f>
        <v>378111.4757777778</v>
      </c>
      <c r="I156" s="300">
        <f>SUM(D154:D156)</f>
        <v>17714000</v>
      </c>
      <c r="J156" s="301">
        <f>SUM(H156:I156)</f>
        <v>18092111.47577778</v>
      </c>
    </row>
    <row r="157" spans="1:10" ht="13.5" thickTop="1">
      <c r="A157" s="563" t="s">
        <v>14</v>
      </c>
      <c r="B157" s="564"/>
      <c r="C157" s="565"/>
      <c r="D157" s="117">
        <f>SUM(D7:D156)</f>
        <v>607314000</v>
      </c>
      <c r="E157" s="118"/>
      <c r="F157" s="117">
        <f>SUM(F7:F156)</f>
        <v>415146685.5193338</v>
      </c>
      <c r="G157" s="117">
        <f>SUM(G7:G156)</f>
        <v>26531320.111111097</v>
      </c>
      <c r="H157" s="117">
        <f>SUM(H7:H156)</f>
        <v>441678005.63044447</v>
      </c>
      <c r="I157" s="117">
        <f>SUM(I7:I156)</f>
        <v>607314000</v>
      </c>
      <c r="J157" s="119">
        <f>SUM(J7:J156)</f>
        <v>1048992005.6304443</v>
      </c>
    </row>
    <row r="158" spans="1:10" ht="12.75">
      <c r="A158" s="120"/>
      <c r="B158" s="121"/>
      <c r="E158" s="122"/>
      <c r="H158" s="121"/>
      <c r="J158" s="121"/>
    </row>
    <row r="159" spans="1:10" ht="12.75">
      <c r="A159" s="120"/>
      <c r="B159" s="121"/>
      <c r="E159" s="122"/>
      <c r="H159" s="121"/>
      <c r="J159" s="121"/>
    </row>
    <row r="160" spans="2:10" ht="12.75">
      <c r="B160" s="58" t="s">
        <v>71</v>
      </c>
      <c r="D160" s="58"/>
      <c r="E160" s="122" t="s">
        <v>116</v>
      </c>
      <c r="H160" s="311">
        <v>425421000</v>
      </c>
      <c r="J160" s="121"/>
    </row>
    <row r="161" spans="2:10" ht="13.5" thickBot="1">
      <c r="B161" s="58" t="s">
        <v>100</v>
      </c>
      <c r="D161" s="58"/>
      <c r="E161" s="122" t="s">
        <v>140</v>
      </c>
      <c r="H161" s="311">
        <v>181893000</v>
      </c>
      <c r="J161" s="121"/>
    </row>
    <row r="162" spans="2:10" ht="13.5" thickTop="1">
      <c r="B162" s="124" t="s">
        <v>14</v>
      </c>
      <c r="C162" s="129"/>
      <c r="D162" s="124"/>
      <c r="E162" s="125"/>
      <c r="F162" s="126"/>
      <c r="G162" s="126"/>
      <c r="H162" s="312">
        <f>SUM(H160:H161)</f>
        <v>607314000</v>
      </c>
      <c r="J162" s="121"/>
    </row>
  </sheetData>
  <sheetProtection/>
  <mergeCells count="1">
    <mergeCell ref="A157:C157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2005. december 1-i felvételre tervezett 607.314 eFt hitel</oddHeader>
    <oddFooter>&amp;L&amp;8&amp;D&amp;C&amp;8C:\Andi\adósságszolgálat\&amp;F\&amp;A&amp;R&amp;8&amp;P/&amp;N</oddFooter>
  </headerFooter>
  <rowBreaks count="2" manualBreakCount="2">
    <brk id="65" max="255" man="1"/>
    <brk id="1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2"/>
  <sheetViews>
    <sheetView zoomScaleSheetLayoutView="100" zoomScalePageLayoutView="0" workbookViewId="0" topLeftCell="A4">
      <selection activeCell="A23" sqref="A23:I24"/>
    </sheetView>
  </sheetViews>
  <sheetFormatPr defaultColWidth="9.00390625" defaultRowHeight="12.75"/>
  <cols>
    <col min="1" max="1" width="11.37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7.875" style="58" customWidth="1"/>
    <col min="6" max="7" width="12.625" style="58" customWidth="1"/>
    <col min="8" max="8" width="13.125" style="58" bestFit="1" customWidth="1"/>
    <col min="9" max="10" width="12.625" style="58" bestFit="1" customWidth="1"/>
    <col min="11" max="11" width="2.125" style="58" customWidth="1"/>
    <col min="12" max="16384" width="9.375" style="58" customWidth="1"/>
  </cols>
  <sheetData>
    <row r="1" ht="12.75">
      <c r="A1" s="162" t="s">
        <v>258</v>
      </c>
    </row>
    <row r="2" spans="1:10" ht="12.75">
      <c r="A2" s="163" t="s">
        <v>109</v>
      </c>
      <c r="B2" s="162"/>
      <c r="C2" s="163" t="s">
        <v>110</v>
      </c>
      <c r="D2" s="163"/>
      <c r="H2" s="163"/>
      <c r="I2" s="163"/>
      <c r="J2" s="163"/>
    </row>
    <row r="3" spans="1:10" ht="12.75">
      <c r="A3" s="163" t="s">
        <v>149</v>
      </c>
      <c r="B3" s="133"/>
      <c r="C3" s="132"/>
      <c r="D3" s="132"/>
      <c r="E3" s="132"/>
      <c r="F3" s="163" t="s">
        <v>150</v>
      </c>
      <c r="G3" s="163"/>
      <c r="H3" s="132"/>
      <c r="I3" s="132"/>
      <c r="J3" s="132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69" t="s">
        <v>120</v>
      </c>
      <c r="H4" s="70" t="s">
        <v>6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5" t="s">
        <v>121</v>
      </c>
      <c r="H5" s="76" t="s">
        <v>9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80"/>
      <c r="F6" s="81"/>
      <c r="G6" s="136" t="s">
        <v>151</v>
      </c>
      <c r="H6" s="136" t="s">
        <v>123</v>
      </c>
      <c r="I6" s="82" t="s">
        <v>13</v>
      </c>
      <c r="J6" s="83" t="s">
        <v>12</v>
      </c>
    </row>
    <row r="7" spans="1:10" ht="12.75">
      <c r="A7" s="345">
        <v>38990</v>
      </c>
      <c r="B7" s="73"/>
      <c r="C7" s="74"/>
      <c r="D7" s="74"/>
      <c r="E7" s="74"/>
      <c r="F7" s="340"/>
      <c r="G7" s="342">
        <v>0</v>
      </c>
      <c r="H7" s="341"/>
      <c r="I7" s="76"/>
      <c r="J7" s="77"/>
    </row>
    <row r="8" spans="1:10" ht="12.75">
      <c r="A8" s="294">
        <v>39070</v>
      </c>
      <c r="B8" s="361"/>
      <c r="C8" s="281">
        <v>8528000</v>
      </c>
      <c r="D8" s="41"/>
      <c r="E8" s="302"/>
      <c r="F8" s="41"/>
      <c r="G8" s="41"/>
      <c r="H8" s="91"/>
      <c r="I8" s="91"/>
      <c r="J8" s="231"/>
    </row>
    <row r="9" spans="1:10" ht="12.75">
      <c r="A9" s="97">
        <v>39080</v>
      </c>
      <c r="B9" s="308">
        <f>A9-A8</f>
        <v>10</v>
      </c>
      <c r="C9" s="99">
        <f aca="true" t="shared" si="0" ref="C9:C41">C8-D9</f>
        <v>8528000</v>
      </c>
      <c r="D9" s="99"/>
      <c r="E9" s="303">
        <v>0.04266</v>
      </c>
      <c r="F9" s="99">
        <v>10106</v>
      </c>
      <c r="G9" s="99">
        <v>0</v>
      </c>
      <c r="H9" s="300">
        <f>SUM(F7:G9)</f>
        <v>10106</v>
      </c>
      <c r="I9" s="300">
        <f>SUM(D8:D9)</f>
        <v>0</v>
      </c>
      <c r="J9" s="301">
        <f>SUM(H9:I9)</f>
        <v>10106</v>
      </c>
    </row>
    <row r="10" spans="1:10" ht="12.75">
      <c r="A10" s="103">
        <v>39171</v>
      </c>
      <c r="B10" s="306">
        <f>A10-A9</f>
        <v>91</v>
      </c>
      <c r="C10" s="190">
        <f t="shared" si="0"/>
        <v>8528000</v>
      </c>
      <c r="D10" s="42"/>
      <c r="E10" s="304">
        <v>0.04612</v>
      </c>
      <c r="F10" s="42">
        <v>99174</v>
      </c>
      <c r="G10" s="42">
        <v>1940</v>
      </c>
      <c r="H10" s="104"/>
      <c r="I10" s="104"/>
      <c r="J10" s="242"/>
    </row>
    <row r="11" spans="1:10" ht="12.75">
      <c r="A11" s="90">
        <v>39262</v>
      </c>
      <c r="B11" s="307">
        <f>A11-A10</f>
        <v>91</v>
      </c>
      <c r="C11" s="41">
        <f t="shared" si="0"/>
        <v>8528000</v>
      </c>
      <c r="D11" s="41"/>
      <c r="E11" s="302">
        <v>0.04804</v>
      </c>
      <c r="F11" s="41">
        <v>103468</v>
      </c>
      <c r="G11" s="41">
        <f>G10</f>
        <v>1940</v>
      </c>
      <c r="H11" s="91"/>
      <c r="I11" s="91"/>
      <c r="J11" s="231"/>
    </row>
    <row r="12" spans="1:10" s="162" customFormat="1" ht="12.75">
      <c r="A12" s="294">
        <v>39315</v>
      </c>
      <c r="B12" s="307">
        <f aca="true" t="shared" si="1" ref="B12:B41">A12-A11</f>
        <v>53</v>
      </c>
      <c r="C12" s="281">
        <v>10350000</v>
      </c>
      <c r="D12" s="281"/>
      <c r="E12" s="395"/>
      <c r="F12" s="281"/>
      <c r="G12" s="281"/>
      <c r="H12" s="396"/>
      <c r="I12" s="396"/>
      <c r="J12" s="397"/>
    </row>
    <row r="13" spans="1:10" ht="12.75">
      <c r="A13" s="90">
        <v>39353</v>
      </c>
      <c r="B13" s="307">
        <f t="shared" si="1"/>
        <v>38</v>
      </c>
      <c r="C13" s="41">
        <f>C12-D13</f>
        <v>10350000</v>
      </c>
      <c r="D13" s="41"/>
      <c r="E13" s="302">
        <v>0.05054</v>
      </c>
      <c r="F13" s="41">
        <v>118550</v>
      </c>
      <c r="G13" s="41">
        <f>G11</f>
        <v>1940</v>
      </c>
      <c r="H13" s="91"/>
      <c r="I13" s="91"/>
      <c r="J13" s="231"/>
    </row>
    <row r="14" spans="1:10" ht="12.75">
      <c r="A14" s="97">
        <v>39445</v>
      </c>
      <c r="B14" s="308">
        <f t="shared" si="1"/>
        <v>92</v>
      </c>
      <c r="C14" s="99">
        <f t="shared" si="0"/>
        <v>10350000</v>
      </c>
      <c r="D14" s="99"/>
      <c r="E14" s="303">
        <v>0.05676</v>
      </c>
      <c r="F14" s="99">
        <v>149594</v>
      </c>
      <c r="G14" s="99">
        <f aca="true" t="shared" si="2" ref="G14:G19">G13</f>
        <v>1940</v>
      </c>
      <c r="H14" s="300">
        <f>SUM(F10:G14)</f>
        <v>478546</v>
      </c>
      <c r="I14" s="300">
        <f>SUM(D10:D14)</f>
        <v>0</v>
      </c>
      <c r="J14" s="301">
        <f>SUM(H14:I14)</f>
        <v>478546</v>
      </c>
    </row>
    <row r="15" spans="1:10" ht="12.75">
      <c r="A15" s="103">
        <v>39538</v>
      </c>
      <c r="B15" s="306">
        <f t="shared" si="1"/>
        <v>93</v>
      </c>
      <c r="C15" s="42">
        <f t="shared" si="0"/>
        <v>10350000</v>
      </c>
      <c r="D15" s="42"/>
      <c r="E15" s="304">
        <v>0.05655</v>
      </c>
      <c r="F15" s="42">
        <v>151219</v>
      </c>
      <c r="G15" s="42">
        <f t="shared" si="2"/>
        <v>1940</v>
      </c>
      <c r="H15" s="104"/>
      <c r="I15" s="104"/>
      <c r="J15" s="242"/>
    </row>
    <row r="16" spans="1:10" ht="12.75">
      <c r="A16" s="90">
        <v>39629</v>
      </c>
      <c r="B16" s="307">
        <f t="shared" si="1"/>
        <v>91</v>
      </c>
      <c r="C16" s="41">
        <f t="shared" si="0"/>
        <v>10350000</v>
      </c>
      <c r="D16" s="41"/>
      <c r="E16" s="302">
        <v>0.05621</v>
      </c>
      <c r="F16" s="41">
        <v>147069</v>
      </c>
      <c r="G16" s="41">
        <f t="shared" si="2"/>
        <v>1940</v>
      </c>
      <c r="H16" s="91"/>
      <c r="I16" s="91"/>
      <c r="J16" s="231"/>
    </row>
    <row r="17" spans="1:10" ht="12.75">
      <c r="A17" s="90">
        <v>39721</v>
      </c>
      <c r="B17" s="307">
        <f t="shared" si="1"/>
        <v>92</v>
      </c>
      <c r="C17" s="41">
        <f t="shared" si="0"/>
        <v>10350000</v>
      </c>
      <c r="D17" s="41"/>
      <c r="E17" s="302">
        <v>0.05837</v>
      </c>
      <c r="F17" s="41">
        <v>154327</v>
      </c>
      <c r="G17" s="41">
        <f t="shared" si="2"/>
        <v>1940</v>
      </c>
      <c r="H17" s="91"/>
      <c r="I17" s="91"/>
      <c r="J17" s="231"/>
    </row>
    <row r="18" spans="1:10" ht="12.75">
      <c r="A18" s="97">
        <v>39813</v>
      </c>
      <c r="B18" s="308">
        <f t="shared" si="1"/>
        <v>92</v>
      </c>
      <c r="C18" s="99">
        <f t="shared" si="0"/>
        <v>10350000</v>
      </c>
      <c r="D18" s="99"/>
      <c r="E18" s="303">
        <v>0.06127</v>
      </c>
      <c r="F18" s="99">
        <f>((C18+D18)*E18/360*B18)</f>
        <v>162059.15</v>
      </c>
      <c r="G18" s="99">
        <f t="shared" si="2"/>
        <v>1940</v>
      </c>
      <c r="H18" s="300">
        <f>SUM(F15:G18)</f>
        <v>622434.15</v>
      </c>
      <c r="I18" s="300">
        <f>SUM(D15:D18)</f>
        <v>0</v>
      </c>
      <c r="J18" s="301">
        <f>SUM(H18:I18)</f>
        <v>622434.15</v>
      </c>
    </row>
    <row r="19" spans="1:10" ht="12.75">
      <c r="A19" s="90">
        <v>39903</v>
      </c>
      <c r="B19" s="310">
        <f t="shared" si="1"/>
        <v>90</v>
      </c>
      <c r="C19" s="42">
        <f t="shared" si="0"/>
        <v>10350000</v>
      </c>
      <c r="D19" s="41"/>
      <c r="E19" s="302">
        <f>E18</f>
        <v>0.06127</v>
      </c>
      <c r="F19" s="42">
        <f>((C19+D19)*E19/360*B19)</f>
        <v>158536.125</v>
      </c>
      <c r="G19" s="41">
        <f t="shared" si="2"/>
        <v>1940</v>
      </c>
      <c r="H19" s="91"/>
      <c r="I19" s="91"/>
      <c r="J19" s="231"/>
    </row>
    <row r="20" spans="1:10" ht="12.75">
      <c r="A20" s="90">
        <v>39969</v>
      </c>
      <c r="B20" s="307">
        <f t="shared" si="1"/>
        <v>66</v>
      </c>
      <c r="C20" s="41">
        <f>C19-D20</f>
        <v>10200000</v>
      </c>
      <c r="D20" s="41">
        <v>150000</v>
      </c>
      <c r="E20" s="302"/>
      <c r="F20" s="41"/>
      <c r="G20" s="41"/>
      <c r="H20" s="91"/>
      <c r="I20" s="91"/>
      <c r="J20" s="231"/>
    </row>
    <row r="21" spans="1:10" ht="12.75">
      <c r="A21" s="90">
        <v>39994</v>
      </c>
      <c r="B21" s="307">
        <f t="shared" si="1"/>
        <v>25</v>
      </c>
      <c r="C21" s="41">
        <f t="shared" si="0"/>
        <v>10200000</v>
      </c>
      <c r="D21" s="41"/>
      <c r="E21" s="302">
        <f>E19</f>
        <v>0.06127</v>
      </c>
      <c r="F21" s="41">
        <f>((C20+D20)*E21/360*B20)+((C21+D21)*E21/360*B21)</f>
        <v>159659.40833333333</v>
      </c>
      <c r="G21" s="41">
        <f>G19</f>
        <v>1940</v>
      </c>
      <c r="H21" s="91"/>
      <c r="I21" s="91"/>
      <c r="J21" s="231"/>
    </row>
    <row r="22" spans="1:10" ht="12.75">
      <c r="A22" s="90">
        <v>40061</v>
      </c>
      <c r="B22" s="307">
        <f t="shared" si="1"/>
        <v>67</v>
      </c>
      <c r="C22" s="41">
        <f>C21-D22</f>
        <v>10050000</v>
      </c>
      <c r="D22" s="41">
        <f>D20</f>
        <v>150000</v>
      </c>
      <c r="E22" s="302"/>
      <c r="F22" s="41"/>
      <c r="G22" s="41"/>
      <c r="H22" s="91"/>
      <c r="I22" s="91"/>
      <c r="J22" s="231"/>
    </row>
    <row r="23" spans="1:10" ht="12.75">
      <c r="A23" s="90">
        <v>40086</v>
      </c>
      <c r="B23" s="307">
        <f t="shared" si="1"/>
        <v>25</v>
      </c>
      <c r="C23" s="41">
        <f t="shared" si="0"/>
        <v>10050000</v>
      </c>
      <c r="D23" s="41"/>
      <c r="E23" s="302">
        <f>E21</f>
        <v>0.06127</v>
      </c>
      <c r="F23" s="41">
        <f>((C22+D22)*E23/360*B22)+((C23+D23)*E23/360*B23)</f>
        <v>159072.2375</v>
      </c>
      <c r="G23" s="41">
        <f>G21</f>
        <v>1940</v>
      </c>
      <c r="H23" s="91"/>
      <c r="I23" s="91"/>
      <c r="J23" s="231"/>
    </row>
    <row r="24" spans="1:10" ht="12.75">
      <c r="A24" s="90">
        <v>40152</v>
      </c>
      <c r="B24" s="307">
        <f t="shared" si="1"/>
        <v>66</v>
      </c>
      <c r="C24" s="41">
        <f t="shared" si="0"/>
        <v>9900000</v>
      </c>
      <c r="D24" s="41">
        <f>D22</f>
        <v>150000</v>
      </c>
      <c r="E24" s="302"/>
      <c r="F24" s="41"/>
      <c r="G24" s="41"/>
      <c r="H24" s="91"/>
      <c r="I24" s="91"/>
      <c r="J24" s="231"/>
    </row>
    <row r="25" spans="1:10" ht="12.75">
      <c r="A25" s="97">
        <v>40178</v>
      </c>
      <c r="B25" s="308">
        <f t="shared" si="1"/>
        <v>26</v>
      </c>
      <c r="C25" s="99">
        <f>C24-D25</f>
        <v>9900000</v>
      </c>
      <c r="D25" s="99"/>
      <c r="E25" s="303">
        <f>E23</f>
        <v>0.06127</v>
      </c>
      <c r="F25" s="99">
        <f>((C24+D24)*E25/360*B24)+((C25+D25)*E25/360*B25)</f>
        <v>156698.025</v>
      </c>
      <c r="G25" s="99">
        <f>G23</f>
        <v>1940</v>
      </c>
      <c r="H25" s="300">
        <f>SUM(F19:G25)</f>
        <v>641725.7958333333</v>
      </c>
      <c r="I25" s="300">
        <f>SUM(D19:D25)</f>
        <v>450000</v>
      </c>
      <c r="J25" s="301">
        <f>SUM(H25:I25)</f>
        <v>1091725.7958333334</v>
      </c>
    </row>
    <row r="26" spans="1:10" ht="12.75">
      <c r="A26" s="103">
        <v>40242</v>
      </c>
      <c r="B26" s="306">
        <f t="shared" si="1"/>
        <v>64</v>
      </c>
      <c r="C26" s="42">
        <f t="shared" si="0"/>
        <v>9750000</v>
      </c>
      <c r="D26" s="42">
        <f>D24</f>
        <v>150000</v>
      </c>
      <c r="E26" s="104"/>
      <c r="F26" s="104"/>
      <c r="G26" s="104"/>
      <c r="H26" s="104"/>
      <c r="I26" s="104"/>
      <c r="J26" s="242"/>
    </row>
    <row r="27" spans="1:10" ht="12.75">
      <c r="A27" s="90">
        <v>40268</v>
      </c>
      <c r="B27" s="307">
        <f t="shared" si="1"/>
        <v>26</v>
      </c>
      <c r="C27" s="41">
        <f t="shared" si="0"/>
        <v>9750000</v>
      </c>
      <c r="D27" s="41"/>
      <c r="E27" s="302">
        <f>E25</f>
        <v>0.06127</v>
      </c>
      <c r="F27" s="41">
        <f>((C26+D26)*E27/360*B26)+((C27+D27)*E27/360*B27)</f>
        <v>150979.49166666667</v>
      </c>
      <c r="G27" s="41">
        <f>G25</f>
        <v>1940</v>
      </c>
      <c r="H27" s="91"/>
      <c r="I27" s="91"/>
      <c r="J27" s="231"/>
    </row>
    <row r="28" spans="1:10" ht="12.75">
      <c r="A28" s="90">
        <v>40334</v>
      </c>
      <c r="B28" s="307">
        <f t="shared" si="1"/>
        <v>66</v>
      </c>
      <c r="C28" s="41">
        <f>C27-D28</f>
        <v>9600000</v>
      </c>
      <c r="D28" s="41">
        <f>D26</f>
        <v>150000</v>
      </c>
      <c r="E28" s="302"/>
      <c r="F28" s="41"/>
      <c r="G28" s="41"/>
      <c r="H28" s="91"/>
      <c r="I28" s="91"/>
      <c r="J28" s="231"/>
    </row>
    <row r="29" spans="1:10" ht="12.75">
      <c r="A29" s="90">
        <v>40359</v>
      </c>
      <c r="B29" s="307">
        <f t="shared" si="1"/>
        <v>25</v>
      </c>
      <c r="C29" s="41">
        <f>C28-D29</f>
        <v>9600000</v>
      </c>
      <c r="D29" s="41"/>
      <c r="E29" s="302">
        <f>E27</f>
        <v>0.06127</v>
      </c>
      <c r="F29" s="41">
        <f>((C28+D28)*E29/360*B28)+((C29+D29)*E29/360*B29)</f>
        <v>150366.79166666666</v>
      </c>
      <c r="G29" s="41">
        <f>G27</f>
        <v>1940</v>
      </c>
      <c r="H29" s="91"/>
      <c r="I29" s="91"/>
      <c r="J29" s="231"/>
    </row>
    <row r="30" spans="1:10" ht="12.75">
      <c r="A30" s="90">
        <v>40426</v>
      </c>
      <c r="B30" s="307">
        <f t="shared" si="1"/>
        <v>67</v>
      </c>
      <c r="C30" s="41">
        <f>C29-D30</f>
        <v>9450000</v>
      </c>
      <c r="D30" s="41">
        <f>D28</f>
        <v>150000</v>
      </c>
      <c r="E30" s="302"/>
      <c r="F30" s="41"/>
      <c r="G30" s="41"/>
      <c r="H30" s="91"/>
      <c r="I30" s="91"/>
      <c r="J30" s="231"/>
    </row>
    <row r="31" spans="1:10" ht="12.75">
      <c r="A31" s="90">
        <v>40451</v>
      </c>
      <c r="B31" s="307">
        <f t="shared" si="1"/>
        <v>25</v>
      </c>
      <c r="C31" s="41">
        <f t="shared" si="0"/>
        <v>9450000</v>
      </c>
      <c r="D31" s="41"/>
      <c r="E31" s="302">
        <f>E29</f>
        <v>0.06127</v>
      </c>
      <c r="F31" s="41">
        <f>((C30+D30)*E31/360*B30)+((C31+D31)*E31/360*B31)</f>
        <v>149677.50416666665</v>
      </c>
      <c r="G31" s="41">
        <f>G29</f>
        <v>1940</v>
      </c>
      <c r="H31" s="91"/>
      <c r="I31" s="91"/>
      <c r="J31" s="231"/>
    </row>
    <row r="32" spans="1:10" ht="12.75">
      <c r="A32" s="90">
        <v>40517</v>
      </c>
      <c r="B32" s="307">
        <f t="shared" si="1"/>
        <v>66</v>
      </c>
      <c r="C32" s="41">
        <f t="shared" si="0"/>
        <v>9300000</v>
      </c>
      <c r="D32" s="41">
        <f>D30</f>
        <v>150000</v>
      </c>
      <c r="E32" s="302"/>
      <c r="F32" s="41"/>
      <c r="G32" s="41"/>
      <c r="H32" s="91"/>
      <c r="I32" s="91"/>
      <c r="J32" s="231"/>
    </row>
    <row r="33" spans="1:10" ht="12.75">
      <c r="A33" s="97">
        <v>40543</v>
      </c>
      <c r="B33" s="308">
        <f t="shared" si="1"/>
        <v>26</v>
      </c>
      <c r="C33" s="99">
        <f t="shared" si="0"/>
        <v>9300000</v>
      </c>
      <c r="D33" s="99"/>
      <c r="E33" s="303">
        <f>E31</f>
        <v>0.06127</v>
      </c>
      <c r="F33" s="99">
        <f>((C32+D32)*E33/360*B32)+((C33+D33)*E33/360*B33)</f>
        <v>147303.2916666667</v>
      </c>
      <c r="G33" s="99">
        <f>G31</f>
        <v>1940</v>
      </c>
      <c r="H33" s="300">
        <f>SUM(F27:G33)</f>
        <v>606087.0791666666</v>
      </c>
      <c r="I33" s="300">
        <f>SUM(D26:D33)</f>
        <v>600000</v>
      </c>
      <c r="J33" s="301">
        <f>SUM(H33:I33)</f>
        <v>1206087.0791666666</v>
      </c>
    </row>
    <row r="34" spans="1:10" ht="12.75">
      <c r="A34" s="103">
        <v>40607</v>
      </c>
      <c r="B34" s="306">
        <f t="shared" si="1"/>
        <v>64</v>
      </c>
      <c r="C34" s="42">
        <f t="shared" si="0"/>
        <v>9150000</v>
      </c>
      <c r="D34" s="42">
        <f>D32</f>
        <v>150000</v>
      </c>
      <c r="E34" s="104"/>
      <c r="F34" s="104"/>
      <c r="G34" s="104"/>
      <c r="H34" s="104"/>
      <c r="I34" s="104"/>
      <c r="J34" s="242"/>
    </row>
    <row r="35" spans="1:10" ht="12.75">
      <c r="A35" s="90">
        <v>40633</v>
      </c>
      <c r="B35" s="307">
        <f t="shared" si="1"/>
        <v>26</v>
      </c>
      <c r="C35" s="41">
        <f t="shared" si="0"/>
        <v>9150000</v>
      </c>
      <c r="D35" s="41"/>
      <c r="E35" s="302">
        <f>E33</f>
        <v>0.06127</v>
      </c>
      <c r="F35" s="41">
        <f>((C34+D34)*E35/360*B34)+((C35+D35)*E35/360*B35)</f>
        <v>141788.99166666667</v>
      </c>
      <c r="G35" s="41">
        <f>G33</f>
        <v>1940</v>
      </c>
      <c r="H35" s="91"/>
      <c r="I35" s="91"/>
      <c r="J35" s="231"/>
    </row>
    <row r="36" spans="1:10" ht="12.75">
      <c r="A36" s="90">
        <v>40699</v>
      </c>
      <c r="B36" s="307">
        <f t="shared" si="1"/>
        <v>66</v>
      </c>
      <c r="C36" s="41">
        <f t="shared" si="0"/>
        <v>9000000</v>
      </c>
      <c r="D36" s="41">
        <f>D34</f>
        <v>150000</v>
      </c>
      <c r="E36" s="302"/>
      <c r="F36" s="41"/>
      <c r="G36" s="41"/>
      <c r="H36" s="91"/>
      <c r="I36" s="91"/>
      <c r="J36" s="231"/>
    </row>
    <row r="37" spans="1:10" ht="12.75">
      <c r="A37" s="90">
        <v>40724</v>
      </c>
      <c r="B37" s="307">
        <f t="shared" si="1"/>
        <v>25</v>
      </c>
      <c r="C37" s="41">
        <f t="shared" si="0"/>
        <v>9000000</v>
      </c>
      <c r="D37" s="41"/>
      <c r="E37" s="302">
        <f>E35</f>
        <v>0.06127</v>
      </c>
      <c r="F37" s="41">
        <f>((C36+D36)*E37/360*B36)+((C37+D37)*E37/360*B37)</f>
        <v>141074.175</v>
      </c>
      <c r="G37" s="41">
        <f>G35</f>
        <v>1940</v>
      </c>
      <c r="H37" s="91"/>
      <c r="I37" s="91"/>
      <c r="J37" s="231"/>
    </row>
    <row r="38" spans="1:10" ht="12.75">
      <c r="A38" s="90">
        <v>40791</v>
      </c>
      <c r="B38" s="307">
        <f t="shared" si="1"/>
        <v>67</v>
      </c>
      <c r="C38" s="41">
        <f t="shared" si="0"/>
        <v>8850000</v>
      </c>
      <c r="D38" s="41">
        <f>D36</f>
        <v>150000</v>
      </c>
      <c r="E38" s="302"/>
      <c r="F38" s="41"/>
      <c r="G38" s="41"/>
      <c r="H38" s="91"/>
      <c r="I38" s="91"/>
      <c r="J38" s="231"/>
    </row>
    <row r="39" spans="1:10" ht="12.75">
      <c r="A39" s="90">
        <v>40816</v>
      </c>
      <c r="B39" s="307">
        <f t="shared" si="1"/>
        <v>25</v>
      </c>
      <c r="C39" s="41">
        <f t="shared" si="0"/>
        <v>8850000</v>
      </c>
      <c r="D39" s="41"/>
      <c r="E39" s="302">
        <f>E37</f>
        <v>0.06127</v>
      </c>
      <c r="F39" s="41">
        <f>((C38+D38)*E39/360*B38)+((C39+D39)*E39/360*B39)</f>
        <v>140282.77083333334</v>
      </c>
      <c r="G39" s="41">
        <f>G37</f>
        <v>1940</v>
      </c>
      <c r="H39" s="91"/>
      <c r="I39" s="91"/>
      <c r="J39" s="231"/>
    </row>
    <row r="40" spans="1:10" ht="12.75">
      <c r="A40" s="90">
        <v>40882</v>
      </c>
      <c r="B40" s="307">
        <f t="shared" si="1"/>
        <v>66</v>
      </c>
      <c r="C40" s="41">
        <f t="shared" si="0"/>
        <v>8700000</v>
      </c>
      <c r="D40" s="41">
        <f>D38</f>
        <v>150000</v>
      </c>
      <c r="E40" s="302"/>
      <c r="F40" s="41"/>
      <c r="G40" s="41"/>
      <c r="H40" s="91"/>
      <c r="I40" s="91"/>
      <c r="J40" s="231"/>
    </row>
    <row r="41" spans="1:10" ht="12.75">
      <c r="A41" s="97">
        <v>40908</v>
      </c>
      <c r="B41" s="308">
        <f t="shared" si="1"/>
        <v>26</v>
      </c>
      <c r="C41" s="99">
        <f t="shared" si="0"/>
        <v>8700000</v>
      </c>
      <c r="D41" s="99"/>
      <c r="E41" s="303">
        <f>E39</f>
        <v>0.06127</v>
      </c>
      <c r="F41" s="99">
        <f>((C40+D40)*E41/360*B40)+((C41+D41)*E41/360*B41)</f>
        <v>137908.55833333332</v>
      </c>
      <c r="G41" s="99">
        <f>G39</f>
        <v>1940</v>
      </c>
      <c r="H41" s="300">
        <f>SUM(F35:G41)</f>
        <v>568814.4958333333</v>
      </c>
      <c r="I41" s="300">
        <f>SUM(D34:D41)</f>
        <v>600000</v>
      </c>
      <c r="J41" s="301">
        <f>SUM(H41:I41)</f>
        <v>1168814.4958333333</v>
      </c>
    </row>
    <row r="42" spans="1:10" ht="12.75">
      <c r="A42" s="103">
        <v>40973</v>
      </c>
      <c r="B42" s="306">
        <f aca="true" t="shared" si="3" ref="B42:B73">A42-A41</f>
        <v>65</v>
      </c>
      <c r="C42" s="42">
        <f aca="true" t="shared" si="4" ref="C42:C73">C41-D42</f>
        <v>8550000</v>
      </c>
      <c r="D42" s="42">
        <f>D40</f>
        <v>150000</v>
      </c>
      <c r="E42" s="104"/>
      <c r="F42" s="104"/>
      <c r="G42" s="104"/>
      <c r="H42" s="104"/>
      <c r="I42" s="104"/>
      <c r="J42" s="242"/>
    </row>
    <row r="43" spans="1:10" ht="12.75">
      <c r="A43" s="90">
        <v>40999</v>
      </c>
      <c r="B43" s="307">
        <f t="shared" si="3"/>
        <v>26</v>
      </c>
      <c r="C43" s="41">
        <f t="shared" si="4"/>
        <v>8550000</v>
      </c>
      <c r="D43" s="41"/>
      <c r="E43" s="302">
        <f>E41</f>
        <v>0.06127</v>
      </c>
      <c r="F43" s="41">
        <f>((C42+D42)*E43/360*B42)+((C43+D43)*E43/360*B43)</f>
        <v>134079.18333333332</v>
      </c>
      <c r="G43" s="41">
        <f>G41</f>
        <v>1940</v>
      </c>
      <c r="H43" s="91"/>
      <c r="I43" s="91"/>
      <c r="J43" s="231"/>
    </row>
    <row r="44" spans="1:10" ht="12.75">
      <c r="A44" s="90">
        <v>41065</v>
      </c>
      <c r="B44" s="307">
        <f t="shared" si="3"/>
        <v>66</v>
      </c>
      <c r="C44" s="41">
        <f t="shared" si="4"/>
        <v>8400000</v>
      </c>
      <c r="D44" s="41">
        <f>D42</f>
        <v>150000</v>
      </c>
      <c r="E44" s="302"/>
      <c r="F44" s="41"/>
      <c r="G44" s="41"/>
      <c r="H44" s="91"/>
      <c r="I44" s="91"/>
      <c r="J44" s="231"/>
    </row>
    <row r="45" spans="1:10" ht="12.75">
      <c r="A45" s="90">
        <v>41090</v>
      </c>
      <c r="B45" s="307">
        <f t="shared" si="3"/>
        <v>25</v>
      </c>
      <c r="C45" s="41">
        <f t="shared" si="4"/>
        <v>8400000</v>
      </c>
      <c r="D45" s="41"/>
      <c r="E45" s="302">
        <f>E43</f>
        <v>0.06127</v>
      </c>
      <c r="F45" s="41">
        <f>((C44+D44)*E45/360*B44)+((C45+D45)*E45/360*B45)</f>
        <v>131781.55833333332</v>
      </c>
      <c r="G45" s="41">
        <f>G43</f>
        <v>1940</v>
      </c>
      <c r="H45" s="91"/>
      <c r="I45" s="91"/>
      <c r="J45" s="231"/>
    </row>
    <row r="46" spans="1:10" ht="12.75">
      <c r="A46" s="90">
        <v>41157</v>
      </c>
      <c r="B46" s="307">
        <f t="shared" si="3"/>
        <v>67</v>
      </c>
      <c r="C46" s="41">
        <f t="shared" si="4"/>
        <v>8250000</v>
      </c>
      <c r="D46" s="41">
        <f>D44</f>
        <v>150000</v>
      </c>
      <c r="E46" s="302"/>
      <c r="F46" s="41"/>
      <c r="G46" s="41"/>
      <c r="H46" s="91"/>
      <c r="I46" s="91"/>
      <c r="J46" s="231"/>
    </row>
    <row r="47" spans="1:10" ht="12.75">
      <c r="A47" s="90">
        <v>41182</v>
      </c>
      <c r="B47" s="307">
        <f t="shared" si="3"/>
        <v>25</v>
      </c>
      <c r="C47" s="41">
        <f t="shared" si="4"/>
        <v>8250000</v>
      </c>
      <c r="D47" s="41"/>
      <c r="E47" s="302">
        <f>E45</f>
        <v>0.06127</v>
      </c>
      <c r="F47" s="41">
        <f>((C46+D46)*E47/360*B46)+((C47+D47)*E47/360*B47)</f>
        <v>130888.0375</v>
      </c>
      <c r="G47" s="41">
        <f>G45</f>
        <v>1940</v>
      </c>
      <c r="H47" s="91"/>
      <c r="I47" s="91"/>
      <c r="J47" s="231"/>
    </row>
    <row r="48" spans="1:10" ht="12.75">
      <c r="A48" s="90">
        <v>41248</v>
      </c>
      <c r="B48" s="307">
        <f t="shared" si="3"/>
        <v>66</v>
      </c>
      <c r="C48" s="41">
        <f t="shared" si="4"/>
        <v>8100000</v>
      </c>
      <c r="D48" s="41">
        <f>D46</f>
        <v>150000</v>
      </c>
      <c r="E48" s="302"/>
      <c r="F48" s="41"/>
      <c r="G48" s="41"/>
      <c r="H48" s="91"/>
      <c r="I48" s="91"/>
      <c r="J48" s="231"/>
    </row>
    <row r="49" spans="1:10" ht="12.75">
      <c r="A49" s="97">
        <v>41274</v>
      </c>
      <c r="B49" s="308">
        <f t="shared" si="3"/>
        <v>26</v>
      </c>
      <c r="C49" s="99">
        <f t="shared" si="4"/>
        <v>8100000</v>
      </c>
      <c r="D49" s="99"/>
      <c r="E49" s="303">
        <f>E47</f>
        <v>0.06127</v>
      </c>
      <c r="F49" s="99">
        <f>((C48+D48)*E49/360*B48)+((C49+D49)*E49/360*B49)</f>
        <v>128513.82500000001</v>
      </c>
      <c r="G49" s="99">
        <f>G47</f>
        <v>1940</v>
      </c>
      <c r="H49" s="300">
        <f>SUM(F43:G49)</f>
        <v>533022.6041666667</v>
      </c>
      <c r="I49" s="300">
        <f>SUM(D42:D49)</f>
        <v>600000</v>
      </c>
      <c r="J49" s="301">
        <f>SUM(H49:I49)</f>
        <v>1133022.6041666667</v>
      </c>
    </row>
    <row r="50" spans="1:10" ht="12.75">
      <c r="A50" s="103">
        <v>41338</v>
      </c>
      <c r="B50" s="306">
        <f t="shared" si="3"/>
        <v>64</v>
      </c>
      <c r="C50" s="42">
        <f t="shared" si="4"/>
        <v>7950000</v>
      </c>
      <c r="D50" s="42">
        <f>D48</f>
        <v>150000</v>
      </c>
      <c r="E50" s="104"/>
      <c r="F50" s="104"/>
      <c r="G50" s="104"/>
      <c r="H50" s="104"/>
      <c r="I50" s="104"/>
      <c r="J50" s="242"/>
    </row>
    <row r="51" spans="1:10" ht="12.75">
      <c r="A51" s="90">
        <v>41364</v>
      </c>
      <c r="B51" s="307">
        <f t="shared" si="3"/>
        <v>26</v>
      </c>
      <c r="C51" s="41">
        <f t="shared" si="4"/>
        <v>7950000</v>
      </c>
      <c r="D51" s="41"/>
      <c r="E51" s="302">
        <f>E49</f>
        <v>0.06127</v>
      </c>
      <c r="F51" s="41">
        <f>((C50+D50)*E51/360*B50)+((C51+D51)*E51/360*B51)</f>
        <v>123407.99166666667</v>
      </c>
      <c r="G51" s="41">
        <f>G49</f>
        <v>1940</v>
      </c>
      <c r="H51" s="91"/>
      <c r="I51" s="91"/>
      <c r="J51" s="231"/>
    </row>
    <row r="52" spans="1:10" ht="12.75">
      <c r="A52" s="90">
        <v>41430</v>
      </c>
      <c r="B52" s="307">
        <f t="shared" si="3"/>
        <v>66</v>
      </c>
      <c r="C52" s="41">
        <f t="shared" si="4"/>
        <v>7800000</v>
      </c>
      <c r="D52" s="41">
        <f>D50</f>
        <v>150000</v>
      </c>
      <c r="E52" s="302"/>
      <c r="F52" s="41"/>
      <c r="G52" s="41"/>
      <c r="H52" s="91"/>
      <c r="I52" s="91"/>
      <c r="J52" s="231"/>
    </row>
    <row r="53" spans="1:10" ht="12.75">
      <c r="A53" s="90">
        <v>41455</v>
      </c>
      <c r="B53" s="307">
        <f t="shared" si="3"/>
        <v>25</v>
      </c>
      <c r="C53" s="41">
        <f t="shared" si="4"/>
        <v>7800000</v>
      </c>
      <c r="D53" s="41"/>
      <c r="E53" s="302">
        <f>E51</f>
        <v>0.06127</v>
      </c>
      <c r="F53" s="41">
        <f>((C52+D52)*E53/360*B52)+((C53+D53)*E53/360*B53)</f>
        <v>122488.94166666665</v>
      </c>
      <c r="G53" s="41">
        <f>G51</f>
        <v>1940</v>
      </c>
      <c r="H53" s="91"/>
      <c r="I53" s="91"/>
      <c r="J53" s="231"/>
    </row>
    <row r="54" spans="1:10" ht="12.75">
      <c r="A54" s="90">
        <v>41522</v>
      </c>
      <c r="B54" s="307">
        <f t="shared" si="3"/>
        <v>67</v>
      </c>
      <c r="C54" s="41">
        <f t="shared" si="4"/>
        <v>7650000</v>
      </c>
      <c r="D54" s="41">
        <f>D52</f>
        <v>150000</v>
      </c>
      <c r="E54" s="302"/>
      <c r="F54" s="41"/>
      <c r="G54" s="41"/>
      <c r="H54" s="91"/>
      <c r="I54" s="91"/>
      <c r="J54" s="231"/>
    </row>
    <row r="55" spans="1:10" ht="12.75">
      <c r="A55" s="90">
        <v>41547</v>
      </c>
      <c r="B55" s="307">
        <f t="shared" si="3"/>
        <v>25</v>
      </c>
      <c r="C55" s="41">
        <f t="shared" si="4"/>
        <v>7650000</v>
      </c>
      <c r="D55" s="41"/>
      <c r="E55" s="302">
        <f>E53</f>
        <v>0.06127</v>
      </c>
      <c r="F55" s="41">
        <f>((C54+D54)*E55/360*B54)+((C55+D55)*E55/360*B55)</f>
        <v>121493.30416666667</v>
      </c>
      <c r="G55" s="41">
        <f>G53</f>
        <v>1940</v>
      </c>
      <c r="H55" s="91"/>
      <c r="I55" s="91"/>
      <c r="J55" s="231"/>
    </row>
    <row r="56" spans="1:10" ht="12.75">
      <c r="A56" s="90">
        <v>41613</v>
      </c>
      <c r="B56" s="307">
        <f t="shared" si="3"/>
        <v>66</v>
      </c>
      <c r="C56" s="41">
        <f t="shared" si="4"/>
        <v>7500000</v>
      </c>
      <c r="D56" s="41">
        <f>D54</f>
        <v>150000</v>
      </c>
      <c r="E56" s="302"/>
      <c r="F56" s="41"/>
      <c r="G56" s="41"/>
      <c r="H56" s="91"/>
      <c r="I56" s="91"/>
      <c r="J56" s="231"/>
    </row>
    <row r="57" spans="1:10" ht="12.75">
      <c r="A57" s="97">
        <v>41639</v>
      </c>
      <c r="B57" s="308">
        <f t="shared" si="3"/>
        <v>26</v>
      </c>
      <c r="C57" s="99">
        <f t="shared" si="4"/>
        <v>7500000</v>
      </c>
      <c r="D57" s="99"/>
      <c r="E57" s="303">
        <f>E55</f>
        <v>0.06127</v>
      </c>
      <c r="F57" s="99">
        <f>((C56+D56)*E57/360*B56)+((C57+D57)*E57/360*B57)</f>
        <v>119119.09166666667</v>
      </c>
      <c r="G57" s="99">
        <f>G55</f>
        <v>1940</v>
      </c>
      <c r="H57" s="300">
        <f>SUM(F51:G57)</f>
        <v>494269.32916666666</v>
      </c>
      <c r="I57" s="300">
        <f>SUM(D50:D57)</f>
        <v>600000</v>
      </c>
      <c r="J57" s="301">
        <f>SUM(H57:I57)</f>
        <v>1094269.3291666666</v>
      </c>
    </row>
    <row r="58" spans="1:10" ht="12.75">
      <c r="A58" s="103">
        <v>41703</v>
      </c>
      <c r="B58" s="306">
        <f t="shared" si="3"/>
        <v>64</v>
      </c>
      <c r="C58" s="42">
        <f t="shared" si="4"/>
        <v>7350000</v>
      </c>
      <c r="D58" s="42">
        <f>D56</f>
        <v>150000</v>
      </c>
      <c r="E58" s="104"/>
      <c r="F58" s="104"/>
      <c r="G58" s="104"/>
      <c r="H58" s="104"/>
      <c r="I58" s="104"/>
      <c r="J58" s="242"/>
    </row>
    <row r="59" spans="1:10" ht="12.75">
      <c r="A59" s="90">
        <v>41729</v>
      </c>
      <c r="B59" s="307">
        <f t="shared" si="3"/>
        <v>26</v>
      </c>
      <c r="C59" s="41">
        <f t="shared" si="4"/>
        <v>7350000</v>
      </c>
      <c r="D59" s="41"/>
      <c r="E59" s="302">
        <f>E57</f>
        <v>0.06127</v>
      </c>
      <c r="F59" s="41">
        <f>((C58+D58)*E59/360*B58)+((C59+D59)*E59/360*B59)</f>
        <v>114217.49166666665</v>
      </c>
      <c r="G59" s="41">
        <f>G57</f>
        <v>1940</v>
      </c>
      <c r="H59" s="91"/>
      <c r="I59" s="91"/>
      <c r="J59" s="231"/>
    </row>
    <row r="60" spans="1:10" ht="12.75">
      <c r="A60" s="90">
        <v>41795</v>
      </c>
      <c r="B60" s="307">
        <f t="shared" si="3"/>
        <v>66</v>
      </c>
      <c r="C60" s="41">
        <f t="shared" si="4"/>
        <v>7200000</v>
      </c>
      <c r="D60" s="41">
        <f>D58</f>
        <v>150000</v>
      </c>
      <c r="E60" s="302"/>
      <c r="F60" s="41"/>
      <c r="G60" s="41"/>
      <c r="H60" s="91"/>
      <c r="I60" s="91"/>
      <c r="J60" s="231"/>
    </row>
    <row r="61" spans="1:10" ht="12.75">
      <c r="A61" s="90">
        <v>41820</v>
      </c>
      <c r="B61" s="307">
        <f t="shared" si="3"/>
        <v>25</v>
      </c>
      <c r="C61" s="41">
        <f t="shared" si="4"/>
        <v>7200000</v>
      </c>
      <c r="D61" s="41"/>
      <c r="E61" s="302">
        <f>E59</f>
        <v>0.06127</v>
      </c>
      <c r="F61" s="41">
        <f>((C60+D60)*E61/360*B60)+((C61+D61)*E61/360*B61)</f>
        <v>113196.325</v>
      </c>
      <c r="G61" s="41">
        <f>G59</f>
        <v>1940</v>
      </c>
      <c r="H61" s="91"/>
      <c r="I61" s="91"/>
      <c r="J61" s="231"/>
    </row>
    <row r="62" spans="1:10" ht="12.75">
      <c r="A62" s="90">
        <v>41887</v>
      </c>
      <c r="B62" s="307">
        <f t="shared" si="3"/>
        <v>67</v>
      </c>
      <c r="C62" s="41">
        <f t="shared" si="4"/>
        <v>7050000</v>
      </c>
      <c r="D62" s="41">
        <f>D60</f>
        <v>150000</v>
      </c>
      <c r="E62" s="302"/>
      <c r="F62" s="41"/>
      <c r="G62" s="41"/>
      <c r="H62" s="91"/>
      <c r="I62" s="91"/>
      <c r="J62" s="231"/>
    </row>
    <row r="63" spans="1:10" ht="12.75">
      <c r="A63" s="90">
        <v>41912</v>
      </c>
      <c r="B63" s="307">
        <f t="shared" si="3"/>
        <v>25</v>
      </c>
      <c r="C63" s="41">
        <f t="shared" si="4"/>
        <v>7050000</v>
      </c>
      <c r="D63" s="41"/>
      <c r="E63" s="302">
        <f>E61</f>
        <v>0.06127</v>
      </c>
      <c r="F63" s="41">
        <f>((C62+D62)*E63/360*B62)+((C63+D63)*E63/360*B63)</f>
        <v>112098.57083333333</v>
      </c>
      <c r="G63" s="41">
        <f>G61</f>
        <v>1940</v>
      </c>
      <c r="H63" s="91"/>
      <c r="I63" s="91"/>
      <c r="J63" s="231"/>
    </row>
    <row r="64" spans="1:10" ht="12.75">
      <c r="A64" s="90">
        <v>41978</v>
      </c>
      <c r="B64" s="307">
        <f t="shared" si="3"/>
        <v>66</v>
      </c>
      <c r="C64" s="41">
        <f t="shared" si="4"/>
        <v>6900000</v>
      </c>
      <c r="D64" s="41">
        <f>D62</f>
        <v>150000</v>
      </c>
      <c r="E64" s="302"/>
      <c r="F64" s="41"/>
      <c r="G64" s="41"/>
      <c r="H64" s="91"/>
      <c r="I64" s="91"/>
      <c r="J64" s="231"/>
    </row>
    <row r="65" spans="1:10" ht="12.75">
      <c r="A65" s="97">
        <v>42004</v>
      </c>
      <c r="B65" s="308">
        <f t="shared" si="3"/>
        <v>26</v>
      </c>
      <c r="C65" s="99">
        <f t="shared" si="4"/>
        <v>6900000</v>
      </c>
      <c r="D65" s="99"/>
      <c r="E65" s="303">
        <f>E63</f>
        <v>0.06127</v>
      </c>
      <c r="F65" s="99">
        <f>((C64+D64)*E65/360*B64)+((C65+D65)*E65/360*B65)</f>
        <v>109724.35833333334</v>
      </c>
      <c r="G65" s="99">
        <f>G63</f>
        <v>1940</v>
      </c>
      <c r="H65" s="300">
        <f>SUM(F59:G65)</f>
        <v>456996.7458333333</v>
      </c>
      <c r="I65" s="300">
        <f>SUM(D58:D65)</f>
        <v>600000</v>
      </c>
      <c r="J65" s="301">
        <f>SUM(H65:I65)</f>
        <v>1056996.7458333333</v>
      </c>
    </row>
    <row r="66" spans="1:10" ht="12.75">
      <c r="A66" s="103">
        <v>42068</v>
      </c>
      <c r="B66" s="306">
        <f t="shared" si="3"/>
        <v>64</v>
      </c>
      <c r="C66" s="42">
        <f t="shared" si="4"/>
        <v>6750000</v>
      </c>
      <c r="D66" s="42">
        <f>D64</f>
        <v>150000</v>
      </c>
      <c r="E66" s="104"/>
      <c r="F66" s="104"/>
      <c r="G66" s="104"/>
      <c r="H66" s="104"/>
      <c r="I66" s="104"/>
      <c r="J66" s="242"/>
    </row>
    <row r="67" spans="1:10" ht="12.75">
      <c r="A67" s="90">
        <v>42094</v>
      </c>
      <c r="B67" s="307">
        <f t="shared" si="3"/>
        <v>26</v>
      </c>
      <c r="C67" s="41">
        <f t="shared" si="4"/>
        <v>6750000</v>
      </c>
      <c r="D67" s="41"/>
      <c r="E67" s="302">
        <f>E65</f>
        <v>0.06127</v>
      </c>
      <c r="F67" s="41">
        <f>((C66+D66)*E67/360*B66)+((C67+D67)*E67/360*B67)</f>
        <v>105026.99166666667</v>
      </c>
      <c r="G67" s="41">
        <f>G65</f>
        <v>1940</v>
      </c>
      <c r="H67" s="91"/>
      <c r="I67" s="91"/>
      <c r="J67" s="231"/>
    </row>
    <row r="68" spans="1:10" ht="12.75">
      <c r="A68" s="90">
        <v>42160</v>
      </c>
      <c r="B68" s="307">
        <f t="shared" si="3"/>
        <v>66</v>
      </c>
      <c r="C68" s="41">
        <f t="shared" si="4"/>
        <v>6600000</v>
      </c>
      <c r="D68" s="41">
        <f>D66</f>
        <v>150000</v>
      </c>
      <c r="E68" s="302"/>
      <c r="F68" s="41"/>
      <c r="G68" s="41"/>
      <c r="H68" s="91"/>
      <c r="I68" s="91"/>
      <c r="J68" s="231"/>
    </row>
    <row r="69" spans="1:10" ht="12.75">
      <c r="A69" s="90">
        <v>42185</v>
      </c>
      <c r="B69" s="307">
        <f t="shared" si="3"/>
        <v>25</v>
      </c>
      <c r="C69" s="41">
        <f t="shared" si="4"/>
        <v>6600000</v>
      </c>
      <c r="D69" s="41"/>
      <c r="E69" s="302">
        <f>E67</f>
        <v>0.06127</v>
      </c>
      <c r="F69" s="41">
        <f>((C68+D68)*E69/360*B68)+((C69+D69)*E69/360*B69)</f>
        <v>103903.70833333333</v>
      </c>
      <c r="G69" s="41">
        <f>G67</f>
        <v>1940</v>
      </c>
      <c r="H69" s="91"/>
      <c r="I69" s="91"/>
      <c r="J69" s="231"/>
    </row>
    <row r="70" spans="1:10" ht="12.75">
      <c r="A70" s="90">
        <v>42252</v>
      </c>
      <c r="B70" s="307">
        <f t="shared" si="3"/>
        <v>67</v>
      </c>
      <c r="C70" s="41">
        <f t="shared" si="4"/>
        <v>6450000</v>
      </c>
      <c r="D70" s="41">
        <f>D68</f>
        <v>150000</v>
      </c>
      <c r="E70" s="302"/>
      <c r="F70" s="41"/>
      <c r="G70" s="41"/>
      <c r="H70" s="91"/>
      <c r="I70" s="91"/>
      <c r="J70" s="231"/>
    </row>
    <row r="71" spans="1:10" ht="12.75">
      <c r="A71" s="90">
        <v>42277</v>
      </c>
      <c r="B71" s="307">
        <f t="shared" si="3"/>
        <v>25</v>
      </c>
      <c r="C71" s="41">
        <f t="shared" si="4"/>
        <v>6450000</v>
      </c>
      <c r="D71" s="41"/>
      <c r="E71" s="302">
        <f>E69</f>
        <v>0.06127</v>
      </c>
      <c r="F71" s="41">
        <f>((C70+D70)*E71/360*B70)+((C71+D71)*E71/360*B71)</f>
        <v>102703.8375</v>
      </c>
      <c r="G71" s="41">
        <f>G69</f>
        <v>1940</v>
      </c>
      <c r="H71" s="91"/>
      <c r="I71" s="91"/>
      <c r="J71" s="231"/>
    </row>
    <row r="72" spans="1:10" ht="12.75">
      <c r="A72" s="90">
        <v>42343</v>
      </c>
      <c r="B72" s="307">
        <f t="shared" si="3"/>
        <v>66</v>
      </c>
      <c r="C72" s="41">
        <f t="shared" si="4"/>
        <v>6300000</v>
      </c>
      <c r="D72" s="41">
        <f>D70</f>
        <v>150000</v>
      </c>
      <c r="E72" s="302"/>
      <c r="F72" s="41"/>
      <c r="G72" s="41"/>
      <c r="H72" s="91"/>
      <c r="I72" s="91"/>
      <c r="J72" s="231"/>
    </row>
    <row r="73" spans="1:10" ht="12.75">
      <c r="A73" s="97">
        <v>42369</v>
      </c>
      <c r="B73" s="308">
        <f t="shared" si="3"/>
        <v>26</v>
      </c>
      <c r="C73" s="99">
        <f t="shared" si="4"/>
        <v>6300000</v>
      </c>
      <c r="D73" s="99"/>
      <c r="E73" s="303">
        <f>E71</f>
        <v>0.06127</v>
      </c>
      <c r="F73" s="99">
        <f>((C72+D72)*E73/360*B72)+((C73+D73)*E73/360*B73)</f>
        <v>100329.625</v>
      </c>
      <c r="G73" s="99">
        <f>G71</f>
        <v>1940</v>
      </c>
      <c r="H73" s="300">
        <f>SUM(F67:G73)</f>
        <v>419724.1625</v>
      </c>
      <c r="I73" s="300">
        <f>SUM(D66:D73)</f>
        <v>600000</v>
      </c>
      <c r="J73" s="301">
        <f>SUM(H73:I73)</f>
        <v>1019724.1625</v>
      </c>
    </row>
    <row r="74" spans="1:10" ht="12.75">
      <c r="A74" s="103">
        <v>42434</v>
      </c>
      <c r="B74" s="306">
        <f aca="true" t="shared" si="5" ref="B74:B105">A74-A73</f>
        <v>65</v>
      </c>
      <c r="C74" s="42">
        <f aca="true" t="shared" si="6" ref="C74:C105">C73-D74</f>
        <v>6150000</v>
      </c>
      <c r="D74" s="42">
        <f>D72</f>
        <v>150000</v>
      </c>
      <c r="E74" s="104"/>
      <c r="F74" s="104"/>
      <c r="G74" s="104"/>
      <c r="H74" s="104"/>
      <c r="I74" s="104"/>
      <c r="J74" s="242"/>
    </row>
    <row r="75" spans="1:10" ht="12.75">
      <c r="A75" s="90">
        <v>42460</v>
      </c>
      <c r="B75" s="307">
        <f t="shared" si="5"/>
        <v>26</v>
      </c>
      <c r="C75" s="41">
        <f t="shared" si="6"/>
        <v>6150000</v>
      </c>
      <c r="D75" s="41"/>
      <c r="E75" s="302">
        <f>E73</f>
        <v>0.06127</v>
      </c>
      <c r="F75" s="41">
        <f>((C74+D74)*E75/360*B74)+((C75+D75)*E75/360*B75)</f>
        <v>96908.71666666667</v>
      </c>
      <c r="G75" s="41">
        <f>G73</f>
        <v>1940</v>
      </c>
      <c r="H75" s="91"/>
      <c r="I75" s="91"/>
      <c r="J75" s="231"/>
    </row>
    <row r="76" spans="1:10" ht="12.75">
      <c r="A76" s="90">
        <v>42526</v>
      </c>
      <c r="B76" s="307">
        <f t="shared" si="5"/>
        <v>66</v>
      </c>
      <c r="C76" s="41">
        <f t="shared" si="6"/>
        <v>6000000</v>
      </c>
      <c r="D76" s="41">
        <f>D74</f>
        <v>150000</v>
      </c>
      <c r="E76" s="302"/>
      <c r="F76" s="41"/>
      <c r="G76" s="41"/>
      <c r="H76" s="91"/>
      <c r="I76" s="91"/>
      <c r="J76" s="231"/>
    </row>
    <row r="77" spans="1:10" ht="12.75">
      <c r="A77" s="90">
        <v>42551</v>
      </c>
      <c r="B77" s="307">
        <f t="shared" si="5"/>
        <v>25</v>
      </c>
      <c r="C77" s="41">
        <f t="shared" si="6"/>
        <v>6000000</v>
      </c>
      <c r="D77" s="41"/>
      <c r="E77" s="302">
        <f>E75</f>
        <v>0.06127</v>
      </c>
      <c r="F77" s="41">
        <f>((C76+D76)*E77/360*B76)+((C77+D77)*E77/360*B77)</f>
        <v>94611.09166666667</v>
      </c>
      <c r="G77" s="41">
        <f>G75</f>
        <v>1940</v>
      </c>
      <c r="H77" s="91"/>
      <c r="I77" s="91"/>
      <c r="J77" s="231"/>
    </row>
    <row r="78" spans="1:10" ht="12.75">
      <c r="A78" s="90">
        <v>42618</v>
      </c>
      <c r="B78" s="307">
        <f t="shared" si="5"/>
        <v>67</v>
      </c>
      <c r="C78" s="41">
        <f t="shared" si="6"/>
        <v>5850000</v>
      </c>
      <c r="D78" s="41">
        <f>D76</f>
        <v>150000</v>
      </c>
      <c r="E78" s="302"/>
      <c r="F78" s="41"/>
      <c r="G78" s="41"/>
      <c r="H78" s="91"/>
      <c r="I78" s="91"/>
      <c r="J78" s="231"/>
    </row>
    <row r="79" spans="1:10" ht="12.75">
      <c r="A79" s="90">
        <v>42643</v>
      </c>
      <c r="B79" s="307">
        <f t="shared" si="5"/>
        <v>25</v>
      </c>
      <c r="C79" s="41">
        <f t="shared" si="6"/>
        <v>5850000</v>
      </c>
      <c r="D79" s="41"/>
      <c r="E79" s="302">
        <f>E77</f>
        <v>0.06127</v>
      </c>
      <c r="F79" s="41">
        <f>((C78+D78)*E79/360*B78)+((C79+D79)*E79/360*B79)</f>
        <v>93309.10416666666</v>
      </c>
      <c r="G79" s="41">
        <f>G77</f>
        <v>1940</v>
      </c>
      <c r="H79" s="91"/>
      <c r="I79" s="91"/>
      <c r="J79" s="231"/>
    </row>
    <row r="80" spans="1:10" ht="12.75">
      <c r="A80" s="90">
        <v>42709</v>
      </c>
      <c r="B80" s="307">
        <f t="shared" si="5"/>
        <v>66</v>
      </c>
      <c r="C80" s="41">
        <f t="shared" si="6"/>
        <v>5700000</v>
      </c>
      <c r="D80" s="41">
        <f>D78</f>
        <v>150000</v>
      </c>
      <c r="E80" s="302"/>
      <c r="F80" s="41"/>
      <c r="G80" s="41"/>
      <c r="H80" s="91"/>
      <c r="I80" s="91"/>
      <c r="J80" s="231"/>
    </row>
    <row r="81" spans="1:10" ht="12.75">
      <c r="A81" s="97">
        <v>42735</v>
      </c>
      <c r="B81" s="308">
        <f t="shared" si="5"/>
        <v>26</v>
      </c>
      <c r="C81" s="99">
        <f t="shared" si="6"/>
        <v>5700000</v>
      </c>
      <c r="D81" s="99"/>
      <c r="E81" s="303">
        <f>E79</f>
        <v>0.06127</v>
      </c>
      <c r="F81" s="99">
        <f>((C80+D80)*E81/360*B80)+((C81+D81)*E81/360*B81)</f>
        <v>90934.89166666666</v>
      </c>
      <c r="G81" s="99">
        <f>G79</f>
        <v>1940</v>
      </c>
      <c r="H81" s="300">
        <f>SUM(F75:G81)</f>
        <v>383523.80416666664</v>
      </c>
      <c r="I81" s="300">
        <f>SUM(D74:D81)</f>
        <v>600000</v>
      </c>
      <c r="J81" s="301">
        <f>SUM(H81:I81)</f>
        <v>983523.8041666667</v>
      </c>
    </row>
    <row r="82" spans="1:10" ht="12.75">
      <c r="A82" s="103">
        <v>42799</v>
      </c>
      <c r="B82" s="306">
        <f t="shared" si="5"/>
        <v>64</v>
      </c>
      <c r="C82" s="42">
        <f t="shared" si="6"/>
        <v>5550000</v>
      </c>
      <c r="D82" s="42">
        <f>D80</f>
        <v>150000</v>
      </c>
      <c r="E82" s="104"/>
      <c r="F82" s="104"/>
      <c r="G82" s="104"/>
      <c r="H82" s="104"/>
      <c r="I82" s="104"/>
      <c r="J82" s="242"/>
    </row>
    <row r="83" spans="1:10" ht="12.75">
      <c r="A83" s="90">
        <v>42825</v>
      </c>
      <c r="B83" s="307">
        <f t="shared" si="5"/>
        <v>26</v>
      </c>
      <c r="C83" s="41">
        <f t="shared" si="6"/>
        <v>5550000</v>
      </c>
      <c r="D83" s="41"/>
      <c r="E83" s="302">
        <f>E81</f>
        <v>0.06127</v>
      </c>
      <c r="F83" s="41">
        <f>((C82+D82)*E83/360*B82)+((C83+D83)*E83/360*B83)</f>
        <v>86645.99166666667</v>
      </c>
      <c r="G83" s="41">
        <f>G81</f>
        <v>1940</v>
      </c>
      <c r="H83" s="91"/>
      <c r="I83" s="91"/>
      <c r="J83" s="231"/>
    </row>
    <row r="84" spans="1:10" ht="12.75">
      <c r="A84" s="90">
        <v>42891</v>
      </c>
      <c r="B84" s="307">
        <f t="shared" si="5"/>
        <v>66</v>
      </c>
      <c r="C84" s="41">
        <f t="shared" si="6"/>
        <v>5400000</v>
      </c>
      <c r="D84" s="41">
        <f>D82</f>
        <v>150000</v>
      </c>
      <c r="E84" s="302"/>
      <c r="F84" s="41"/>
      <c r="G84" s="41"/>
      <c r="H84" s="91"/>
      <c r="I84" s="91"/>
      <c r="J84" s="231"/>
    </row>
    <row r="85" spans="1:10" ht="12.75">
      <c r="A85" s="90">
        <v>42916</v>
      </c>
      <c r="B85" s="307">
        <f t="shared" si="5"/>
        <v>25</v>
      </c>
      <c r="C85" s="41">
        <f t="shared" si="6"/>
        <v>5400000</v>
      </c>
      <c r="D85" s="41"/>
      <c r="E85" s="302">
        <f>E83</f>
        <v>0.06127</v>
      </c>
      <c r="F85" s="41">
        <f>((C84+D84)*E85/360*B84)+((C85+D85)*E85/360*B85)</f>
        <v>85318.475</v>
      </c>
      <c r="G85" s="41">
        <f>G83</f>
        <v>1940</v>
      </c>
      <c r="H85" s="91"/>
      <c r="I85" s="91"/>
      <c r="J85" s="231"/>
    </row>
    <row r="86" spans="1:10" ht="12.75">
      <c r="A86" s="90">
        <v>42983</v>
      </c>
      <c r="B86" s="307">
        <f t="shared" si="5"/>
        <v>67</v>
      </c>
      <c r="C86" s="41">
        <f t="shared" si="6"/>
        <v>5250000</v>
      </c>
      <c r="D86" s="41">
        <f>D84</f>
        <v>150000</v>
      </c>
      <c r="E86" s="302"/>
      <c r="F86" s="41"/>
      <c r="G86" s="41"/>
      <c r="H86" s="91"/>
      <c r="I86" s="91"/>
      <c r="J86" s="231"/>
    </row>
    <row r="87" spans="1:10" ht="12.75">
      <c r="A87" s="90">
        <v>43008</v>
      </c>
      <c r="B87" s="307">
        <f t="shared" si="5"/>
        <v>25</v>
      </c>
      <c r="C87" s="41">
        <f t="shared" si="6"/>
        <v>5250000</v>
      </c>
      <c r="D87" s="41"/>
      <c r="E87" s="302">
        <f>E85</f>
        <v>0.06127</v>
      </c>
      <c r="F87" s="41">
        <f>((C86+D86)*E87/360*B86)+((C87+D87)*E87/360*B87)</f>
        <v>83914.37083333333</v>
      </c>
      <c r="G87" s="41">
        <f>G85</f>
        <v>1940</v>
      </c>
      <c r="H87" s="91"/>
      <c r="I87" s="91"/>
      <c r="J87" s="231"/>
    </row>
    <row r="88" spans="1:10" ht="12.75">
      <c r="A88" s="90">
        <v>43074</v>
      </c>
      <c r="B88" s="307">
        <f t="shared" si="5"/>
        <v>66</v>
      </c>
      <c r="C88" s="41">
        <f t="shared" si="6"/>
        <v>5100000</v>
      </c>
      <c r="D88" s="41">
        <f>D86</f>
        <v>150000</v>
      </c>
      <c r="E88" s="302"/>
      <c r="F88" s="41"/>
      <c r="G88" s="41"/>
      <c r="H88" s="91"/>
      <c r="I88" s="91"/>
      <c r="J88" s="231"/>
    </row>
    <row r="89" spans="1:10" ht="12.75">
      <c r="A89" s="97">
        <v>43100</v>
      </c>
      <c r="B89" s="308">
        <f t="shared" si="5"/>
        <v>26</v>
      </c>
      <c r="C89" s="99">
        <f t="shared" si="6"/>
        <v>5100000</v>
      </c>
      <c r="D89" s="99"/>
      <c r="E89" s="303">
        <f>E87</f>
        <v>0.06127</v>
      </c>
      <c r="F89" s="99">
        <f>((C88+D88)*E89/360*B88)+((C89+D89)*E89/360*B89)</f>
        <v>81540.15833333333</v>
      </c>
      <c r="G89" s="99">
        <f>G87</f>
        <v>1940</v>
      </c>
      <c r="H89" s="300">
        <f>SUM(F83:G89)</f>
        <v>345178.99583333335</v>
      </c>
      <c r="I89" s="300">
        <f>SUM(D82:D89)</f>
        <v>600000</v>
      </c>
      <c r="J89" s="301">
        <f>SUM(H89:I89)</f>
        <v>945178.9958333333</v>
      </c>
    </row>
    <row r="90" spans="1:10" ht="12.75">
      <c r="A90" s="103">
        <v>43164</v>
      </c>
      <c r="B90" s="306">
        <f t="shared" si="5"/>
        <v>64</v>
      </c>
      <c r="C90" s="42">
        <f t="shared" si="6"/>
        <v>4950000</v>
      </c>
      <c r="D90" s="42">
        <f>D88</f>
        <v>150000</v>
      </c>
      <c r="E90" s="104"/>
      <c r="F90" s="104"/>
      <c r="G90" s="104"/>
      <c r="H90" s="104"/>
      <c r="I90" s="104"/>
      <c r="J90" s="242"/>
    </row>
    <row r="91" spans="1:10" ht="12.75">
      <c r="A91" s="90">
        <v>43190</v>
      </c>
      <c r="B91" s="307">
        <f t="shared" si="5"/>
        <v>26</v>
      </c>
      <c r="C91" s="41">
        <f t="shared" si="6"/>
        <v>4950000</v>
      </c>
      <c r="D91" s="41"/>
      <c r="E91" s="302">
        <f>E89</f>
        <v>0.06127</v>
      </c>
      <c r="F91" s="41">
        <f>((C90+D90)*E91/360*B90)+((C91+D91)*E91/360*B91)</f>
        <v>77455.49166666667</v>
      </c>
      <c r="G91" s="41">
        <f>G89</f>
        <v>1940</v>
      </c>
      <c r="H91" s="91"/>
      <c r="I91" s="91"/>
      <c r="J91" s="231"/>
    </row>
    <row r="92" spans="1:10" ht="12.75">
      <c r="A92" s="90">
        <v>43256</v>
      </c>
      <c r="B92" s="307">
        <f t="shared" si="5"/>
        <v>66</v>
      </c>
      <c r="C92" s="41">
        <f t="shared" si="6"/>
        <v>4800000</v>
      </c>
      <c r="D92" s="41">
        <f>D90</f>
        <v>150000</v>
      </c>
      <c r="E92" s="302"/>
      <c r="F92" s="41"/>
      <c r="G92" s="41"/>
      <c r="H92" s="91"/>
      <c r="I92" s="91"/>
      <c r="J92" s="231"/>
    </row>
    <row r="93" spans="1:10" ht="12.75">
      <c r="A93" s="90">
        <v>43281</v>
      </c>
      <c r="B93" s="307">
        <f t="shared" si="5"/>
        <v>25</v>
      </c>
      <c r="C93" s="41">
        <f t="shared" si="6"/>
        <v>4800000</v>
      </c>
      <c r="D93" s="41"/>
      <c r="E93" s="302">
        <f>E91</f>
        <v>0.06127</v>
      </c>
      <c r="F93" s="41">
        <f>((C92+D92)*E93/360*B92)+((C93+D93)*E93/360*B93)</f>
        <v>76025.85833333334</v>
      </c>
      <c r="G93" s="41">
        <f>G91</f>
        <v>1940</v>
      </c>
      <c r="H93" s="91"/>
      <c r="I93" s="91"/>
      <c r="J93" s="231"/>
    </row>
    <row r="94" spans="1:10" ht="12.75">
      <c r="A94" s="90">
        <v>43348</v>
      </c>
      <c r="B94" s="307">
        <f t="shared" si="5"/>
        <v>67</v>
      </c>
      <c r="C94" s="41">
        <f t="shared" si="6"/>
        <v>4650000</v>
      </c>
      <c r="D94" s="41">
        <f>D92</f>
        <v>150000</v>
      </c>
      <c r="E94" s="302"/>
      <c r="F94" s="41"/>
      <c r="G94" s="41"/>
      <c r="H94" s="91"/>
      <c r="I94" s="91"/>
      <c r="J94" s="231"/>
    </row>
    <row r="95" spans="1:10" ht="12.75">
      <c r="A95" s="90">
        <v>43373</v>
      </c>
      <c r="B95" s="307">
        <f t="shared" si="5"/>
        <v>25</v>
      </c>
      <c r="C95" s="41">
        <f t="shared" si="6"/>
        <v>4650000</v>
      </c>
      <c r="D95" s="41"/>
      <c r="E95" s="302">
        <f>E93</f>
        <v>0.06127</v>
      </c>
      <c r="F95" s="41">
        <f>((C94+D94)*E95/360*B94)+((C95+D95)*E95/360*B95)</f>
        <v>74519.6375</v>
      </c>
      <c r="G95" s="41">
        <f>G93</f>
        <v>1940</v>
      </c>
      <c r="H95" s="91"/>
      <c r="I95" s="91"/>
      <c r="J95" s="231"/>
    </row>
    <row r="96" spans="1:10" ht="12.75">
      <c r="A96" s="90">
        <v>43439</v>
      </c>
      <c r="B96" s="307">
        <f t="shared" si="5"/>
        <v>66</v>
      </c>
      <c r="C96" s="41">
        <f t="shared" si="6"/>
        <v>4500000</v>
      </c>
      <c r="D96" s="41">
        <f>D94</f>
        <v>150000</v>
      </c>
      <c r="E96" s="302"/>
      <c r="F96" s="41"/>
      <c r="G96" s="41"/>
      <c r="H96" s="91"/>
      <c r="I96" s="91"/>
      <c r="J96" s="231"/>
    </row>
    <row r="97" spans="1:10" ht="12.75">
      <c r="A97" s="97">
        <v>43465</v>
      </c>
      <c r="B97" s="308">
        <f t="shared" si="5"/>
        <v>26</v>
      </c>
      <c r="C97" s="99">
        <f t="shared" si="6"/>
        <v>4500000</v>
      </c>
      <c r="D97" s="99"/>
      <c r="E97" s="303">
        <f>E95</f>
        <v>0.06127</v>
      </c>
      <c r="F97" s="99">
        <f>((C96+D96)*E97/360*B96)+((C97+D97)*E97/360*B97)</f>
        <v>72145.425</v>
      </c>
      <c r="G97" s="99">
        <f>G95</f>
        <v>1940</v>
      </c>
      <c r="H97" s="300">
        <f>SUM(F91:G97)</f>
        <v>307906.4125</v>
      </c>
      <c r="I97" s="300">
        <f>SUM(D90:D97)</f>
        <v>600000</v>
      </c>
      <c r="J97" s="301">
        <f>SUM(H97:I97)</f>
        <v>907906.4125</v>
      </c>
    </row>
    <row r="98" spans="1:10" ht="12.75">
      <c r="A98" s="103">
        <v>43529</v>
      </c>
      <c r="B98" s="306">
        <f t="shared" si="5"/>
        <v>64</v>
      </c>
      <c r="C98" s="42">
        <f t="shared" si="6"/>
        <v>4350000</v>
      </c>
      <c r="D98" s="42">
        <f>D96</f>
        <v>150000</v>
      </c>
      <c r="E98" s="104"/>
      <c r="F98" s="104"/>
      <c r="G98" s="104"/>
      <c r="H98" s="104"/>
      <c r="I98" s="104"/>
      <c r="J98" s="242"/>
    </row>
    <row r="99" spans="1:10" ht="12.75">
      <c r="A99" s="90">
        <v>43555</v>
      </c>
      <c r="B99" s="307">
        <f t="shared" si="5"/>
        <v>26</v>
      </c>
      <c r="C99" s="41">
        <f t="shared" si="6"/>
        <v>4350000</v>
      </c>
      <c r="D99" s="41"/>
      <c r="E99" s="302">
        <f>E97</f>
        <v>0.06127</v>
      </c>
      <c r="F99" s="41">
        <f>((C98+D98)*E99/360*B98)+((C99+D99)*E99/360*B99)</f>
        <v>68264.99166666667</v>
      </c>
      <c r="G99" s="41">
        <f>G97</f>
        <v>1940</v>
      </c>
      <c r="H99" s="91"/>
      <c r="I99" s="91"/>
      <c r="J99" s="231"/>
    </row>
    <row r="100" spans="1:10" ht="12.75">
      <c r="A100" s="90">
        <v>43621</v>
      </c>
      <c r="B100" s="307">
        <f t="shared" si="5"/>
        <v>66</v>
      </c>
      <c r="C100" s="41">
        <f t="shared" si="6"/>
        <v>4200000</v>
      </c>
      <c r="D100" s="41">
        <f>D98</f>
        <v>150000</v>
      </c>
      <c r="E100" s="302"/>
      <c r="F100" s="41"/>
      <c r="G100" s="41"/>
      <c r="H100" s="91"/>
      <c r="I100" s="91"/>
      <c r="J100" s="231"/>
    </row>
    <row r="101" spans="1:10" ht="12.75">
      <c r="A101" s="90">
        <v>43646</v>
      </c>
      <c r="B101" s="307">
        <f t="shared" si="5"/>
        <v>25</v>
      </c>
      <c r="C101" s="41">
        <f t="shared" si="6"/>
        <v>4200000</v>
      </c>
      <c r="D101" s="41"/>
      <c r="E101" s="302">
        <f>E99</f>
        <v>0.06127</v>
      </c>
      <c r="F101" s="41">
        <f>((C100+D100)*E101/360*B100)+((C101+D101)*E101/360*B101)</f>
        <v>66733.24166666667</v>
      </c>
      <c r="G101" s="41">
        <f>G99</f>
        <v>1940</v>
      </c>
      <c r="H101" s="91"/>
      <c r="I101" s="91"/>
      <c r="J101" s="231"/>
    </row>
    <row r="102" spans="1:10" ht="12.75">
      <c r="A102" s="90">
        <v>43713</v>
      </c>
      <c r="B102" s="307">
        <f t="shared" si="5"/>
        <v>67</v>
      </c>
      <c r="C102" s="41">
        <f t="shared" si="6"/>
        <v>4050000</v>
      </c>
      <c r="D102" s="41">
        <f>D100</f>
        <v>150000</v>
      </c>
      <c r="E102" s="302"/>
      <c r="F102" s="41"/>
      <c r="G102" s="41"/>
      <c r="H102" s="91"/>
      <c r="I102" s="91"/>
      <c r="J102" s="231"/>
    </row>
    <row r="103" spans="1:10" ht="12.75">
      <c r="A103" s="90">
        <v>43738</v>
      </c>
      <c r="B103" s="307">
        <f t="shared" si="5"/>
        <v>25</v>
      </c>
      <c r="C103" s="41">
        <f t="shared" si="6"/>
        <v>4050000</v>
      </c>
      <c r="D103" s="41"/>
      <c r="E103" s="302">
        <f>E101</f>
        <v>0.06127</v>
      </c>
      <c r="F103" s="41">
        <f>((C102+D102)*E103/360*B102)+((C103+D103)*E103/360*B103)</f>
        <v>65124.90416666667</v>
      </c>
      <c r="G103" s="41">
        <f>G101</f>
        <v>1940</v>
      </c>
      <c r="H103" s="91"/>
      <c r="I103" s="91"/>
      <c r="J103" s="231"/>
    </row>
    <row r="104" spans="1:10" ht="12.75">
      <c r="A104" s="90">
        <v>43804</v>
      </c>
      <c r="B104" s="307">
        <f t="shared" si="5"/>
        <v>66</v>
      </c>
      <c r="C104" s="41">
        <f t="shared" si="6"/>
        <v>3900000</v>
      </c>
      <c r="D104" s="41">
        <f>D102</f>
        <v>150000</v>
      </c>
      <c r="E104" s="302"/>
      <c r="F104" s="41"/>
      <c r="G104" s="41"/>
      <c r="H104" s="91"/>
      <c r="I104" s="91"/>
      <c r="J104" s="231"/>
    </row>
    <row r="105" spans="1:10" ht="12.75">
      <c r="A105" s="97">
        <v>43830</v>
      </c>
      <c r="B105" s="308">
        <f t="shared" si="5"/>
        <v>26</v>
      </c>
      <c r="C105" s="99">
        <f t="shared" si="6"/>
        <v>3900000</v>
      </c>
      <c r="D105" s="99"/>
      <c r="E105" s="303">
        <f>E103</f>
        <v>0.06127</v>
      </c>
      <c r="F105" s="99">
        <f>((C104+D104)*E105/360*B104)+((C105+D105)*E105/360*B105)</f>
        <v>62750.691666666666</v>
      </c>
      <c r="G105" s="99">
        <f>G103</f>
        <v>1940</v>
      </c>
      <c r="H105" s="300">
        <f>SUM(F99:G105)</f>
        <v>270633.82916666666</v>
      </c>
      <c r="I105" s="300">
        <f>SUM(D98:D105)</f>
        <v>600000</v>
      </c>
      <c r="J105" s="301">
        <f>SUM(H105:I105)</f>
        <v>870633.8291666666</v>
      </c>
    </row>
    <row r="106" spans="1:10" ht="12.75">
      <c r="A106" s="103">
        <v>43895</v>
      </c>
      <c r="B106" s="306">
        <f aca="true" t="shared" si="7" ref="B106:B137">A106-A105</f>
        <v>65</v>
      </c>
      <c r="C106" s="42">
        <f aca="true" t="shared" si="8" ref="C106:C137">C105-D106</f>
        <v>3750000</v>
      </c>
      <c r="D106" s="42">
        <f>D104</f>
        <v>150000</v>
      </c>
      <c r="E106" s="104"/>
      <c r="F106" s="104"/>
      <c r="G106" s="104"/>
      <c r="H106" s="104"/>
      <c r="I106" s="104"/>
      <c r="J106" s="242"/>
    </row>
    <row r="107" spans="1:10" ht="12.75">
      <c r="A107" s="90">
        <v>43921</v>
      </c>
      <c r="B107" s="307">
        <f t="shared" si="7"/>
        <v>26</v>
      </c>
      <c r="C107" s="41">
        <f t="shared" si="8"/>
        <v>3750000</v>
      </c>
      <c r="D107" s="41"/>
      <c r="E107" s="302">
        <f>E105</f>
        <v>0.06127</v>
      </c>
      <c r="F107" s="41">
        <f>((C106+D106)*E107/360*B106)+((C107+D107)*E107/360*B107)</f>
        <v>59738.25</v>
      </c>
      <c r="G107" s="41">
        <f>G105</f>
        <v>1940</v>
      </c>
      <c r="H107" s="91"/>
      <c r="I107" s="91"/>
      <c r="J107" s="231"/>
    </row>
    <row r="108" spans="1:10" ht="12.75">
      <c r="A108" s="90">
        <v>43987</v>
      </c>
      <c r="B108" s="307">
        <f t="shared" si="7"/>
        <v>66</v>
      </c>
      <c r="C108" s="41">
        <f t="shared" si="8"/>
        <v>3600000</v>
      </c>
      <c r="D108" s="41">
        <f>D106</f>
        <v>150000</v>
      </c>
      <c r="E108" s="302"/>
      <c r="F108" s="41"/>
      <c r="G108" s="41"/>
      <c r="H108" s="91"/>
      <c r="I108" s="91"/>
      <c r="J108" s="231"/>
    </row>
    <row r="109" spans="1:10" ht="12.75">
      <c r="A109" s="90">
        <v>44012</v>
      </c>
      <c r="B109" s="307">
        <f t="shared" si="7"/>
        <v>25</v>
      </c>
      <c r="C109" s="41">
        <f t="shared" si="8"/>
        <v>3600000</v>
      </c>
      <c r="D109" s="41"/>
      <c r="E109" s="302">
        <f>E107</f>
        <v>0.06127</v>
      </c>
      <c r="F109" s="41">
        <f>((C108+D108)*E109/360*B108)+((C109+D109)*E109/360*B109)</f>
        <v>57440.625</v>
      </c>
      <c r="G109" s="41">
        <f>G107</f>
        <v>1940</v>
      </c>
      <c r="H109" s="91"/>
      <c r="I109" s="91"/>
      <c r="J109" s="231"/>
    </row>
    <row r="110" spans="1:10" ht="12.75">
      <c r="A110" s="90">
        <v>44079</v>
      </c>
      <c r="B110" s="307">
        <f t="shared" si="7"/>
        <v>67</v>
      </c>
      <c r="C110" s="41">
        <f t="shared" si="8"/>
        <v>3450000</v>
      </c>
      <c r="D110" s="41">
        <f>D108</f>
        <v>150000</v>
      </c>
      <c r="E110" s="302"/>
      <c r="F110" s="41"/>
      <c r="G110" s="41"/>
      <c r="H110" s="91"/>
      <c r="I110" s="91"/>
      <c r="J110" s="231"/>
    </row>
    <row r="111" spans="1:10" ht="12.75">
      <c r="A111" s="90">
        <v>44104</v>
      </c>
      <c r="B111" s="307">
        <f t="shared" si="7"/>
        <v>25</v>
      </c>
      <c r="C111" s="41">
        <f t="shared" si="8"/>
        <v>3450000</v>
      </c>
      <c r="D111" s="41"/>
      <c r="E111" s="302">
        <f>E109</f>
        <v>0.06127</v>
      </c>
      <c r="F111" s="41">
        <f>((C110+D110)*E111/360*B110)+((C111+D111)*E111/360*B111)</f>
        <v>55730.17083333334</v>
      </c>
      <c r="G111" s="41">
        <f>G109</f>
        <v>1940</v>
      </c>
      <c r="H111" s="91"/>
      <c r="I111" s="91"/>
      <c r="J111" s="231"/>
    </row>
    <row r="112" spans="1:10" ht="12.75">
      <c r="A112" s="90">
        <v>44170</v>
      </c>
      <c r="B112" s="307">
        <f t="shared" si="7"/>
        <v>66</v>
      </c>
      <c r="C112" s="41">
        <f t="shared" si="8"/>
        <v>3300000</v>
      </c>
      <c r="D112" s="41">
        <f>D110</f>
        <v>150000</v>
      </c>
      <c r="E112" s="302"/>
      <c r="F112" s="41"/>
      <c r="G112" s="41"/>
      <c r="H112" s="91"/>
      <c r="I112" s="91"/>
      <c r="J112" s="231"/>
    </row>
    <row r="113" spans="1:10" ht="12.75">
      <c r="A113" s="97">
        <v>44196</v>
      </c>
      <c r="B113" s="308">
        <f t="shared" si="7"/>
        <v>26</v>
      </c>
      <c r="C113" s="99">
        <f t="shared" si="8"/>
        <v>3300000</v>
      </c>
      <c r="D113" s="99"/>
      <c r="E113" s="303">
        <f>E111</f>
        <v>0.06127</v>
      </c>
      <c r="F113" s="99">
        <f>((C112+D112)*E113/360*B112)+((C113+D113)*E113/360*B113)</f>
        <v>53355.958333333336</v>
      </c>
      <c r="G113" s="99">
        <f>G111</f>
        <v>1940</v>
      </c>
      <c r="H113" s="300">
        <f>SUM(F107:G113)</f>
        <v>234025.00416666668</v>
      </c>
      <c r="I113" s="300">
        <f>SUM(D106:D113)</f>
        <v>600000</v>
      </c>
      <c r="J113" s="301">
        <f>SUM(H113:I113)</f>
        <v>834025.0041666667</v>
      </c>
    </row>
    <row r="114" spans="1:10" ht="12.75">
      <c r="A114" s="103">
        <v>44260</v>
      </c>
      <c r="B114" s="306">
        <f t="shared" si="7"/>
        <v>64</v>
      </c>
      <c r="C114" s="42">
        <f t="shared" si="8"/>
        <v>3150000</v>
      </c>
      <c r="D114" s="42">
        <f>D112</f>
        <v>150000</v>
      </c>
      <c r="E114" s="104"/>
      <c r="F114" s="104"/>
      <c r="G114" s="104"/>
      <c r="H114" s="104"/>
      <c r="I114" s="104"/>
      <c r="J114" s="242"/>
    </row>
    <row r="115" spans="1:10" ht="12.75">
      <c r="A115" s="90">
        <v>44286</v>
      </c>
      <c r="B115" s="307">
        <f t="shared" si="7"/>
        <v>26</v>
      </c>
      <c r="C115" s="41">
        <f t="shared" si="8"/>
        <v>3150000</v>
      </c>
      <c r="D115" s="41"/>
      <c r="E115" s="302">
        <f>E113</f>
        <v>0.06127</v>
      </c>
      <c r="F115" s="41">
        <f>((C114+D114)*E115/360*B114)+((C115+D115)*E115/360*B115)</f>
        <v>49883.99166666667</v>
      </c>
      <c r="G115" s="41">
        <f>G113</f>
        <v>1940</v>
      </c>
      <c r="H115" s="91"/>
      <c r="I115" s="91"/>
      <c r="J115" s="231"/>
    </row>
    <row r="116" spans="1:10" ht="12.75">
      <c r="A116" s="90">
        <v>44352</v>
      </c>
      <c r="B116" s="307">
        <f t="shared" si="7"/>
        <v>66</v>
      </c>
      <c r="C116" s="41">
        <f t="shared" si="8"/>
        <v>3000000</v>
      </c>
      <c r="D116" s="41">
        <f>D114</f>
        <v>150000</v>
      </c>
      <c r="E116" s="302"/>
      <c r="F116" s="41"/>
      <c r="G116" s="41"/>
      <c r="H116" s="91"/>
      <c r="I116" s="91"/>
      <c r="J116" s="231"/>
    </row>
    <row r="117" spans="1:10" ht="12.75">
      <c r="A117" s="90">
        <v>44377</v>
      </c>
      <c r="B117" s="307">
        <f t="shared" si="7"/>
        <v>25</v>
      </c>
      <c r="C117" s="41">
        <f t="shared" si="8"/>
        <v>3000000</v>
      </c>
      <c r="D117" s="41"/>
      <c r="E117" s="302">
        <f>E115</f>
        <v>0.06127</v>
      </c>
      <c r="F117" s="41">
        <f>((C116+D116)*E117/360*B116)+((C117+D117)*E117/360*B117)</f>
        <v>48148.00833333333</v>
      </c>
      <c r="G117" s="41">
        <f>G115</f>
        <v>1940</v>
      </c>
      <c r="H117" s="91"/>
      <c r="I117" s="91"/>
      <c r="J117" s="231"/>
    </row>
    <row r="118" spans="1:10" ht="12.75">
      <c r="A118" s="90">
        <v>44444</v>
      </c>
      <c r="B118" s="307">
        <f t="shared" si="7"/>
        <v>67</v>
      </c>
      <c r="C118" s="41">
        <f t="shared" si="8"/>
        <v>2850000</v>
      </c>
      <c r="D118" s="41">
        <f>D116</f>
        <v>150000</v>
      </c>
      <c r="E118" s="302"/>
      <c r="F118" s="41"/>
      <c r="G118" s="41"/>
      <c r="H118" s="91"/>
      <c r="I118" s="91"/>
      <c r="J118" s="231"/>
    </row>
    <row r="119" spans="1:10" ht="12.75">
      <c r="A119" s="90">
        <v>44469</v>
      </c>
      <c r="B119" s="307">
        <f t="shared" si="7"/>
        <v>25</v>
      </c>
      <c r="C119" s="41">
        <f t="shared" si="8"/>
        <v>2850000</v>
      </c>
      <c r="D119" s="41"/>
      <c r="E119" s="302">
        <f>E117</f>
        <v>0.06127</v>
      </c>
      <c r="F119" s="41">
        <f>((C118+D118)*E119/360*B118)+((C119+D119)*E119/360*B119)</f>
        <v>46335.43749999999</v>
      </c>
      <c r="G119" s="41">
        <f>G117</f>
        <v>1940</v>
      </c>
      <c r="H119" s="91"/>
      <c r="I119" s="91"/>
      <c r="J119" s="231"/>
    </row>
    <row r="120" spans="1:10" ht="12.75">
      <c r="A120" s="90">
        <v>44535</v>
      </c>
      <c r="B120" s="307">
        <f t="shared" si="7"/>
        <v>66</v>
      </c>
      <c r="C120" s="41">
        <f t="shared" si="8"/>
        <v>2700000</v>
      </c>
      <c r="D120" s="41">
        <f>D118</f>
        <v>150000</v>
      </c>
      <c r="E120" s="302"/>
      <c r="F120" s="41"/>
      <c r="G120" s="41"/>
      <c r="H120" s="91"/>
      <c r="I120" s="91"/>
      <c r="J120" s="231"/>
    </row>
    <row r="121" spans="1:10" ht="12.75">
      <c r="A121" s="97">
        <v>44561</v>
      </c>
      <c r="B121" s="308">
        <f t="shared" si="7"/>
        <v>26</v>
      </c>
      <c r="C121" s="99">
        <f t="shared" si="8"/>
        <v>2700000</v>
      </c>
      <c r="D121" s="99"/>
      <c r="E121" s="303">
        <f>E119</f>
        <v>0.06127</v>
      </c>
      <c r="F121" s="99">
        <f>((C120+D120)*E121/360*B120)+((C121+D121)*E121/360*B121)</f>
        <v>43961.225</v>
      </c>
      <c r="G121" s="99">
        <f>G119</f>
        <v>1940</v>
      </c>
      <c r="H121" s="300">
        <f>SUM(F115:G121)</f>
        <v>196088.6625</v>
      </c>
      <c r="I121" s="300">
        <f>SUM(D114:D121)</f>
        <v>600000</v>
      </c>
      <c r="J121" s="301">
        <f>SUM(H121:I121)</f>
        <v>796088.6625</v>
      </c>
    </row>
    <row r="122" spans="1:10" ht="12.75">
      <c r="A122" s="103">
        <v>44625</v>
      </c>
      <c r="B122" s="306">
        <f t="shared" si="7"/>
        <v>64</v>
      </c>
      <c r="C122" s="42">
        <f t="shared" si="8"/>
        <v>2550000</v>
      </c>
      <c r="D122" s="42">
        <f>D120</f>
        <v>150000</v>
      </c>
      <c r="E122" s="104"/>
      <c r="F122" s="104"/>
      <c r="G122" s="104"/>
      <c r="H122" s="104"/>
      <c r="I122" s="104"/>
      <c r="J122" s="242"/>
    </row>
    <row r="123" spans="1:10" ht="12.75">
      <c r="A123" s="90">
        <v>44651</v>
      </c>
      <c r="B123" s="307">
        <f t="shared" si="7"/>
        <v>26</v>
      </c>
      <c r="C123" s="41">
        <f t="shared" si="8"/>
        <v>2550000</v>
      </c>
      <c r="D123" s="41"/>
      <c r="E123" s="302">
        <f>E121</f>
        <v>0.06127</v>
      </c>
      <c r="F123" s="41">
        <f>((C122+D122)*E123/360*B122)+((C123+D123)*E123/360*B123)</f>
        <v>40693.49166666667</v>
      </c>
      <c r="G123" s="41">
        <f>G121</f>
        <v>1940</v>
      </c>
      <c r="H123" s="91"/>
      <c r="I123" s="91"/>
      <c r="J123" s="231"/>
    </row>
    <row r="124" spans="1:10" ht="12.75">
      <c r="A124" s="90">
        <v>44717</v>
      </c>
      <c r="B124" s="307">
        <f t="shared" si="7"/>
        <v>66</v>
      </c>
      <c r="C124" s="41">
        <f t="shared" si="8"/>
        <v>2400000</v>
      </c>
      <c r="D124" s="41">
        <f>D122</f>
        <v>150000</v>
      </c>
      <c r="E124" s="302"/>
      <c r="F124" s="41"/>
      <c r="G124" s="41"/>
      <c r="H124" s="91"/>
      <c r="I124" s="91"/>
      <c r="J124" s="231"/>
    </row>
    <row r="125" spans="1:10" ht="12.75">
      <c r="A125" s="90">
        <v>44742</v>
      </c>
      <c r="B125" s="307">
        <f t="shared" si="7"/>
        <v>25</v>
      </c>
      <c r="C125" s="41">
        <f t="shared" si="8"/>
        <v>2400000</v>
      </c>
      <c r="D125" s="41"/>
      <c r="E125" s="302">
        <f>E123</f>
        <v>0.06127</v>
      </c>
      <c r="F125" s="41">
        <f>((C124+D124)*E125/360*B124)+((C125+D125)*E125/360*B125)</f>
        <v>38855.39166666666</v>
      </c>
      <c r="G125" s="41">
        <f>G123</f>
        <v>1940</v>
      </c>
      <c r="H125" s="91"/>
      <c r="I125" s="91"/>
      <c r="J125" s="231"/>
    </row>
    <row r="126" spans="1:10" ht="12.75">
      <c r="A126" s="90">
        <v>44809</v>
      </c>
      <c r="B126" s="307">
        <f t="shared" si="7"/>
        <v>67</v>
      </c>
      <c r="C126" s="41">
        <f t="shared" si="8"/>
        <v>2250000</v>
      </c>
      <c r="D126" s="41">
        <f>D124</f>
        <v>150000</v>
      </c>
      <c r="E126" s="302"/>
      <c r="F126" s="41"/>
      <c r="G126" s="41"/>
      <c r="H126" s="91"/>
      <c r="I126" s="91"/>
      <c r="J126" s="231"/>
    </row>
    <row r="127" spans="1:10" ht="12.75">
      <c r="A127" s="90">
        <v>44834</v>
      </c>
      <c r="B127" s="307">
        <f t="shared" si="7"/>
        <v>25</v>
      </c>
      <c r="C127" s="41">
        <f t="shared" si="8"/>
        <v>2250000</v>
      </c>
      <c r="D127" s="41"/>
      <c r="E127" s="302">
        <f>E125</f>
        <v>0.06127</v>
      </c>
      <c r="F127" s="41">
        <f>((C126+D126)*E127/360*B126)+((C127+D127)*E127/360*B127)</f>
        <v>36940.70416666666</v>
      </c>
      <c r="G127" s="41">
        <f>G125</f>
        <v>1940</v>
      </c>
      <c r="H127" s="91"/>
      <c r="I127" s="91"/>
      <c r="J127" s="231"/>
    </row>
    <row r="128" spans="1:10" ht="12.75">
      <c r="A128" s="90">
        <v>44900</v>
      </c>
      <c r="B128" s="307">
        <f t="shared" si="7"/>
        <v>66</v>
      </c>
      <c r="C128" s="41">
        <f t="shared" si="8"/>
        <v>2100000</v>
      </c>
      <c r="D128" s="41">
        <f>D126</f>
        <v>150000</v>
      </c>
      <c r="E128" s="302"/>
      <c r="F128" s="41"/>
      <c r="G128" s="41"/>
      <c r="H128" s="91"/>
      <c r="I128" s="91"/>
      <c r="J128" s="231"/>
    </row>
    <row r="129" spans="1:10" ht="12.75">
      <c r="A129" s="97">
        <v>44926</v>
      </c>
      <c r="B129" s="308">
        <f t="shared" si="7"/>
        <v>26</v>
      </c>
      <c r="C129" s="99">
        <f t="shared" si="8"/>
        <v>2100000</v>
      </c>
      <c r="D129" s="99"/>
      <c r="E129" s="303">
        <f>E127</f>
        <v>0.06127</v>
      </c>
      <c r="F129" s="99">
        <f>((C128+D128)*E129/360*B128)+((C129+D129)*E129/360*B129)</f>
        <v>34566.49166666667</v>
      </c>
      <c r="G129" s="99">
        <f>G127</f>
        <v>1940</v>
      </c>
      <c r="H129" s="300">
        <f>SUM(F123:G129)</f>
        <v>158816.07916666666</v>
      </c>
      <c r="I129" s="300">
        <f>SUM(D122:D129)</f>
        <v>600000</v>
      </c>
      <c r="J129" s="301">
        <f>SUM(H129:I129)</f>
        <v>758816.0791666666</v>
      </c>
    </row>
    <row r="130" spans="1:10" ht="12.75">
      <c r="A130" s="103">
        <v>44990</v>
      </c>
      <c r="B130" s="306">
        <f t="shared" si="7"/>
        <v>64</v>
      </c>
      <c r="C130" s="42">
        <f t="shared" si="8"/>
        <v>1950000</v>
      </c>
      <c r="D130" s="42">
        <f>D128</f>
        <v>150000</v>
      </c>
      <c r="E130" s="104"/>
      <c r="F130" s="104"/>
      <c r="G130" s="104"/>
      <c r="H130" s="104"/>
      <c r="I130" s="104"/>
      <c r="J130" s="242"/>
    </row>
    <row r="131" spans="1:10" ht="12.75">
      <c r="A131" s="90">
        <v>45016</v>
      </c>
      <c r="B131" s="307">
        <f t="shared" si="7"/>
        <v>26</v>
      </c>
      <c r="C131" s="41">
        <f t="shared" si="8"/>
        <v>1950000</v>
      </c>
      <c r="D131" s="41"/>
      <c r="E131" s="302">
        <f>E129</f>
        <v>0.06127</v>
      </c>
      <c r="F131" s="41">
        <f>((C130+D130)*E131/360*B130)+((C131+D131)*E131/360*B131)</f>
        <v>31502.99166666667</v>
      </c>
      <c r="G131" s="41">
        <f>G129</f>
        <v>1940</v>
      </c>
      <c r="H131" s="91"/>
      <c r="I131" s="91"/>
      <c r="J131" s="231"/>
    </row>
    <row r="132" spans="1:10" ht="12.75">
      <c r="A132" s="90">
        <v>45082</v>
      </c>
      <c r="B132" s="307">
        <f t="shared" si="7"/>
        <v>66</v>
      </c>
      <c r="C132" s="41">
        <f t="shared" si="8"/>
        <v>1800000</v>
      </c>
      <c r="D132" s="41">
        <f>D130</f>
        <v>150000</v>
      </c>
      <c r="E132" s="302"/>
      <c r="F132" s="41"/>
      <c r="G132" s="41"/>
      <c r="H132" s="91"/>
      <c r="I132" s="91"/>
      <c r="J132" s="231"/>
    </row>
    <row r="133" spans="1:10" ht="12.75">
      <c r="A133" s="90">
        <v>45107</v>
      </c>
      <c r="B133" s="307">
        <f t="shared" si="7"/>
        <v>25</v>
      </c>
      <c r="C133" s="41">
        <f t="shared" si="8"/>
        <v>1800000</v>
      </c>
      <c r="D133" s="41"/>
      <c r="E133" s="302">
        <f>E131</f>
        <v>0.06127</v>
      </c>
      <c r="F133" s="41">
        <f>((C132+D132)*E133/360*B132)+((C133+D133)*E133/360*B133)</f>
        <v>29562.775</v>
      </c>
      <c r="G133" s="41">
        <f>G131</f>
        <v>1940</v>
      </c>
      <c r="H133" s="91"/>
      <c r="I133" s="91"/>
      <c r="J133" s="231"/>
    </row>
    <row r="134" spans="1:10" ht="12.75">
      <c r="A134" s="90">
        <v>45174</v>
      </c>
      <c r="B134" s="307">
        <f t="shared" si="7"/>
        <v>67</v>
      </c>
      <c r="C134" s="41">
        <f t="shared" si="8"/>
        <v>1650000</v>
      </c>
      <c r="D134" s="41">
        <f>D132</f>
        <v>150000</v>
      </c>
      <c r="E134" s="302"/>
      <c r="F134" s="41"/>
      <c r="G134" s="41"/>
      <c r="H134" s="91"/>
      <c r="I134" s="91"/>
      <c r="J134" s="231"/>
    </row>
    <row r="135" spans="1:10" ht="12.75">
      <c r="A135" s="90">
        <v>45199</v>
      </c>
      <c r="B135" s="307">
        <f t="shared" si="7"/>
        <v>25</v>
      </c>
      <c r="C135" s="41">
        <f t="shared" si="8"/>
        <v>1650000</v>
      </c>
      <c r="D135" s="41"/>
      <c r="E135" s="302">
        <f>E133</f>
        <v>0.06127</v>
      </c>
      <c r="F135" s="41">
        <f>((C134+D134)*E135/360*B134)+((C135+D135)*E135/360*B135)</f>
        <v>27545.970833333333</v>
      </c>
      <c r="G135" s="41">
        <f>G133</f>
        <v>1940</v>
      </c>
      <c r="H135" s="91"/>
      <c r="I135" s="91"/>
      <c r="J135" s="231"/>
    </row>
    <row r="136" spans="1:10" ht="12.75">
      <c r="A136" s="90">
        <v>45265</v>
      </c>
      <c r="B136" s="307">
        <f t="shared" si="7"/>
        <v>66</v>
      </c>
      <c r="C136" s="41">
        <f t="shared" si="8"/>
        <v>1500000</v>
      </c>
      <c r="D136" s="41">
        <f>D134</f>
        <v>150000</v>
      </c>
      <c r="E136" s="302"/>
      <c r="F136" s="41"/>
      <c r="G136" s="41"/>
      <c r="H136" s="91"/>
      <c r="I136" s="91"/>
      <c r="J136" s="231"/>
    </row>
    <row r="137" spans="1:10" ht="12.75">
      <c r="A137" s="97">
        <v>45291</v>
      </c>
      <c r="B137" s="308">
        <f t="shared" si="7"/>
        <v>26</v>
      </c>
      <c r="C137" s="99">
        <f t="shared" si="8"/>
        <v>1500000</v>
      </c>
      <c r="D137" s="99"/>
      <c r="E137" s="303">
        <f>E135</f>
        <v>0.06127</v>
      </c>
      <c r="F137" s="99">
        <f>((C136+D136)*E137/360*B136)+((C137+D137)*E137/360*B137)</f>
        <v>25171.75833333333</v>
      </c>
      <c r="G137" s="99">
        <f>G135</f>
        <v>1940</v>
      </c>
      <c r="H137" s="300">
        <f>SUM(F131:G137)</f>
        <v>121543.49583333333</v>
      </c>
      <c r="I137" s="300">
        <f>SUM(D130:D137)</f>
        <v>600000</v>
      </c>
      <c r="J137" s="301">
        <f>SUM(H137:I137)</f>
        <v>721543.4958333333</v>
      </c>
    </row>
    <row r="138" spans="1:10" ht="12.75">
      <c r="A138" s="103">
        <v>45356</v>
      </c>
      <c r="B138" s="306">
        <f aca="true" t="shared" si="9" ref="B138:B156">A138-A137</f>
        <v>65</v>
      </c>
      <c r="C138" s="42">
        <f aca="true" t="shared" si="10" ref="C138:C156">C137-D138</f>
        <v>1350000</v>
      </c>
      <c r="D138" s="42">
        <f>D136</f>
        <v>150000</v>
      </c>
      <c r="E138" s="104"/>
      <c r="F138" s="104"/>
      <c r="G138" s="104"/>
      <c r="H138" s="104"/>
      <c r="I138" s="104"/>
      <c r="J138" s="242"/>
    </row>
    <row r="139" spans="1:10" ht="12.75">
      <c r="A139" s="90">
        <v>45382</v>
      </c>
      <c r="B139" s="307">
        <f t="shared" si="9"/>
        <v>26</v>
      </c>
      <c r="C139" s="41">
        <f t="shared" si="10"/>
        <v>1350000</v>
      </c>
      <c r="D139" s="41"/>
      <c r="E139" s="302">
        <f>E137</f>
        <v>0.06127</v>
      </c>
      <c r="F139" s="41">
        <f>((C138+D138)*E139/360*B138)+((C139+D139)*E139/360*B139)</f>
        <v>22567.783333333333</v>
      </c>
      <c r="G139" s="41">
        <f>G137</f>
        <v>1940</v>
      </c>
      <c r="H139" s="91"/>
      <c r="I139" s="91"/>
      <c r="J139" s="231"/>
    </row>
    <row r="140" spans="1:10" ht="12.75">
      <c r="A140" s="90">
        <v>45448</v>
      </c>
      <c r="B140" s="307">
        <f t="shared" si="9"/>
        <v>66</v>
      </c>
      <c r="C140" s="41">
        <f t="shared" si="10"/>
        <v>1200000</v>
      </c>
      <c r="D140" s="41">
        <f>D138</f>
        <v>150000</v>
      </c>
      <c r="E140" s="302"/>
      <c r="F140" s="41"/>
      <c r="G140" s="41"/>
      <c r="H140" s="91"/>
      <c r="I140" s="91"/>
      <c r="J140" s="231"/>
    </row>
    <row r="141" spans="1:10" ht="12.75">
      <c r="A141" s="90">
        <v>45473</v>
      </c>
      <c r="B141" s="307">
        <f t="shared" si="9"/>
        <v>25</v>
      </c>
      <c r="C141" s="41">
        <f t="shared" si="10"/>
        <v>1200000</v>
      </c>
      <c r="D141" s="41"/>
      <c r="E141" s="302">
        <f>E139</f>
        <v>0.06127</v>
      </c>
      <c r="F141" s="41">
        <f>((C140+D140)*E141/360*B140)+((C141+D141)*E141/360*B141)</f>
        <v>20270.158333333333</v>
      </c>
      <c r="G141" s="41">
        <f>G139</f>
        <v>1940</v>
      </c>
      <c r="H141" s="91"/>
      <c r="I141" s="91"/>
      <c r="J141" s="231"/>
    </row>
    <row r="142" spans="1:10" ht="12.75">
      <c r="A142" s="90">
        <v>45540</v>
      </c>
      <c r="B142" s="307">
        <f t="shared" si="9"/>
        <v>67</v>
      </c>
      <c r="C142" s="41">
        <f t="shared" si="10"/>
        <v>1050000</v>
      </c>
      <c r="D142" s="41">
        <f>D140</f>
        <v>150000</v>
      </c>
      <c r="E142" s="302"/>
      <c r="F142" s="41"/>
      <c r="G142" s="41"/>
      <c r="H142" s="91"/>
      <c r="I142" s="91"/>
      <c r="J142" s="231"/>
    </row>
    <row r="143" spans="1:10" ht="12.75">
      <c r="A143" s="90">
        <v>45565</v>
      </c>
      <c r="B143" s="307">
        <f t="shared" si="9"/>
        <v>25</v>
      </c>
      <c r="C143" s="41">
        <f t="shared" si="10"/>
        <v>1050000</v>
      </c>
      <c r="D143" s="41"/>
      <c r="E143" s="302">
        <f>E141</f>
        <v>0.06127</v>
      </c>
      <c r="F143" s="41">
        <f>((C142+D142)*E143/360*B142)+((C143+D143)*E143/360*B143)</f>
        <v>18151.2375</v>
      </c>
      <c r="G143" s="41">
        <f>G141</f>
        <v>1940</v>
      </c>
      <c r="H143" s="91"/>
      <c r="I143" s="91"/>
      <c r="J143" s="231"/>
    </row>
    <row r="144" spans="1:10" ht="12.75">
      <c r="A144" s="90">
        <v>45631</v>
      </c>
      <c r="B144" s="307">
        <f t="shared" si="9"/>
        <v>66</v>
      </c>
      <c r="C144" s="41">
        <f t="shared" si="10"/>
        <v>900000</v>
      </c>
      <c r="D144" s="41">
        <f>D142</f>
        <v>150000</v>
      </c>
      <c r="E144" s="302"/>
      <c r="F144" s="41"/>
      <c r="G144" s="41"/>
      <c r="H144" s="91"/>
      <c r="I144" s="91"/>
      <c r="J144" s="231"/>
    </row>
    <row r="145" spans="1:10" ht="12.75">
      <c r="A145" s="97">
        <v>45657</v>
      </c>
      <c r="B145" s="308">
        <f t="shared" si="9"/>
        <v>26</v>
      </c>
      <c r="C145" s="99">
        <f t="shared" si="10"/>
        <v>900000</v>
      </c>
      <c r="D145" s="99"/>
      <c r="E145" s="303">
        <f>E143</f>
        <v>0.06127</v>
      </c>
      <c r="F145" s="99">
        <f>((C144+D144)*E145/360*B144)+((C145+D145)*E145/360*B145)</f>
        <v>15777.025000000001</v>
      </c>
      <c r="G145" s="99">
        <f>G143</f>
        <v>1940</v>
      </c>
      <c r="H145" s="300">
        <f>SUM(F139:G145)</f>
        <v>84526.20416666666</v>
      </c>
      <c r="I145" s="300">
        <f>SUM(D138:D145)</f>
        <v>600000</v>
      </c>
      <c r="J145" s="301">
        <f>SUM(H145:I145)</f>
        <v>684526.2041666666</v>
      </c>
    </row>
    <row r="146" spans="1:10" ht="12.75">
      <c r="A146" s="103">
        <v>45721</v>
      </c>
      <c r="B146" s="306">
        <f t="shared" si="9"/>
        <v>64</v>
      </c>
      <c r="C146" s="42">
        <f t="shared" si="10"/>
        <v>750000</v>
      </c>
      <c r="D146" s="42">
        <f>D144</f>
        <v>150000</v>
      </c>
      <c r="E146" s="104"/>
      <c r="F146" s="104"/>
      <c r="G146" s="104"/>
      <c r="H146" s="104"/>
      <c r="I146" s="104"/>
      <c r="J146" s="242"/>
    </row>
    <row r="147" spans="1:10" ht="12.75">
      <c r="A147" s="90">
        <v>45747</v>
      </c>
      <c r="B147" s="307">
        <f t="shared" si="9"/>
        <v>26</v>
      </c>
      <c r="C147" s="41">
        <f t="shared" si="10"/>
        <v>750000</v>
      </c>
      <c r="D147" s="41"/>
      <c r="E147" s="302">
        <f>E145</f>
        <v>0.06127</v>
      </c>
      <c r="F147" s="41">
        <f>((C146+D146)*E147/360*B146)+((C147+D147)*E147/360*B147)</f>
        <v>13121.991666666667</v>
      </c>
      <c r="G147" s="41">
        <f>G145</f>
        <v>1940</v>
      </c>
      <c r="H147" s="91"/>
      <c r="I147" s="91"/>
      <c r="J147" s="231"/>
    </row>
    <row r="148" spans="1:10" ht="12.75">
      <c r="A148" s="90">
        <v>45813</v>
      </c>
      <c r="B148" s="307">
        <f t="shared" si="9"/>
        <v>66</v>
      </c>
      <c r="C148" s="41">
        <f t="shared" si="10"/>
        <v>600000</v>
      </c>
      <c r="D148" s="41">
        <f>D146</f>
        <v>150000</v>
      </c>
      <c r="E148" s="302"/>
      <c r="F148" s="41"/>
      <c r="G148" s="41"/>
      <c r="H148" s="91"/>
      <c r="I148" s="91"/>
      <c r="J148" s="231"/>
    </row>
    <row r="149" spans="1:10" ht="12.75">
      <c r="A149" s="90">
        <v>45838</v>
      </c>
      <c r="B149" s="307">
        <f t="shared" si="9"/>
        <v>25</v>
      </c>
      <c r="C149" s="41">
        <f t="shared" si="10"/>
        <v>600000</v>
      </c>
      <c r="D149" s="41"/>
      <c r="E149" s="302">
        <f>E147</f>
        <v>0.06127</v>
      </c>
      <c r="F149" s="41">
        <f>((C148+D148)*E149/360*B148)+((C149+D149)*E149/360*B149)</f>
        <v>10977.541666666666</v>
      </c>
      <c r="G149" s="41">
        <f>G147</f>
        <v>1940</v>
      </c>
      <c r="H149" s="91"/>
      <c r="I149" s="91"/>
      <c r="J149" s="231"/>
    </row>
    <row r="150" spans="1:10" ht="12.75">
      <c r="A150" s="90">
        <v>45905</v>
      </c>
      <c r="B150" s="307">
        <f t="shared" si="9"/>
        <v>67</v>
      </c>
      <c r="C150" s="41">
        <f t="shared" si="10"/>
        <v>450000</v>
      </c>
      <c r="D150" s="41">
        <f>D148</f>
        <v>150000</v>
      </c>
      <c r="E150" s="302"/>
      <c r="F150" s="41"/>
      <c r="G150" s="41"/>
      <c r="H150" s="91"/>
      <c r="I150" s="91"/>
      <c r="J150" s="231"/>
    </row>
    <row r="151" spans="1:10" ht="12.75">
      <c r="A151" s="90">
        <v>45930</v>
      </c>
      <c r="B151" s="307">
        <f t="shared" si="9"/>
        <v>25</v>
      </c>
      <c r="C151" s="41">
        <f t="shared" si="10"/>
        <v>450000</v>
      </c>
      <c r="D151" s="41"/>
      <c r="E151" s="302">
        <f>E149</f>
        <v>0.06127</v>
      </c>
      <c r="F151" s="41">
        <f>((C150+D150)*E151/360*B150)+((C151+D151)*E151/360*B151)</f>
        <v>8756.504166666668</v>
      </c>
      <c r="G151" s="41">
        <f>G149</f>
        <v>1940</v>
      </c>
      <c r="H151" s="91"/>
      <c r="I151" s="91"/>
      <c r="J151" s="231"/>
    </row>
    <row r="152" spans="1:10" ht="12.75">
      <c r="A152" s="90">
        <v>45996</v>
      </c>
      <c r="B152" s="307">
        <f t="shared" si="9"/>
        <v>66</v>
      </c>
      <c r="C152" s="41">
        <f t="shared" si="10"/>
        <v>300000</v>
      </c>
      <c r="D152" s="41">
        <f>D150</f>
        <v>150000</v>
      </c>
      <c r="E152" s="302"/>
      <c r="F152" s="41"/>
      <c r="G152" s="41"/>
      <c r="H152" s="91"/>
      <c r="I152" s="91"/>
      <c r="J152" s="231"/>
    </row>
    <row r="153" spans="1:10" ht="12.75">
      <c r="A153" s="97">
        <v>46022</v>
      </c>
      <c r="B153" s="308">
        <f t="shared" si="9"/>
        <v>26</v>
      </c>
      <c r="C153" s="99">
        <f t="shared" si="10"/>
        <v>300000</v>
      </c>
      <c r="D153" s="99"/>
      <c r="E153" s="303">
        <f>E151</f>
        <v>0.06127</v>
      </c>
      <c r="F153" s="99">
        <f>((C152+D152)*E153/360*B152)+((C153+D153)*E153/360*B153)</f>
        <v>6382.291666666667</v>
      </c>
      <c r="G153" s="99">
        <f>G151</f>
        <v>1940</v>
      </c>
      <c r="H153" s="300">
        <f>SUM(F147:G153)</f>
        <v>46998.32916666666</v>
      </c>
      <c r="I153" s="300">
        <f>SUM(D146:D153)</f>
        <v>600000</v>
      </c>
      <c r="J153" s="301">
        <f>SUM(H153:I153)</f>
        <v>646998.3291666666</v>
      </c>
    </row>
    <row r="154" spans="1:10" ht="12.75">
      <c r="A154" s="103">
        <v>46086</v>
      </c>
      <c r="B154" s="306">
        <f t="shared" si="9"/>
        <v>64</v>
      </c>
      <c r="C154" s="42">
        <f t="shared" si="10"/>
        <v>150000</v>
      </c>
      <c r="D154" s="42">
        <f>D152</f>
        <v>150000</v>
      </c>
      <c r="E154" s="104"/>
      <c r="F154" s="104"/>
      <c r="G154" s="104"/>
      <c r="H154" s="104"/>
      <c r="I154" s="104"/>
      <c r="J154" s="242"/>
    </row>
    <row r="155" spans="1:10" ht="12.75">
      <c r="A155" s="90">
        <v>46112</v>
      </c>
      <c r="B155" s="307">
        <f t="shared" si="9"/>
        <v>26</v>
      </c>
      <c r="C155" s="41">
        <f t="shared" si="10"/>
        <v>150000</v>
      </c>
      <c r="D155" s="41"/>
      <c r="E155" s="302">
        <f>E153</f>
        <v>0.06127</v>
      </c>
      <c r="F155" s="41">
        <f>((C154+D154)*E155/360*B154)+((C155+D155)*E155/360*B155)</f>
        <v>3931.4916666666663</v>
      </c>
      <c r="G155" s="41">
        <f>G153</f>
        <v>1940</v>
      </c>
      <c r="H155" s="91"/>
      <c r="I155" s="91"/>
      <c r="J155" s="231"/>
    </row>
    <row r="156" spans="1:10" ht="13.5" thickBot="1">
      <c r="A156" s="90">
        <v>46178</v>
      </c>
      <c r="B156" s="307">
        <f t="shared" si="9"/>
        <v>66</v>
      </c>
      <c r="C156" s="41">
        <f t="shared" si="10"/>
        <v>0</v>
      </c>
      <c r="D156" s="41">
        <v>150000</v>
      </c>
      <c r="E156" s="302">
        <f>E155</f>
        <v>0.06127</v>
      </c>
      <c r="F156" s="41">
        <f>((C156+D156)*E156/360*B156)</f>
        <v>1684.925</v>
      </c>
      <c r="G156" s="41">
        <f>10350000*0.015-SUM(G7:G155)</f>
        <v>5870</v>
      </c>
      <c r="H156" s="300">
        <f>SUM(F154:G156)</f>
        <v>13426.416666666668</v>
      </c>
      <c r="I156" s="300">
        <f>SUM(D154:D156)</f>
        <v>300000</v>
      </c>
      <c r="J156" s="301">
        <f>SUM(H156:I156)</f>
        <v>313426.4166666667</v>
      </c>
    </row>
    <row r="157" spans="1:10" ht="13.5" thickTop="1">
      <c r="A157" s="563" t="s">
        <v>14</v>
      </c>
      <c r="B157" s="564"/>
      <c r="C157" s="565"/>
      <c r="D157" s="117">
        <f>SUM(D7:D156)</f>
        <v>10350000</v>
      </c>
      <c r="E157" s="118"/>
      <c r="F157" s="117">
        <f>SUM(F7:F156)</f>
        <v>6839143.5958333295</v>
      </c>
      <c r="G157" s="117">
        <f>SUM(G7:G156)</f>
        <v>155250</v>
      </c>
      <c r="H157" s="117">
        <f>SUM(H7:H156)</f>
        <v>6994393.595833332</v>
      </c>
      <c r="I157" s="117">
        <f>SUM(I7:I156)</f>
        <v>10350000</v>
      </c>
      <c r="J157" s="119">
        <f>SUM(J7:J156)</f>
        <v>17344393.595833335</v>
      </c>
    </row>
    <row r="158" spans="1:10" ht="12.75">
      <c r="A158" s="120"/>
      <c r="B158" s="121"/>
      <c r="E158" s="122"/>
      <c r="H158" s="121"/>
      <c r="J158" s="121"/>
    </row>
    <row r="159" spans="1:10" ht="12.75">
      <c r="A159" s="120"/>
      <c r="B159" s="121"/>
      <c r="E159" s="122"/>
      <c r="G159" s="121"/>
      <c r="H159" s="121"/>
      <c r="J159" s="121"/>
    </row>
    <row r="160" spans="2:7" ht="12.75">
      <c r="B160" s="58" t="s">
        <v>181</v>
      </c>
      <c r="D160" s="58"/>
      <c r="E160" s="122" t="s">
        <v>184</v>
      </c>
      <c r="G160" s="311">
        <v>8528000</v>
      </c>
    </row>
    <row r="161" spans="2:7" ht="13.5" thickBot="1">
      <c r="B161" s="58" t="s">
        <v>182</v>
      </c>
      <c r="D161" s="58"/>
      <c r="E161" s="122" t="s">
        <v>225</v>
      </c>
      <c r="G161" s="311">
        <v>1822000</v>
      </c>
    </row>
    <row r="162" spans="2:7" ht="13.5" thickTop="1">
      <c r="B162" s="124" t="s">
        <v>14</v>
      </c>
      <c r="C162" s="129"/>
      <c r="D162" s="124"/>
      <c r="E162" s="125"/>
      <c r="F162" s="126"/>
      <c r="G162" s="312">
        <f>SUM(G160:G161)</f>
        <v>10350000</v>
      </c>
    </row>
  </sheetData>
  <sheetProtection/>
  <mergeCells count="1">
    <mergeCell ref="A157:C157"/>
  </mergeCells>
  <printOptions horizontalCentered="1"/>
  <pageMargins left="0.3937007874015748" right="0.3937007874015748" top="0.98425196850393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2006. évben felvételre tervezett 10.350 eFt hitel
(Önkormányzati Fejlesztési Hitelprogram 6.1.1 hitelcél)</oddHeader>
    <oddFooter>&amp;L&amp;8&amp;D&amp;C&amp;8C:\Andi\adósságszolgálat\&amp;F\&amp;A&amp;R&amp;8&amp;P/&amp;N</oddFooter>
  </headerFooter>
  <rowBreaks count="2" manualBreakCount="2">
    <brk id="57" max="255" man="1"/>
    <brk id="11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5039062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7.875" style="58" customWidth="1"/>
    <col min="6" max="7" width="12.625" style="58" customWidth="1"/>
    <col min="8" max="8" width="13.125" style="58" bestFit="1" customWidth="1"/>
    <col min="9" max="10" width="12.625" style="58" bestFit="1" customWidth="1"/>
    <col min="11" max="11" width="2.125" style="58" customWidth="1"/>
    <col min="12" max="16384" width="9.375" style="58" customWidth="1"/>
  </cols>
  <sheetData>
    <row r="1" ht="12.75">
      <c r="A1" s="162" t="s">
        <v>262</v>
      </c>
    </row>
    <row r="2" spans="1:10" ht="12.75">
      <c r="A2" s="163" t="s">
        <v>109</v>
      </c>
      <c r="B2" s="162"/>
      <c r="C2" s="163" t="s">
        <v>110</v>
      </c>
      <c r="D2" s="163"/>
      <c r="H2" s="163"/>
      <c r="I2" s="163"/>
      <c r="J2" s="163"/>
    </row>
    <row r="3" spans="1:10" ht="12.75">
      <c r="A3" s="163" t="s">
        <v>149</v>
      </c>
      <c r="B3" s="133"/>
      <c r="C3" s="132"/>
      <c r="D3" s="132"/>
      <c r="E3" s="132"/>
      <c r="F3" s="163" t="s">
        <v>150</v>
      </c>
      <c r="G3" s="163"/>
      <c r="H3" s="132"/>
      <c r="I3" s="132"/>
      <c r="J3" s="132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69" t="s">
        <v>120</v>
      </c>
      <c r="H4" s="70" t="s">
        <v>6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5" t="s">
        <v>121</v>
      </c>
      <c r="H5" s="76" t="s">
        <v>9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80"/>
      <c r="F6" s="81"/>
      <c r="G6" s="136" t="s">
        <v>151</v>
      </c>
      <c r="H6" s="136" t="s">
        <v>123</v>
      </c>
      <c r="I6" s="82" t="s">
        <v>13</v>
      </c>
      <c r="J6" s="83" t="s">
        <v>12</v>
      </c>
    </row>
    <row r="7" spans="1:10" ht="12.75">
      <c r="A7" s="345">
        <v>38990</v>
      </c>
      <c r="B7" s="73"/>
      <c r="C7" s="74"/>
      <c r="D7" s="74"/>
      <c r="E7" s="74"/>
      <c r="F7" s="340"/>
      <c r="G7" s="342">
        <v>0</v>
      </c>
      <c r="H7" s="341"/>
      <c r="I7" s="76"/>
      <c r="J7" s="77"/>
    </row>
    <row r="8" spans="1:10" ht="12.75">
      <c r="A8" s="294">
        <v>39070</v>
      </c>
      <c r="B8" s="361"/>
      <c r="C8" s="281">
        <v>9264000</v>
      </c>
      <c r="D8" s="41"/>
      <c r="E8" s="302"/>
      <c r="F8" s="41"/>
      <c r="G8" s="41"/>
      <c r="H8" s="91"/>
      <c r="I8" s="91"/>
      <c r="J8" s="231"/>
    </row>
    <row r="9" spans="1:10" ht="12.75">
      <c r="A9" s="243">
        <v>39080</v>
      </c>
      <c r="B9" s="309">
        <f aca="true" t="shared" si="0" ref="B9:B41">A9-A8</f>
        <v>10</v>
      </c>
      <c r="C9" s="107">
        <f aca="true" t="shared" si="1" ref="C9:C41">C8-D9</f>
        <v>9264000</v>
      </c>
      <c r="D9" s="107"/>
      <c r="E9" s="305">
        <v>0.04266</v>
      </c>
      <c r="F9" s="107">
        <v>10978</v>
      </c>
      <c r="G9" s="107">
        <v>0</v>
      </c>
      <c r="H9" s="359">
        <f>SUM(F7:G9)</f>
        <v>10978</v>
      </c>
      <c r="I9" s="359">
        <f>SUM(D8:D9)</f>
        <v>0</v>
      </c>
      <c r="J9" s="360">
        <f>SUM(H9:I9)</f>
        <v>10978</v>
      </c>
    </row>
    <row r="10" spans="1:10" ht="12.75">
      <c r="A10" s="103">
        <v>39171</v>
      </c>
      <c r="B10" s="306">
        <f t="shared" si="0"/>
        <v>91</v>
      </c>
      <c r="C10" s="42">
        <f t="shared" si="1"/>
        <v>9264000</v>
      </c>
      <c r="D10" s="42"/>
      <c r="E10" s="304">
        <v>0.04612</v>
      </c>
      <c r="F10" s="42">
        <v>107734</v>
      </c>
      <c r="G10" s="42">
        <v>2064</v>
      </c>
      <c r="H10" s="104"/>
      <c r="I10" s="104"/>
      <c r="J10" s="242"/>
    </row>
    <row r="11" spans="1:10" ht="12.75">
      <c r="A11" s="90">
        <v>39262</v>
      </c>
      <c r="B11" s="307">
        <f t="shared" si="0"/>
        <v>91</v>
      </c>
      <c r="C11" s="41">
        <f t="shared" si="1"/>
        <v>9264000</v>
      </c>
      <c r="D11" s="41"/>
      <c r="E11" s="302">
        <v>0.04804</v>
      </c>
      <c r="F11" s="41">
        <v>112398</v>
      </c>
      <c r="G11" s="41">
        <f>G10</f>
        <v>2064</v>
      </c>
      <c r="H11" s="91"/>
      <c r="I11" s="91"/>
      <c r="J11" s="231"/>
    </row>
    <row r="12" spans="1:10" s="162" customFormat="1" ht="12.75">
      <c r="A12" s="294">
        <v>39315</v>
      </c>
      <c r="B12" s="361">
        <f aca="true" t="shared" si="2" ref="B12:B18">A12-A11</f>
        <v>53</v>
      </c>
      <c r="C12" s="281">
        <v>10868853</v>
      </c>
      <c r="D12" s="281"/>
      <c r="E12" s="395"/>
      <c r="F12" s="281"/>
      <c r="G12" s="281"/>
      <c r="H12" s="396"/>
      <c r="I12" s="396"/>
      <c r="J12" s="397"/>
    </row>
    <row r="13" spans="1:10" ht="12.75">
      <c r="A13" s="90">
        <v>39353</v>
      </c>
      <c r="B13" s="307">
        <f t="shared" si="2"/>
        <v>38</v>
      </c>
      <c r="C13" s="41">
        <f t="shared" si="1"/>
        <v>10868853</v>
      </c>
      <c r="D13" s="41"/>
      <c r="E13" s="302">
        <v>0.05054</v>
      </c>
      <c r="F13" s="41">
        <v>126784</v>
      </c>
      <c r="G13" s="41">
        <f>G11</f>
        <v>2064</v>
      </c>
      <c r="H13" s="91"/>
      <c r="I13" s="91"/>
      <c r="J13" s="231"/>
    </row>
    <row r="14" spans="1:10" ht="12.75">
      <c r="A14" s="97">
        <v>39445</v>
      </c>
      <c r="B14" s="308">
        <f t="shared" si="2"/>
        <v>92</v>
      </c>
      <c r="C14" s="99">
        <f t="shared" si="1"/>
        <v>10868853</v>
      </c>
      <c r="D14" s="99"/>
      <c r="E14" s="303">
        <v>0.05676</v>
      </c>
      <c r="F14" s="99">
        <v>157093</v>
      </c>
      <c r="G14" s="99">
        <f aca="true" t="shared" si="3" ref="G14:G19">G13</f>
        <v>2064</v>
      </c>
      <c r="H14" s="300">
        <f>SUM(F10:G14)</f>
        <v>512265</v>
      </c>
      <c r="I14" s="300">
        <f>SUM(D10:D14)</f>
        <v>0</v>
      </c>
      <c r="J14" s="301">
        <f>SUM(H14:I14)</f>
        <v>512265</v>
      </c>
    </row>
    <row r="15" spans="1:10" ht="12.75">
      <c r="A15" s="103">
        <v>39538</v>
      </c>
      <c r="B15" s="306">
        <f t="shared" si="2"/>
        <v>93</v>
      </c>
      <c r="C15" s="42">
        <f>C14-D15</f>
        <v>10868853</v>
      </c>
      <c r="D15" s="42"/>
      <c r="E15" s="304">
        <v>0.05655</v>
      </c>
      <c r="F15" s="42">
        <v>158799</v>
      </c>
      <c r="G15" s="42">
        <f t="shared" si="3"/>
        <v>2064</v>
      </c>
      <c r="H15" s="104"/>
      <c r="I15" s="104"/>
      <c r="J15" s="242"/>
    </row>
    <row r="16" spans="1:10" ht="12.75">
      <c r="A16" s="90">
        <v>39629</v>
      </c>
      <c r="B16" s="307">
        <f t="shared" si="2"/>
        <v>91</v>
      </c>
      <c r="C16" s="41">
        <f>C15-D16</f>
        <v>10868853</v>
      </c>
      <c r="D16" s="41"/>
      <c r="E16" s="302">
        <v>0.05621</v>
      </c>
      <c r="F16" s="41">
        <v>154442</v>
      </c>
      <c r="G16" s="41">
        <f t="shared" si="3"/>
        <v>2064</v>
      </c>
      <c r="H16" s="91"/>
      <c r="I16" s="91"/>
      <c r="J16" s="231"/>
    </row>
    <row r="17" spans="1:10" ht="12.75">
      <c r="A17" s="90">
        <v>39721</v>
      </c>
      <c r="B17" s="307">
        <f t="shared" si="2"/>
        <v>92</v>
      </c>
      <c r="C17" s="41">
        <f>C16-D17</f>
        <v>10868853</v>
      </c>
      <c r="D17" s="41"/>
      <c r="E17" s="302">
        <v>0.05837</v>
      </c>
      <c r="F17" s="41">
        <v>162063</v>
      </c>
      <c r="G17" s="41">
        <f t="shared" si="3"/>
        <v>2064</v>
      </c>
      <c r="H17" s="91"/>
      <c r="I17" s="91"/>
      <c r="J17" s="231"/>
    </row>
    <row r="18" spans="1:10" ht="12.75">
      <c r="A18" s="97">
        <v>39813</v>
      </c>
      <c r="B18" s="307">
        <f t="shared" si="2"/>
        <v>92</v>
      </c>
      <c r="C18" s="99">
        <f t="shared" si="1"/>
        <v>10868853</v>
      </c>
      <c r="D18" s="99"/>
      <c r="E18" s="303">
        <v>0.06127</v>
      </c>
      <c r="F18" s="99">
        <f>((C18+D18)*E18/360*B18)</f>
        <v>170183.29262366667</v>
      </c>
      <c r="G18" s="99">
        <f t="shared" si="3"/>
        <v>2064</v>
      </c>
      <c r="H18" s="300">
        <f>SUM(F15:G18)</f>
        <v>653743.2926236667</v>
      </c>
      <c r="I18" s="300">
        <f>SUM(D15:D18)</f>
        <v>0</v>
      </c>
      <c r="J18" s="301">
        <f>SUM(H18:I18)</f>
        <v>653743.2926236667</v>
      </c>
    </row>
    <row r="19" spans="1:10" ht="12.75">
      <c r="A19" s="90">
        <v>39903</v>
      </c>
      <c r="B19" s="310">
        <f t="shared" si="0"/>
        <v>90</v>
      </c>
      <c r="C19" s="42">
        <f t="shared" si="1"/>
        <v>10868853</v>
      </c>
      <c r="D19" s="41"/>
      <c r="E19" s="302">
        <f>E18</f>
        <v>0.06127</v>
      </c>
      <c r="F19" s="42">
        <f>((C19+D19)*E19/360*B19)</f>
        <v>166483.65582749998</v>
      </c>
      <c r="G19" s="41">
        <f t="shared" si="3"/>
        <v>2064</v>
      </c>
      <c r="H19" s="91"/>
      <c r="I19" s="91"/>
      <c r="J19" s="231"/>
    </row>
    <row r="20" spans="1:10" ht="12.75">
      <c r="A20" s="90">
        <v>39969</v>
      </c>
      <c r="B20" s="307">
        <f t="shared" si="0"/>
        <v>66</v>
      </c>
      <c r="C20" s="41">
        <f t="shared" si="1"/>
        <v>10711333</v>
      </c>
      <c r="D20" s="41">
        <v>157520</v>
      </c>
      <c r="E20" s="302"/>
      <c r="F20" s="41"/>
      <c r="G20" s="41"/>
      <c r="H20" s="91"/>
      <c r="I20" s="91"/>
      <c r="J20" s="231"/>
    </row>
    <row r="21" spans="1:10" ht="12.75">
      <c r="A21" s="90">
        <v>39994</v>
      </c>
      <c r="B21" s="307">
        <f t="shared" si="0"/>
        <v>25</v>
      </c>
      <c r="C21" s="41">
        <f t="shared" si="1"/>
        <v>10711333</v>
      </c>
      <c r="D21" s="41"/>
      <c r="E21" s="302">
        <f>E19</f>
        <v>0.06127</v>
      </c>
      <c r="F21" s="41">
        <f>((C20+D20)*E21/360*B20)+((C21+D21)*E21/360*B21)</f>
        <v>167663.24850336113</v>
      </c>
      <c r="G21" s="41">
        <f>G19</f>
        <v>2064</v>
      </c>
      <c r="H21" s="91"/>
      <c r="I21" s="91"/>
      <c r="J21" s="231"/>
    </row>
    <row r="22" spans="1:10" ht="12.75">
      <c r="A22" s="90">
        <v>40061</v>
      </c>
      <c r="B22" s="307">
        <f t="shared" si="0"/>
        <v>67</v>
      </c>
      <c r="C22" s="41">
        <f t="shared" si="1"/>
        <v>10553813</v>
      </c>
      <c r="D22" s="41">
        <f>D20</f>
        <v>157520</v>
      </c>
      <c r="E22" s="302"/>
      <c r="F22" s="41"/>
      <c r="G22" s="41"/>
      <c r="H22" s="91"/>
      <c r="I22" s="91"/>
      <c r="J22" s="231"/>
    </row>
    <row r="23" spans="1:10" ht="12.75">
      <c r="A23" s="90">
        <v>40086</v>
      </c>
      <c r="B23" s="307">
        <f t="shared" si="0"/>
        <v>25</v>
      </c>
      <c r="C23" s="41">
        <f t="shared" si="1"/>
        <v>10553813</v>
      </c>
      <c r="D23" s="41"/>
      <c r="E23" s="302">
        <f>E21</f>
        <v>0.06127</v>
      </c>
      <c r="F23" s="41">
        <f>((C22+D22)*E23/360*B22)+((C23+D23)*E23/360*B23)</f>
        <v>167046.63624366667</v>
      </c>
      <c r="G23" s="41">
        <f>G21</f>
        <v>2064</v>
      </c>
      <c r="H23" s="91"/>
      <c r="I23" s="91"/>
      <c r="J23" s="231"/>
    </row>
    <row r="24" spans="1:10" ht="12.75">
      <c r="A24" s="90">
        <v>40152</v>
      </c>
      <c r="B24" s="307">
        <f t="shared" si="0"/>
        <v>66</v>
      </c>
      <c r="C24" s="41">
        <f t="shared" si="1"/>
        <v>10396293</v>
      </c>
      <c r="D24" s="41">
        <f>D22</f>
        <v>157520</v>
      </c>
      <c r="E24" s="302"/>
      <c r="F24" s="41"/>
      <c r="G24" s="41"/>
      <c r="H24" s="91"/>
      <c r="I24" s="91"/>
      <c r="J24" s="231"/>
    </row>
    <row r="25" spans="1:10" ht="12.75">
      <c r="A25" s="97">
        <v>40178</v>
      </c>
      <c r="B25" s="308">
        <f t="shared" si="0"/>
        <v>26</v>
      </c>
      <c r="C25" s="99">
        <f t="shared" si="1"/>
        <v>10396293</v>
      </c>
      <c r="D25" s="99"/>
      <c r="E25" s="303">
        <f>E23</f>
        <v>0.06127</v>
      </c>
      <c r="F25" s="99">
        <f>((C24+D24)*E25/360*B24)+((C25+D25)*E25/360*B25)</f>
        <v>164553.396557</v>
      </c>
      <c r="G25" s="99">
        <f>G23</f>
        <v>2064</v>
      </c>
      <c r="H25" s="300">
        <f>SUM(F19:G25)</f>
        <v>674002.9371315278</v>
      </c>
      <c r="I25" s="300">
        <f>SUM(D19:D25)</f>
        <v>472560</v>
      </c>
      <c r="J25" s="301">
        <f>SUM(H25:I25)</f>
        <v>1146562.9371315278</v>
      </c>
    </row>
    <row r="26" spans="1:10" ht="12.75">
      <c r="A26" s="103">
        <v>40242</v>
      </c>
      <c r="B26" s="306">
        <f t="shared" si="0"/>
        <v>64</v>
      </c>
      <c r="C26" s="42">
        <f t="shared" si="1"/>
        <v>10238773</v>
      </c>
      <c r="D26" s="42">
        <f>D24</f>
        <v>157520</v>
      </c>
      <c r="E26" s="104"/>
      <c r="F26" s="104"/>
      <c r="G26" s="104"/>
      <c r="H26" s="104"/>
      <c r="I26" s="104"/>
      <c r="J26" s="242"/>
    </row>
    <row r="27" spans="1:10" ht="12.75">
      <c r="A27" s="90">
        <v>40268</v>
      </c>
      <c r="B27" s="307">
        <f t="shared" si="0"/>
        <v>26</v>
      </c>
      <c r="C27" s="41">
        <f t="shared" si="1"/>
        <v>10238773</v>
      </c>
      <c r="D27" s="41"/>
      <c r="E27" s="302">
        <f>E25</f>
        <v>0.06127</v>
      </c>
      <c r="F27" s="41">
        <f>((C26+D26)*E27/360*B26)+((C27+D27)*E27/360*B27)</f>
        <v>158548.18327638888</v>
      </c>
      <c r="G27" s="41">
        <f>G25</f>
        <v>2064</v>
      </c>
      <c r="H27" s="91"/>
      <c r="I27" s="91"/>
      <c r="J27" s="231"/>
    </row>
    <row r="28" spans="1:10" ht="12.75">
      <c r="A28" s="90">
        <v>40334</v>
      </c>
      <c r="B28" s="307">
        <f t="shared" si="0"/>
        <v>66</v>
      </c>
      <c r="C28" s="41">
        <f t="shared" si="1"/>
        <v>10081253</v>
      </c>
      <c r="D28" s="41">
        <f>D26</f>
        <v>157520</v>
      </c>
      <c r="E28" s="302"/>
      <c r="F28" s="41"/>
      <c r="G28" s="41"/>
      <c r="H28" s="91"/>
      <c r="I28" s="91"/>
      <c r="J28" s="231"/>
    </row>
    <row r="29" spans="1:10" ht="12.75">
      <c r="A29" s="90">
        <v>40359</v>
      </c>
      <c r="B29" s="307">
        <f t="shared" si="0"/>
        <v>25</v>
      </c>
      <c r="C29" s="41">
        <f t="shared" si="1"/>
        <v>10081253</v>
      </c>
      <c r="D29" s="41"/>
      <c r="E29" s="302">
        <f>E27</f>
        <v>0.06127</v>
      </c>
      <c r="F29" s="41">
        <f>((C28+D28)*E29/360*B28)+((C29+D29)*E29/360*B29)</f>
        <v>157904.76198780554</v>
      </c>
      <c r="G29" s="41">
        <f>G27</f>
        <v>2064</v>
      </c>
      <c r="H29" s="91"/>
      <c r="I29" s="91"/>
      <c r="J29" s="231"/>
    </row>
    <row r="30" spans="1:10" ht="12.75">
      <c r="A30" s="90">
        <v>40426</v>
      </c>
      <c r="B30" s="307">
        <f t="shared" si="0"/>
        <v>67</v>
      </c>
      <c r="C30" s="41">
        <f t="shared" si="1"/>
        <v>9923733</v>
      </c>
      <c r="D30" s="41">
        <f>D28</f>
        <v>157520</v>
      </c>
      <c r="E30" s="302"/>
      <c r="F30" s="41"/>
      <c r="G30" s="41"/>
      <c r="H30" s="91"/>
      <c r="I30" s="91"/>
      <c r="J30" s="231"/>
    </row>
    <row r="31" spans="1:10" ht="12.75">
      <c r="A31" s="90">
        <v>40451</v>
      </c>
      <c r="B31" s="307">
        <f t="shared" si="0"/>
        <v>25</v>
      </c>
      <c r="C31" s="41">
        <f t="shared" si="1"/>
        <v>9923733</v>
      </c>
      <c r="D31" s="41"/>
      <c r="E31" s="302">
        <f>E29</f>
        <v>0.06127</v>
      </c>
      <c r="F31" s="41">
        <f>((C30+D30)*E31/360*B30)+((C31+D31)*E31/360*B31)</f>
        <v>157180.91361255554</v>
      </c>
      <c r="G31" s="41">
        <f>G29</f>
        <v>2064</v>
      </c>
      <c r="H31" s="91"/>
      <c r="I31" s="91"/>
      <c r="J31" s="231"/>
    </row>
    <row r="32" spans="1:10" ht="12.75">
      <c r="A32" s="90">
        <v>40517</v>
      </c>
      <c r="B32" s="307">
        <f t="shared" si="0"/>
        <v>66</v>
      </c>
      <c r="C32" s="41">
        <f t="shared" si="1"/>
        <v>9766213</v>
      </c>
      <c r="D32" s="41">
        <f>D30</f>
        <v>157520</v>
      </c>
      <c r="E32" s="302"/>
      <c r="F32" s="41"/>
      <c r="G32" s="41"/>
      <c r="H32" s="91"/>
      <c r="I32" s="91"/>
      <c r="J32" s="231"/>
    </row>
    <row r="33" spans="1:10" ht="12.75">
      <c r="A33" s="97">
        <v>40543</v>
      </c>
      <c r="B33" s="308">
        <f t="shared" si="0"/>
        <v>26</v>
      </c>
      <c r="C33" s="99">
        <f t="shared" si="1"/>
        <v>9766213</v>
      </c>
      <c r="D33" s="99"/>
      <c r="E33" s="303">
        <f>E31</f>
        <v>0.06127</v>
      </c>
      <c r="F33" s="99">
        <f>((C32+D32)*E33/360*B32)+((C33+D33)*E33/360*B33)</f>
        <v>154687.6739258889</v>
      </c>
      <c r="G33" s="99">
        <f>G31</f>
        <v>2064</v>
      </c>
      <c r="H33" s="300">
        <f>SUM(F27:G33)</f>
        <v>636577.5328026388</v>
      </c>
      <c r="I33" s="300">
        <f>SUM(D26:D33)</f>
        <v>630080</v>
      </c>
      <c r="J33" s="301">
        <f>SUM(H33:I33)</f>
        <v>1266657.5328026388</v>
      </c>
    </row>
    <row r="34" spans="1:10" ht="12.75">
      <c r="A34" s="103">
        <v>40607</v>
      </c>
      <c r="B34" s="306">
        <f t="shared" si="0"/>
        <v>64</v>
      </c>
      <c r="C34" s="42">
        <f t="shared" si="1"/>
        <v>9608693</v>
      </c>
      <c r="D34" s="42">
        <f>D32</f>
        <v>157520</v>
      </c>
      <c r="E34" s="104"/>
      <c r="F34" s="104"/>
      <c r="G34" s="104"/>
      <c r="H34" s="104"/>
      <c r="I34" s="104"/>
      <c r="J34" s="242"/>
    </row>
    <row r="35" spans="1:10" ht="12.75">
      <c r="A35" s="90">
        <v>40633</v>
      </c>
      <c r="B35" s="307">
        <f t="shared" si="0"/>
        <v>26</v>
      </c>
      <c r="C35" s="41">
        <f t="shared" si="1"/>
        <v>9608693</v>
      </c>
      <c r="D35" s="41"/>
      <c r="E35" s="302">
        <f>E33</f>
        <v>0.06127</v>
      </c>
      <c r="F35" s="41">
        <f>((C34+D34)*E35/360*B34)+((C35+D35)*E35/360*B35)</f>
        <v>148896.9328763889</v>
      </c>
      <c r="G35" s="41">
        <f>G33</f>
        <v>2064</v>
      </c>
      <c r="H35" s="91"/>
      <c r="I35" s="91"/>
      <c r="J35" s="231"/>
    </row>
    <row r="36" spans="1:10" ht="12.75">
      <c r="A36" s="90">
        <v>40699</v>
      </c>
      <c r="B36" s="307">
        <f t="shared" si="0"/>
        <v>66</v>
      </c>
      <c r="C36" s="41">
        <f t="shared" si="1"/>
        <v>9451173</v>
      </c>
      <c r="D36" s="41">
        <f>D34</f>
        <v>157520</v>
      </c>
      <c r="E36" s="302"/>
      <c r="F36" s="41"/>
      <c r="G36" s="41"/>
      <c r="H36" s="91"/>
      <c r="I36" s="91"/>
      <c r="J36" s="231"/>
    </row>
    <row r="37" spans="1:10" ht="12.75">
      <c r="A37" s="90">
        <v>40724</v>
      </c>
      <c r="B37" s="307">
        <f t="shared" si="0"/>
        <v>25</v>
      </c>
      <c r="C37" s="41">
        <f t="shared" si="1"/>
        <v>9451173</v>
      </c>
      <c r="D37" s="41"/>
      <c r="E37" s="302">
        <f>E35</f>
        <v>0.06127</v>
      </c>
      <c r="F37" s="41">
        <f>((C36+D36)*E37/360*B36)+((C37+D37)*E37/360*B37)</f>
        <v>148146.27547225</v>
      </c>
      <c r="G37" s="41">
        <f>G35</f>
        <v>2064</v>
      </c>
      <c r="H37" s="91"/>
      <c r="I37" s="91"/>
      <c r="J37" s="231"/>
    </row>
    <row r="38" spans="1:10" ht="12.75">
      <c r="A38" s="90">
        <v>40791</v>
      </c>
      <c r="B38" s="307">
        <f t="shared" si="0"/>
        <v>67</v>
      </c>
      <c r="C38" s="41">
        <f t="shared" si="1"/>
        <v>9293653</v>
      </c>
      <c r="D38" s="41">
        <f>D36</f>
        <v>157520</v>
      </c>
      <c r="E38" s="302"/>
      <c r="F38" s="41"/>
      <c r="G38" s="41"/>
      <c r="H38" s="91"/>
      <c r="I38" s="91"/>
      <c r="J38" s="231"/>
    </row>
    <row r="39" spans="1:10" ht="12.75">
      <c r="A39" s="90">
        <v>40816</v>
      </c>
      <c r="B39" s="307">
        <f t="shared" si="0"/>
        <v>25</v>
      </c>
      <c r="C39" s="41">
        <f t="shared" si="1"/>
        <v>9293653</v>
      </c>
      <c r="D39" s="41"/>
      <c r="E39" s="302">
        <f>E37</f>
        <v>0.06127</v>
      </c>
      <c r="F39" s="41">
        <f>((C38+D38)*E39/360*B38)+((C39+D39)*E39/360*B39)</f>
        <v>147315.19098144444</v>
      </c>
      <c r="G39" s="41">
        <f>G37</f>
        <v>2064</v>
      </c>
      <c r="H39" s="91"/>
      <c r="I39" s="91"/>
      <c r="J39" s="231"/>
    </row>
    <row r="40" spans="1:10" ht="12.75">
      <c r="A40" s="90">
        <v>40882</v>
      </c>
      <c r="B40" s="307">
        <f t="shared" si="0"/>
        <v>66</v>
      </c>
      <c r="C40" s="41">
        <f t="shared" si="1"/>
        <v>9136133</v>
      </c>
      <c r="D40" s="41">
        <f>D38</f>
        <v>157520</v>
      </c>
      <c r="E40" s="302"/>
      <c r="F40" s="41"/>
      <c r="G40" s="41"/>
      <c r="H40" s="91"/>
      <c r="I40" s="91"/>
      <c r="J40" s="231"/>
    </row>
    <row r="41" spans="1:10" ht="12.75">
      <c r="A41" s="97">
        <v>40908</v>
      </c>
      <c r="B41" s="308">
        <f t="shared" si="0"/>
        <v>26</v>
      </c>
      <c r="C41" s="99">
        <f t="shared" si="1"/>
        <v>9136133</v>
      </c>
      <c r="D41" s="99"/>
      <c r="E41" s="303">
        <f>E39</f>
        <v>0.06127</v>
      </c>
      <c r="F41" s="99">
        <f>((C40+D40)*E41/360*B40)+((C41+D41)*E41/360*B41)</f>
        <v>144821.95129477777</v>
      </c>
      <c r="G41" s="99">
        <f>G39</f>
        <v>2064</v>
      </c>
      <c r="H41" s="300">
        <f>SUM(F35:G41)</f>
        <v>597436.3506248611</v>
      </c>
      <c r="I41" s="300">
        <f>SUM(D34:D41)</f>
        <v>630080</v>
      </c>
      <c r="J41" s="301">
        <f>SUM(H41:I41)</f>
        <v>1227516.3506248612</v>
      </c>
    </row>
    <row r="42" spans="1:10" ht="12.75">
      <c r="A42" s="103">
        <v>40973</v>
      </c>
      <c r="B42" s="306">
        <f aca="true" t="shared" si="4" ref="B42:B73">A42-A41</f>
        <v>65</v>
      </c>
      <c r="C42" s="42">
        <f aca="true" t="shared" si="5" ref="C42:C73">C41-D42</f>
        <v>8978613</v>
      </c>
      <c r="D42" s="42">
        <f>D40</f>
        <v>157520</v>
      </c>
      <c r="E42" s="104"/>
      <c r="F42" s="104"/>
      <c r="G42" s="104"/>
      <c r="H42" s="104"/>
      <c r="I42" s="104"/>
      <c r="J42" s="242"/>
    </row>
    <row r="43" spans="1:10" ht="12.75">
      <c r="A43" s="90">
        <v>40999</v>
      </c>
      <c r="B43" s="307">
        <f t="shared" si="4"/>
        <v>26</v>
      </c>
      <c r="C43" s="41">
        <f t="shared" si="5"/>
        <v>8978613</v>
      </c>
      <c r="D43" s="41"/>
      <c r="E43" s="302">
        <f>E41</f>
        <v>0.06127</v>
      </c>
      <c r="F43" s="41">
        <f>((C42+D42)*E43/360*B42)+((C43+D43)*E43/360*B43)</f>
        <v>140800.60155669443</v>
      </c>
      <c r="G43" s="41">
        <f>G41</f>
        <v>2064</v>
      </c>
      <c r="H43" s="91"/>
      <c r="I43" s="91"/>
      <c r="J43" s="231"/>
    </row>
    <row r="44" spans="1:10" ht="12.75">
      <c r="A44" s="90">
        <v>41065</v>
      </c>
      <c r="B44" s="307">
        <f t="shared" si="4"/>
        <v>66</v>
      </c>
      <c r="C44" s="41">
        <f t="shared" si="5"/>
        <v>8821093</v>
      </c>
      <c r="D44" s="41">
        <f>D42</f>
        <v>157520</v>
      </c>
      <c r="E44" s="302"/>
      <c r="F44" s="41"/>
      <c r="G44" s="41"/>
      <c r="H44" s="91"/>
      <c r="I44" s="91"/>
      <c r="J44" s="231"/>
    </row>
    <row r="45" spans="1:10" ht="12.75">
      <c r="A45" s="90">
        <v>41090</v>
      </c>
      <c r="B45" s="307">
        <f t="shared" si="4"/>
        <v>25</v>
      </c>
      <c r="C45" s="41">
        <f t="shared" si="5"/>
        <v>8821093</v>
      </c>
      <c r="D45" s="41"/>
      <c r="E45" s="302">
        <f>E43</f>
        <v>0.06127</v>
      </c>
      <c r="F45" s="41">
        <f>((C44+D44)*E45/360*B44)+((C45+D45)*E45/360*B45)</f>
        <v>138387.78895669442</v>
      </c>
      <c r="G45" s="41">
        <f>G43</f>
        <v>2064</v>
      </c>
      <c r="H45" s="91"/>
      <c r="I45" s="91"/>
      <c r="J45" s="231"/>
    </row>
    <row r="46" spans="1:10" ht="12.75">
      <c r="A46" s="90">
        <v>41157</v>
      </c>
      <c r="B46" s="307">
        <f t="shared" si="4"/>
        <v>67</v>
      </c>
      <c r="C46" s="41">
        <f t="shared" si="5"/>
        <v>8663573</v>
      </c>
      <c r="D46" s="41">
        <f>D44</f>
        <v>157520</v>
      </c>
      <c r="E46" s="302"/>
      <c r="F46" s="41"/>
      <c r="G46" s="41"/>
      <c r="H46" s="91"/>
      <c r="I46" s="91"/>
      <c r="J46" s="231"/>
    </row>
    <row r="47" spans="1:10" ht="12.75">
      <c r="A47" s="90">
        <v>41182</v>
      </c>
      <c r="B47" s="307">
        <f t="shared" si="4"/>
        <v>25</v>
      </c>
      <c r="C47" s="41">
        <f t="shared" si="5"/>
        <v>8663573</v>
      </c>
      <c r="D47" s="41"/>
      <c r="E47" s="302">
        <f>E45</f>
        <v>0.06127</v>
      </c>
      <c r="F47" s="41">
        <f>((C46+D46)*E47/360*B46)+((C47+D47)*E47/360*B47)</f>
        <v>137449.46835033334</v>
      </c>
      <c r="G47" s="41">
        <f>G45</f>
        <v>2064</v>
      </c>
      <c r="H47" s="91"/>
      <c r="I47" s="91"/>
      <c r="J47" s="231"/>
    </row>
    <row r="48" spans="1:10" ht="12.75">
      <c r="A48" s="90">
        <v>41248</v>
      </c>
      <c r="B48" s="307">
        <f t="shared" si="4"/>
        <v>66</v>
      </c>
      <c r="C48" s="41">
        <f t="shared" si="5"/>
        <v>8506053</v>
      </c>
      <c r="D48" s="41">
        <f>D46</f>
        <v>157520</v>
      </c>
      <c r="E48" s="302"/>
      <c r="F48" s="41"/>
      <c r="G48" s="41"/>
      <c r="H48" s="91"/>
      <c r="I48" s="91"/>
      <c r="J48" s="231"/>
    </row>
    <row r="49" spans="1:10" ht="12.75">
      <c r="A49" s="97">
        <v>41274</v>
      </c>
      <c r="B49" s="308">
        <f t="shared" si="4"/>
        <v>26</v>
      </c>
      <c r="C49" s="99">
        <f t="shared" si="5"/>
        <v>8506053</v>
      </c>
      <c r="D49" s="99"/>
      <c r="E49" s="303">
        <f>E47</f>
        <v>0.06127</v>
      </c>
      <c r="F49" s="99">
        <f>((C48+D48)*E49/360*B48)+((C49+D49)*E49/360*B49)</f>
        <v>134956.22866366667</v>
      </c>
      <c r="G49" s="99">
        <f>G47</f>
        <v>2064</v>
      </c>
      <c r="H49" s="300">
        <f>SUM(F43:G49)</f>
        <v>559850.0875273888</v>
      </c>
      <c r="I49" s="300">
        <f>SUM(D42:D49)</f>
        <v>630080</v>
      </c>
      <c r="J49" s="301">
        <f>SUM(H49:I49)</f>
        <v>1189930.0875273887</v>
      </c>
    </row>
    <row r="50" spans="1:10" ht="12.75">
      <c r="A50" s="103">
        <v>41338</v>
      </c>
      <c r="B50" s="306">
        <f t="shared" si="4"/>
        <v>64</v>
      </c>
      <c r="C50" s="42">
        <f t="shared" si="5"/>
        <v>8348533</v>
      </c>
      <c r="D50" s="42">
        <f>D48</f>
        <v>157520</v>
      </c>
      <c r="E50" s="104"/>
      <c r="F50" s="104"/>
      <c r="G50" s="104"/>
      <c r="H50" s="104"/>
      <c r="I50" s="104"/>
      <c r="J50" s="242"/>
    </row>
    <row r="51" spans="1:10" ht="12.75">
      <c r="A51" s="90">
        <v>41364</v>
      </c>
      <c r="B51" s="307">
        <f t="shared" si="4"/>
        <v>26</v>
      </c>
      <c r="C51" s="41">
        <f t="shared" si="5"/>
        <v>8348533</v>
      </c>
      <c r="D51" s="41"/>
      <c r="E51" s="302">
        <f>E49</f>
        <v>0.06127</v>
      </c>
      <c r="F51" s="41">
        <f>((C50+D50)*E51/360*B50)+((C51+D51)*E51/360*B51)</f>
        <v>129594.4320763889</v>
      </c>
      <c r="G51" s="41">
        <f>G49</f>
        <v>2064</v>
      </c>
      <c r="H51" s="91"/>
      <c r="I51" s="91"/>
      <c r="J51" s="231"/>
    </row>
    <row r="52" spans="1:10" ht="12.75">
      <c r="A52" s="90">
        <v>41430</v>
      </c>
      <c r="B52" s="307">
        <f t="shared" si="4"/>
        <v>66</v>
      </c>
      <c r="C52" s="41">
        <f t="shared" si="5"/>
        <v>8191013</v>
      </c>
      <c r="D52" s="41">
        <f>D50</f>
        <v>157520</v>
      </c>
      <c r="E52" s="302"/>
      <c r="F52" s="41"/>
      <c r="G52" s="41"/>
      <c r="H52" s="91"/>
      <c r="I52" s="91"/>
      <c r="J52" s="231"/>
    </row>
    <row r="53" spans="1:10" ht="12.75">
      <c r="A53" s="90">
        <v>41455</v>
      </c>
      <c r="B53" s="307">
        <f t="shared" si="4"/>
        <v>25</v>
      </c>
      <c r="C53" s="41">
        <f t="shared" si="5"/>
        <v>8191013</v>
      </c>
      <c r="D53" s="41"/>
      <c r="E53" s="302">
        <f>E51</f>
        <v>0.06127</v>
      </c>
      <c r="F53" s="41">
        <f>((C52+D52)*E53/360*B52)+((C53+D53)*E53/360*B53)</f>
        <v>128629.30244113889</v>
      </c>
      <c r="G53" s="41">
        <f>G51</f>
        <v>2064</v>
      </c>
      <c r="H53" s="91"/>
      <c r="I53" s="91"/>
      <c r="J53" s="231"/>
    </row>
    <row r="54" spans="1:10" ht="12.75">
      <c r="A54" s="90">
        <v>41522</v>
      </c>
      <c r="B54" s="307">
        <f t="shared" si="4"/>
        <v>67</v>
      </c>
      <c r="C54" s="41">
        <f t="shared" si="5"/>
        <v>8033493</v>
      </c>
      <c r="D54" s="41">
        <f>D52</f>
        <v>157520</v>
      </c>
      <c r="E54" s="302"/>
      <c r="F54" s="41"/>
      <c r="G54" s="41"/>
      <c r="H54" s="91"/>
      <c r="I54" s="91"/>
      <c r="J54" s="231"/>
    </row>
    <row r="55" spans="1:10" ht="12.75">
      <c r="A55" s="90">
        <v>41547</v>
      </c>
      <c r="B55" s="307">
        <f t="shared" si="4"/>
        <v>25</v>
      </c>
      <c r="C55" s="41">
        <f t="shared" si="5"/>
        <v>8033493</v>
      </c>
      <c r="D55" s="41"/>
      <c r="E55" s="302">
        <f>E53</f>
        <v>0.06127</v>
      </c>
      <c r="F55" s="41">
        <f>((C54+D54)*E55/360*B54)+((C55+D55)*E55/360*B55)</f>
        <v>127583.74571922222</v>
      </c>
      <c r="G55" s="41">
        <f>G53</f>
        <v>2064</v>
      </c>
      <c r="H55" s="91"/>
      <c r="I55" s="91"/>
      <c r="J55" s="231"/>
    </row>
    <row r="56" spans="1:10" ht="12.75">
      <c r="A56" s="90">
        <v>41613</v>
      </c>
      <c r="B56" s="307">
        <f t="shared" si="4"/>
        <v>66</v>
      </c>
      <c r="C56" s="41">
        <f t="shared" si="5"/>
        <v>7875973</v>
      </c>
      <c r="D56" s="41">
        <f>D54</f>
        <v>157520</v>
      </c>
      <c r="E56" s="302"/>
      <c r="F56" s="41"/>
      <c r="G56" s="41"/>
      <c r="H56" s="91"/>
      <c r="I56" s="91"/>
      <c r="J56" s="231"/>
    </row>
    <row r="57" spans="1:10" ht="12.75">
      <c r="A57" s="97">
        <v>41639</v>
      </c>
      <c r="B57" s="308">
        <f t="shared" si="4"/>
        <v>26</v>
      </c>
      <c r="C57" s="99">
        <f t="shared" si="5"/>
        <v>7875973</v>
      </c>
      <c r="D57" s="99"/>
      <c r="E57" s="303">
        <f>E55</f>
        <v>0.06127</v>
      </c>
      <c r="F57" s="99">
        <f>((C56+D56)*E57/360*B56)+((C57+D57)*E57/360*B57)</f>
        <v>125090.50603255555</v>
      </c>
      <c r="G57" s="99">
        <f>G55</f>
        <v>2064</v>
      </c>
      <c r="H57" s="300">
        <f>SUM(F51:G57)</f>
        <v>519153.9862693056</v>
      </c>
      <c r="I57" s="300">
        <f>SUM(D50:D57)</f>
        <v>630080</v>
      </c>
      <c r="J57" s="301">
        <f>SUM(H57:I57)</f>
        <v>1149233.9862693055</v>
      </c>
    </row>
    <row r="58" spans="1:10" ht="12.75">
      <c r="A58" s="103">
        <v>41703</v>
      </c>
      <c r="B58" s="306">
        <f t="shared" si="4"/>
        <v>64</v>
      </c>
      <c r="C58" s="42">
        <f t="shared" si="5"/>
        <v>7718453</v>
      </c>
      <c r="D58" s="42">
        <f>D56</f>
        <v>157520</v>
      </c>
      <c r="E58" s="104"/>
      <c r="F58" s="104"/>
      <c r="G58" s="104"/>
      <c r="H58" s="104"/>
      <c r="I58" s="104"/>
      <c r="J58" s="242"/>
    </row>
    <row r="59" spans="1:10" ht="12.75">
      <c r="A59" s="90">
        <v>41729</v>
      </c>
      <c r="B59" s="307">
        <f t="shared" si="4"/>
        <v>26</v>
      </c>
      <c r="C59" s="41">
        <f t="shared" si="5"/>
        <v>7718453</v>
      </c>
      <c r="D59" s="41"/>
      <c r="E59" s="302">
        <f>E57</f>
        <v>0.06127</v>
      </c>
      <c r="F59" s="41">
        <f>((C58+D58)*E59/360*B58)+((C59+D59)*E59/360*B59)</f>
        <v>119943.1816763889</v>
      </c>
      <c r="G59" s="41">
        <f>G57</f>
        <v>2064</v>
      </c>
      <c r="H59" s="91"/>
      <c r="I59" s="91"/>
      <c r="J59" s="231"/>
    </row>
    <row r="60" spans="1:10" ht="12.75">
      <c r="A60" s="90">
        <v>41795</v>
      </c>
      <c r="B60" s="307">
        <f t="shared" si="4"/>
        <v>66</v>
      </c>
      <c r="C60" s="41">
        <f t="shared" si="5"/>
        <v>7560933</v>
      </c>
      <c r="D60" s="41">
        <f>D58</f>
        <v>157520</v>
      </c>
      <c r="E60" s="302"/>
      <c r="F60" s="41"/>
      <c r="G60" s="41"/>
      <c r="H60" s="91"/>
      <c r="I60" s="91"/>
      <c r="J60" s="231"/>
    </row>
    <row r="61" spans="1:10" ht="12.75">
      <c r="A61" s="90">
        <v>41820</v>
      </c>
      <c r="B61" s="307">
        <f t="shared" si="4"/>
        <v>25</v>
      </c>
      <c r="C61" s="41">
        <f t="shared" si="5"/>
        <v>7560933</v>
      </c>
      <c r="D61" s="41"/>
      <c r="E61" s="302">
        <f>E59</f>
        <v>0.06127</v>
      </c>
      <c r="F61" s="41">
        <f>((C60+D60)*E61/360*B60)+((C61+D61)*E61/360*B61)</f>
        <v>118870.81592558333</v>
      </c>
      <c r="G61" s="41">
        <f>G59</f>
        <v>2064</v>
      </c>
      <c r="H61" s="91"/>
      <c r="I61" s="91"/>
      <c r="J61" s="231"/>
    </row>
    <row r="62" spans="1:10" ht="12.75">
      <c r="A62" s="90">
        <v>41887</v>
      </c>
      <c r="B62" s="307">
        <f t="shared" si="4"/>
        <v>67</v>
      </c>
      <c r="C62" s="41">
        <f t="shared" si="5"/>
        <v>7403413</v>
      </c>
      <c r="D62" s="41">
        <f>D60</f>
        <v>157520</v>
      </c>
      <c r="E62" s="302"/>
      <c r="F62" s="41"/>
      <c r="G62" s="41"/>
      <c r="H62" s="91"/>
      <c r="I62" s="91"/>
      <c r="J62" s="231"/>
    </row>
    <row r="63" spans="1:10" ht="12.75">
      <c r="A63" s="90">
        <v>41912</v>
      </c>
      <c r="B63" s="307">
        <f t="shared" si="4"/>
        <v>25</v>
      </c>
      <c r="C63" s="41">
        <f t="shared" si="5"/>
        <v>7403413</v>
      </c>
      <c r="D63" s="41"/>
      <c r="E63" s="302">
        <f>E61</f>
        <v>0.06127</v>
      </c>
      <c r="F63" s="41">
        <f>((C62+D62)*E63/360*B62)+((C63+D63)*E63/360*B63)</f>
        <v>117718.0230881111</v>
      </c>
      <c r="G63" s="41">
        <f>G61</f>
        <v>2064</v>
      </c>
      <c r="H63" s="91"/>
      <c r="I63" s="91"/>
      <c r="J63" s="231"/>
    </row>
    <row r="64" spans="1:10" ht="12.75">
      <c r="A64" s="90">
        <v>41978</v>
      </c>
      <c r="B64" s="307">
        <f t="shared" si="4"/>
        <v>66</v>
      </c>
      <c r="C64" s="41">
        <f t="shared" si="5"/>
        <v>7245893</v>
      </c>
      <c r="D64" s="41">
        <f>D62</f>
        <v>157520</v>
      </c>
      <c r="E64" s="302"/>
      <c r="F64" s="41"/>
      <c r="G64" s="41"/>
      <c r="H64" s="91"/>
      <c r="I64" s="91"/>
      <c r="J64" s="231"/>
    </row>
    <row r="65" spans="1:10" ht="12.75">
      <c r="A65" s="97">
        <v>42004</v>
      </c>
      <c r="B65" s="308">
        <f t="shared" si="4"/>
        <v>26</v>
      </c>
      <c r="C65" s="99">
        <f t="shared" si="5"/>
        <v>7245893</v>
      </c>
      <c r="D65" s="99"/>
      <c r="E65" s="303">
        <f>E63</f>
        <v>0.06127</v>
      </c>
      <c r="F65" s="99">
        <f>((C64+D64)*E65/360*B64)+((C65+D65)*E65/360*B65)</f>
        <v>115224.78340144444</v>
      </c>
      <c r="G65" s="99">
        <f>G63</f>
        <v>2064</v>
      </c>
      <c r="H65" s="300">
        <f>SUM(F59:G65)</f>
        <v>480012.80409152777</v>
      </c>
      <c r="I65" s="300">
        <f>SUM(D58:D65)</f>
        <v>630080</v>
      </c>
      <c r="J65" s="301">
        <f>SUM(H65:I65)</f>
        <v>1110092.8040915278</v>
      </c>
    </row>
    <row r="66" spans="1:10" ht="12.75">
      <c r="A66" s="103">
        <v>42068</v>
      </c>
      <c r="B66" s="306">
        <f t="shared" si="4"/>
        <v>64</v>
      </c>
      <c r="C66" s="42">
        <f t="shared" si="5"/>
        <v>7088373</v>
      </c>
      <c r="D66" s="42">
        <f>D64</f>
        <v>157520</v>
      </c>
      <c r="E66" s="104"/>
      <c r="F66" s="104"/>
      <c r="G66" s="104"/>
      <c r="H66" s="104"/>
      <c r="I66" s="104"/>
      <c r="J66" s="242"/>
    </row>
    <row r="67" spans="1:10" ht="12.75">
      <c r="A67" s="90">
        <v>42094</v>
      </c>
      <c r="B67" s="307">
        <f t="shared" si="4"/>
        <v>26</v>
      </c>
      <c r="C67" s="41">
        <f t="shared" si="5"/>
        <v>7088373</v>
      </c>
      <c r="D67" s="41"/>
      <c r="E67" s="302">
        <f>E65</f>
        <v>0.06127</v>
      </c>
      <c r="F67" s="41">
        <f>((C66+D66)*E67/360*B66)+((C67+D67)*E67/360*B67)</f>
        <v>110291.93127638887</v>
      </c>
      <c r="G67" s="41">
        <f>G65</f>
        <v>2064</v>
      </c>
      <c r="H67" s="91"/>
      <c r="I67" s="91"/>
      <c r="J67" s="231"/>
    </row>
    <row r="68" spans="1:10" ht="12.75">
      <c r="A68" s="90">
        <v>42160</v>
      </c>
      <c r="B68" s="307">
        <f t="shared" si="4"/>
        <v>66</v>
      </c>
      <c r="C68" s="41">
        <f t="shared" si="5"/>
        <v>6930853</v>
      </c>
      <c r="D68" s="41">
        <f>D66</f>
        <v>157520</v>
      </c>
      <c r="E68" s="302"/>
      <c r="F68" s="41"/>
      <c r="G68" s="41"/>
      <c r="H68" s="91"/>
      <c r="I68" s="91"/>
      <c r="J68" s="231"/>
    </row>
    <row r="69" spans="1:10" ht="12.75">
      <c r="A69" s="90">
        <v>42185</v>
      </c>
      <c r="B69" s="307">
        <f t="shared" si="4"/>
        <v>25</v>
      </c>
      <c r="C69" s="41">
        <f t="shared" si="5"/>
        <v>6930853</v>
      </c>
      <c r="D69" s="41"/>
      <c r="E69" s="302">
        <f>E67</f>
        <v>0.06127</v>
      </c>
      <c r="F69" s="41">
        <f>((C68+D68)*E69/360*B68)+((C69+D69)*E69/360*B69)</f>
        <v>109112.32941002777</v>
      </c>
      <c r="G69" s="41">
        <f>G67</f>
        <v>2064</v>
      </c>
      <c r="H69" s="91"/>
      <c r="I69" s="91"/>
      <c r="J69" s="231"/>
    </row>
    <row r="70" spans="1:10" ht="12.75">
      <c r="A70" s="90">
        <v>42252</v>
      </c>
      <c r="B70" s="307">
        <f t="shared" si="4"/>
        <v>67</v>
      </c>
      <c r="C70" s="41">
        <f t="shared" si="5"/>
        <v>6773333</v>
      </c>
      <c r="D70" s="41">
        <f>D68</f>
        <v>157520</v>
      </c>
      <c r="E70" s="302"/>
      <c r="F70" s="41"/>
      <c r="G70" s="41"/>
      <c r="H70" s="91"/>
      <c r="I70" s="91"/>
      <c r="J70" s="231"/>
    </row>
    <row r="71" spans="1:10" ht="12.75">
      <c r="A71" s="90">
        <v>42277</v>
      </c>
      <c r="B71" s="307">
        <f t="shared" si="4"/>
        <v>25</v>
      </c>
      <c r="C71" s="41">
        <f t="shared" si="5"/>
        <v>6773333</v>
      </c>
      <c r="D71" s="41"/>
      <c r="E71" s="302">
        <f>E69</f>
        <v>0.06127</v>
      </c>
      <c r="F71" s="41">
        <f>((C70+D70)*E71/360*B70)+((C71+D71)*E71/360*B71)</f>
        <v>107852.300457</v>
      </c>
      <c r="G71" s="41">
        <f>G69</f>
        <v>2064</v>
      </c>
      <c r="H71" s="91"/>
      <c r="I71" s="91"/>
      <c r="J71" s="231"/>
    </row>
    <row r="72" spans="1:10" ht="12.75">
      <c r="A72" s="90">
        <v>42343</v>
      </c>
      <c r="B72" s="307">
        <f t="shared" si="4"/>
        <v>66</v>
      </c>
      <c r="C72" s="41">
        <f t="shared" si="5"/>
        <v>6615813</v>
      </c>
      <c r="D72" s="41">
        <f>D70</f>
        <v>157520</v>
      </c>
      <c r="E72" s="302"/>
      <c r="F72" s="41"/>
      <c r="G72" s="41"/>
      <c r="H72" s="91"/>
      <c r="I72" s="91"/>
      <c r="J72" s="231"/>
    </row>
    <row r="73" spans="1:10" ht="12.75">
      <c r="A73" s="97">
        <v>42369</v>
      </c>
      <c r="B73" s="308">
        <f t="shared" si="4"/>
        <v>26</v>
      </c>
      <c r="C73" s="99">
        <f t="shared" si="5"/>
        <v>6615813</v>
      </c>
      <c r="D73" s="99"/>
      <c r="E73" s="303">
        <f>E71</f>
        <v>0.06127</v>
      </c>
      <c r="F73" s="99">
        <f>((C72+D72)*E73/360*B72)+((C73+D73)*E73/360*B73)</f>
        <v>105359.06077033334</v>
      </c>
      <c r="G73" s="99">
        <f>G71</f>
        <v>2064</v>
      </c>
      <c r="H73" s="300">
        <f>SUM(F67:G73)</f>
        <v>440871.62191375</v>
      </c>
      <c r="I73" s="300">
        <f>SUM(D66:D73)</f>
        <v>630080</v>
      </c>
      <c r="J73" s="301">
        <f>SUM(H73:I73)</f>
        <v>1070951.62191375</v>
      </c>
    </row>
    <row r="74" spans="1:10" ht="12.75">
      <c r="A74" s="103">
        <v>42434</v>
      </c>
      <c r="B74" s="306">
        <f aca="true" t="shared" si="6" ref="B74:B105">A74-A73</f>
        <v>65</v>
      </c>
      <c r="C74" s="42">
        <f aca="true" t="shared" si="7" ref="C74:C105">C73-D74</f>
        <v>6458293</v>
      </c>
      <c r="D74" s="42">
        <f>D72</f>
        <v>157520</v>
      </c>
      <c r="E74" s="104"/>
      <c r="F74" s="104"/>
      <c r="G74" s="104"/>
      <c r="H74" s="104"/>
      <c r="I74" s="104"/>
      <c r="J74" s="242"/>
    </row>
    <row r="75" spans="1:10" ht="12.75">
      <c r="A75" s="90">
        <v>42460</v>
      </c>
      <c r="B75" s="307">
        <f t="shared" si="6"/>
        <v>26</v>
      </c>
      <c r="C75" s="41">
        <f t="shared" si="7"/>
        <v>6458293</v>
      </c>
      <c r="D75" s="41"/>
      <c r="E75" s="302">
        <f>E73</f>
        <v>0.06127</v>
      </c>
      <c r="F75" s="41">
        <f>((C74+D74)*E75/360*B74)+((C75+D75)*E75/360*B75)</f>
        <v>101766.65549447222</v>
      </c>
      <c r="G75" s="41">
        <f>G73</f>
        <v>2064</v>
      </c>
      <c r="H75" s="91"/>
      <c r="I75" s="91"/>
      <c r="J75" s="231"/>
    </row>
    <row r="76" spans="1:10" ht="12.75">
      <c r="A76" s="90">
        <v>42526</v>
      </c>
      <c r="B76" s="307">
        <f t="shared" si="6"/>
        <v>66</v>
      </c>
      <c r="C76" s="41">
        <f t="shared" si="7"/>
        <v>6300773</v>
      </c>
      <c r="D76" s="41">
        <f>D74</f>
        <v>157520</v>
      </c>
      <c r="E76" s="302"/>
      <c r="F76" s="41"/>
      <c r="G76" s="41"/>
      <c r="H76" s="91"/>
      <c r="I76" s="91"/>
      <c r="J76" s="231"/>
    </row>
    <row r="77" spans="1:10" ht="12.75">
      <c r="A77" s="90">
        <v>42551</v>
      </c>
      <c r="B77" s="307">
        <f t="shared" si="6"/>
        <v>25</v>
      </c>
      <c r="C77" s="41">
        <f t="shared" si="7"/>
        <v>6300773</v>
      </c>
      <c r="D77" s="41"/>
      <c r="E77" s="302">
        <f>E75</f>
        <v>0.06127</v>
      </c>
      <c r="F77" s="41">
        <f>((C76+D76)*E77/360*B76)+((C77+D77)*E77/360*B77)</f>
        <v>99353.84289447223</v>
      </c>
      <c r="G77" s="41">
        <f>G75</f>
        <v>2064</v>
      </c>
      <c r="H77" s="91"/>
      <c r="I77" s="91"/>
      <c r="J77" s="231"/>
    </row>
    <row r="78" spans="1:10" ht="12.75">
      <c r="A78" s="90">
        <v>42618</v>
      </c>
      <c r="B78" s="307">
        <f t="shared" si="6"/>
        <v>67</v>
      </c>
      <c r="C78" s="41">
        <f t="shared" si="7"/>
        <v>6143253</v>
      </c>
      <c r="D78" s="41">
        <f>D76</f>
        <v>157520</v>
      </c>
      <c r="E78" s="302"/>
      <c r="F78" s="41"/>
      <c r="G78" s="41"/>
      <c r="H78" s="91"/>
      <c r="I78" s="91"/>
      <c r="J78" s="231"/>
    </row>
    <row r="79" spans="1:10" ht="12.75">
      <c r="A79" s="90">
        <v>42643</v>
      </c>
      <c r="B79" s="307">
        <f t="shared" si="6"/>
        <v>25</v>
      </c>
      <c r="C79" s="41">
        <f t="shared" si="7"/>
        <v>6143253</v>
      </c>
      <c r="D79" s="41"/>
      <c r="E79" s="302">
        <f>E77</f>
        <v>0.06127</v>
      </c>
      <c r="F79" s="41">
        <f>((C78+D78)*E79/360*B78)+((C79+D79)*E79/360*B79)</f>
        <v>97986.57782588887</v>
      </c>
      <c r="G79" s="41">
        <f>G77</f>
        <v>2064</v>
      </c>
      <c r="H79" s="91"/>
      <c r="I79" s="91"/>
      <c r="J79" s="231"/>
    </row>
    <row r="80" spans="1:10" ht="12.75">
      <c r="A80" s="90">
        <v>42709</v>
      </c>
      <c r="B80" s="307">
        <f t="shared" si="6"/>
        <v>66</v>
      </c>
      <c r="C80" s="41">
        <f t="shared" si="7"/>
        <v>5985733</v>
      </c>
      <c r="D80" s="41">
        <f>D78</f>
        <v>157520</v>
      </c>
      <c r="E80" s="302"/>
      <c r="F80" s="41"/>
      <c r="G80" s="41"/>
      <c r="H80" s="91"/>
      <c r="I80" s="91"/>
      <c r="J80" s="231"/>
    </row>
    <row r="81" spans="1:10" ht="12.75">
      <c r="A81" s="97">
        <v>42735</v>
      </c>
      <c r="B81" s="308">
        <f t="shared" si="6"/>
        <v>26</v>
      </c>
      <c r="C81" s="99">
        <f t="shared" si="7"/>
        <v>5985733</v>
      </c>
      <c r="D81" s="99"/>
      <c r="E81" s="303">
        <f>E79</f>
        <v>0.06127</v>
      </c>
      <c r="F81" s="99">
        <f>((C80+D80)*E81/360*B80)+((C81+D81)*E81/360*B81)</f>
        <v>95493.33813922224</v>
      </c>
      <c r="G81" s="99">
        <f>G79</f>
        <v>2064</v>
      </c>
      <c r="H81" s="300">
        <f>SUM(F75:G81)</f>
        <v>402856.41435405554</v>
      </c>
      <c r="I81" s="300">
        <f>SUM(D74:D81)</f>
        <v>630080</v>
      </c>
      <c r="J81" s="301">
        <f>SUM(H81:I81)</f>
        <v>1032936.4143540555</v>
      </c>
    </row>
    <row r="82" spans="1:10" ht="12.75">
      <c r="A82" s="103">
        <v>42799</v>
      </c>
      <c r="B82" s="306">
        <f t="shared" si="6"/>
        <v>64</v>
      </c>
      <c r="C82" s="42">
        <f t="shared" si="7"/>
        <v>5828213</v>
      </c>
      <c r="D82" s="42">
        <f>D80</f>
        <v>157520</v>
      </c>
      <c r="E82" s="104"/>
      <c r="F82" s="104"/>
      <c r="G82" s="104"/>
      <c r="H82" s="104"/>
      <c r="I82" s="104"/>
      <c r="J82" s="242"/>
    </row>
    <row r="83" spans="1:10" ht="12.75">
      <c r="A83" s="90">
        <v>42825</v>
      </c>
      <c r="B83" s="307">
        <f t="shared" si="6"/>
        <v>26</v>
      </c>
      <c r="C83" s="41">
        <f t="shared" si="7"/>
        <v>5828213</v>
      </c>
      <c r="D83" s="41"/>
      <c r="E83" s="302">
        <f>E81</f>
        <v>0.06127</v>
      </c>
      <c r="F83" s="41">
        <f>((C82+D82)*E83/360*B82)+((C83+D83)*E83/360*B83)</f>
        <v>90989.4304763889</v>
      </c>
      <c r="G83" s="41">
        <f>G81</f>
        <v>2064</v>
      </c>
      <c r="H83" s="91"/>
      <c r="I83" s="91"/>
      <c r="J83" s="231"/>
    </row>
    <row r="84" spans="1:10" ht="12.75">
      <c r="A84" s="90">
        <v>42891</v>
      </c>
      <c r="B84" s="307">
        <f t="shared" si="6"/>
        <v>66</v>
      </c>
      <c r="C84" s="41">
        <f t="shared" si="7"/>
        <v>5670693</v>
      </c>
      <c r="D84" s="41">
        <f>D82</f>
        <v>157520</v>
      </c>
      <c r="E84" s="302"/>
      <c r="F84" s="41"/>
      <c r="G84" s="41"/>
      <c r="H84" s="91"/>
      <c r="I84" s="91"/>
      <c r="J84" s="231"/>
    </row>
    <row r="85" spans="1:10" ht="12.75">
      <c r="A85" s="90">
        <v>42916</v>
      </c>
      <c r="B85" s="307">
        <f t="shared" si="6"/>
        <v>25</v>
      </c>
      <c r="C85" s="41">
        <f t="shared" si="7"/>
        <v>5670693</v>
      </c>
      <c r="D85" s="41"/>
      <c r="E85" s="302">
        <f>E83</f>
        <v>0.06127</v>
      </c>
      <c r="F85" s="41">
        <f>((C84+D84)*E85/360*B84)+((C85+D85)*E85/360*B85)</f>
        <v>89595.35637891665</v>
      </c>
      <c r="G85" s="41">
        <f>G83</f>
        <v>2064</v>
      </c>
      <c r="H85" s="91"/>
      <c r="I85" s="91"/>
      <c r="J85" s="231"/>
    </row>
    <row r="86" spans="1:10" ht="12.75">
      <c r="A86" s="90">
        <v>42983</v>
      </c>
      <c r="B86" s="307">
        <f t="shared" si="6"/>
        <v>67</v>
      </c>
      <c r="C86" s="41">
        <f t="shared" si="7"/>
        <v>5513173</v>
      </c>
      <c r="D86" s="41">
        <f>D84</f>
        <v>157520</v>
      </c>
      <c r="E86" s="302"/>
      <c r="F86" s="41"/>
      <c r="G86" s="41"/>
      <c r="H86" s="91"/>
      <c r="I86" s="91"/>
      <c r="J86" s="231"/>
    </row>
    <row r="87" spans="1:10" ht="12.75">
      <c r="A87" s="90">
        <v>43008</v>
      </c>
      <c r="B87" s="307">
        <f t="shared" si="6"/>
        <v>25</v>
      </c>
      <c r="C87" s="41">
        <f t="shared" si="7"/>
        <v>5513173</v>
      </c>
      <c r="D87" s="41"/>
      <c r="E87" s="302">
        <f>E85</f>
        <v>0.06127</v>
      </c>
      <c r="F87" s="41">
        <f>((C86+D86)*E87/360*B86)+((C87+D87)*E87/360*B87)</f>
        <v>88120.85519477777</v>
      </c>
      <c r="G87" s="41">
        <f>G85</f>
        <v>2064</v>
      </c>
      <c r="H87" s="91"/>
      <c r="I87" s="91"/>
      <c r="J87" s="231"/>
    </row>
    <row r="88" spans="1:10" ht="12.75">
      <c r="A88" s="90">
        <v>43074</v>
      </c>
      <c r="B88" s="307">
        <f t="shared" si="6"/>
        <v>66</v>
      </c>
      <c r="C88" s="41">
        <f t="shared" si="7"/>
        <v>5355653</v>
      </c>
      <c r="D88" s="41">
        <f>D86</f>
        <v>157520</v>
      </c>
      <c r="E88" s="302"/>
      <c r="F88" s="41"/>
      <c r="G88" s="41"/>
      <c r="H88" s="91"/>
      <c r="I88" s="91"/>
      <c r="J88" s="231"/>
    </row>
    <row r="89" spans="1:10" ht="12.75">
      <c r="A89" s="97">
        <v>43100</v>
      </c>
      <c r="B89" s="308">
        <f t="shared" si="6"/>
        <v>26</v>
      </c>
      <c r="C89" s="99">
        <f t="shared" si="7"/>
        <v>5355653</v>
      </c>
      <c r="D89" s="99"/>
      <c r="E89" s="303">
        <f>E87</f>
        <v>0.06127</v>
      </c>
      <c r="F89" s="99">
        <f>((C88+D88)*E89/360*B88)+((C89+D89)*E89/360*B89)</f>
        <v>85627.6155081111</v>
      </c>
      <c r="G89" s="99">
        <f>G87</f>
        <v>2064</v>
      </c>
      <c r="H89" s="300">
        <f>SUM(F83:G89)</f>
        <v>362589.25755819445</v>
      </c>
      <c r="I89" s="300">
        <f>SUM(D82:D89)</f>
        <v>630080</v>
      </c>
      <c r="J89" s="301">
        <f>SUM(H89:I89)</f>
        <v>992669.2575581945</v>
      </c>
    </row>
    <row r="90" spans="1:10" ht="12.75">
      <c r="A90" s="103">
        <v>43164</v>
      </c>
      <c r="B90" s="306">
        <f t="shared" si="6"/>
        <v>64</v>
      </c>
      <c r="C90" s="42">
        <f t="shared" si="7"/>
        <v>5198133</v>
      </c>
      <c r="D90" s="42">
        <f>D88</f>
        <v>157520</v>
      </c>
      <c r="E90" s="104"/>
      <c r="F90" s="104"/>
      <c r="G90" s="104"/>
      <c r="H90" s="104"/>
      <c r="I90" s="104"/>
      <c r="J90" s="242"/>
    </row>
    <row r="91" spans="1:10" ht="12.75">
      <c r="A91" s="90">
        <v>43190</v>
      </c>
      <c r="B91" s="307">
        <f t="shared" si="6"/>
        <v>26</v>
      </c>
      <c r="C91" s="41">
        <f t="shared" si="7"/>
        <v>5198133</v>
      </c>
      <c r="D91" s="41"/>
      <c r="E91" s="302">
        <f>E89</f>
        <v>0.06127</v>
      </c>
      <c r="F91" s="41">
        <f>((C90+D90)*E91/360*B90)+((C91+D91)*E91/360*B91)</f>
        <v>81338.18007638888</v>
      </c>
      <c r="G91" s="41">
        <f>G89</f>
        <v>2064</v>
      </c>
      <c r="H91" s="91"/>
      <c r="I91" s="91"/>
      <c r="J91" s="231"/>
    </row>
    <row r="92" spans="1:10" ht="12.75">
      <c r="A92" s="90">
        <v>43256</v>
      </c>
      <c r="B92" s="307">
        <f t="shared" si="6"/>
        <v>66</v>
      </c>
      <c r="C92" s="41">
        <f t="shared" si="7"/>
        <v>5040613</v>
      </c>
      <c r="D92" s="41">
        <f>D90</f>
        <v>157520</v>
      </c>
      <c r="E92" s="302"/>
      <c r="F92" s="41"/>
      <c r="G92" s="41"/>
      <c r="H92" s="91"/>
      <c r="I92" s="91"/>
      <c r="J92" s="231"/>
    </row>
    <row r="93" spans="1:10" ht="12.75">
      <c r="A93" s="90">
        <v>43281</v>
      </c>
      <c r="B93" s="307">
        <f t="shared" si="6"/>
        <v>25</v>
      </c>
      <c r="C93" s="41">
        <f t="shared" si="7"/>
        <v>5040613</v>
      </c>
      <c r="D93" s="41"/>
      <c r="E93" s="302">
        <f>E91</f>
        <v>0.06127</v>
      </c>
      <c r="F93" s="41">
        <f>((C92+D92)*E93/360*B92)+((C93+D93)*E93/360*B93)</f>
        <v>79836.8698633611</v>
      </c>
      <c r="G93" s="41">
        <f>G91</f>
        <v>2064</v>
      </c>
      <c r="H93" s="91"/>
      <c r="I93" s="91"/>
      <c r="J93" s="231"/>
    </row>
    <row r="94" spans="1:10" ht="12.75">
      <c r="A94" s="90">
        <v>43348</v>
      </c>
      <c r="B94" s="307">
        <f t="shared" si="6"/>
        <v>67</v>
      </c>
      <c r="C94" s="41">
        <f t="shared" si="7"/>
        <v>4883093</v>
      </c>
      <c r="D94" s="41">
        <f>D92</f>
        <v>157520</v>
      </c>
      <c r="E94" s="302"/>
      <c r="F94" s="41"/>
      <c r="G94" s="41"/>
      <c r="H94" s="91"/>
      <c r="I94" s="91"/>
      <c r="J94" s="231"/>
    </row>
    <row r="95" spans="1:10" ht="12.75">
      <c r="A95" s="90">
        <v>43373</v>
      </c>
      <c r="B95" s="307">
        <f t="shared" si="6"/>
        <v>25</v>
      </c>
      <c r="C95" s="41">
        <f t="shared" si="7"/>
        <v>4883093</v>
      </c>
      <c r="D95" s="41"/>
      <c r="E95" s="302">
        <f>E93</f>
        <v>0.06127</v>
      </c>
      <c r="F95" s="41">
        <f>((C94+D94)*E95/360*B94)+((C95+D95)*E95/360*B95)</f>
        <v>78255.13256366667</v>
      </c>
      <c r="G95" s="41">
        <f>G93</f>
        <v>2064</v>
      </c>
      <c r="H95" s="91"/>
      <c r="I95" s="91"/>
      <c r="J95" s="231"/>
    </row>
    <row r="96" spans="1:10" ht="12.75">
      <c r="A96" s="90">
        <v>43439</v>
      </c>
      <c r="B96" s="307">
        <f t="shared" si="6"/>
        <v>66</v>
      </c>
      <c r="C96" s="41">
        <f t="shared" si="7"/>
        <v>4725573</v>
      </c>
      <c r="D96" s="41">
        <f>D94</f>
        <v>157520</v>
      </c>
      <c r="E96" s="302"/>
      <c r="F96" s="41"/>
      <c r="G96" s="41"/>
      <c r="H96" s="91"/>
      <c r="I96" s="91"/>
      <c r="J96" s="231"/>
    </row>
    <row r="97" spans="1:10" ht="12.75">
      <c r="A97" s="97">
        <v>43465</v>
      </c>
      <c r="B97" s="308">
        <f t="shared" si="6"/>
        <v>26</v>
      </c>
      <c r="C97" s="99">
        <f t="shared" si="7"/>
        <v>4725573</v>
      </c>
      <c r="D97" s="99"/>
      <c r="E97" s="303">
        <f>E95</f>
        <v>0.06127</v>
      </c>
      <c r="F97" s="99">
        <f>((C96+D96)*E97/360*B96)+((C97+D97)*E97/360*B97)</f>
        <v>75761.89287699999</v>
      </c>
      <c r="G97" s="99">
        <f>G95</f>
        <v>2064</v>
      </c>
      <c r="H97" s="300">
        <f>SUM(F91:G97)</f>
        <v>323448.07538041665</v>
      </c>
      <c r="I97" s="300">
        <f>SUM(D90:D97)</f>
        <v>630080</v>
      </c>
      <c r="J97" s="301">
        <f>SUM(H97:I97)</f>
        <v>953528.0753804166</v>
      </c>
    </row>
    <row r="98" spans="1:10" ht="12.75">
      <c r="A98" s="103">
        <v>43529</v>
      </c>
      <c r="B98" s="306">
        <f t="shared" si="6"/>
        <v>64</v>
      </c>
      <c r="C98" s="42">
        <f t="shared" si="7"/>
        <v>4568053</v>
      </c>
      <c r="D98" s="42">
        <f>D96</f>
        <v>157520</v>
      </c>
      <c r="E98" s="104"/>
      <c r="F98" s="104"/>
      <c r="G98" s="104"/>
      <c r="H98" s="104"/>
      <c r="I98" s="104"/>
      <c r="J98" s="242"/>
    </row>
    <row r="99" spans="1:10" ht="12.75">
      <c r="A99" s="90">
        <v>43555</v>
      </c>
      <c r="B99" s="307">
        <f t="shared" si="6"/>
        <v>26</v>
      </c>
      <c r="C99" s="41">
        <f t="shared" si="7"/>
        <v>4568053</v>
      </c>
      <c r="D99" s="41"/>
      <c r="E99" s="302">
        <f>E97</f>
        <v>0.06127</v>
      </c>
      <c r="F99" s="41">
        <f>((C98+D98)*E99/360*B98)+((C99+D99)*E99/360*B99)</f>
        <v>71686.92967638889</v>
      </c>
      <c r="G99" s="41">
        <f>G97</f>
        <v>2064</v>
      </c>
      <c r="H99" s="91"/>
      <c r="I99" s="91"/>
      <c r="J99" s="231"/>
    </row>
    <row r="100" spans="1:10" ht="12.75">
      <c r="A100" s="90">
        <v>43621</v>
      </c>
      <c r="B100" s="307">
        <f t="shared" si="6"/>
        <v>66</v>
      </c>
      <c r="C100" s="41">
        <f t="shared" si="7"/>
        <v>4410533</v>
      </c>
      <c r="D100" s="41">
        <f>D98</f>
        <v>157520</v>
      </c>
      <c r="E100" s="302"/>
      <c r="F100" s="41"/>
      <c r="G100" s="41"/>
      <c r="H100" s="91"/>
      <c r="I100" s="91"/>
      <c r="J100" s="231"/>
    </row>
    <row r="101" spans="1:10" ht="12.75">
      <c r="A101" s="90">
        <v>43646</v>
      </c>
      <c r="B101" s="307">
        <f t="shared" si="6"/>
        <v>25</v>
      </c>
      <c r="C101" s="41">
        <f t="shared" si="7"/>
        <v>4410533</v>
      </c>
      <c r="D101" s="41"/>
      <c r="E101" s="302">
        <f>E99</f>
        <v>0.06127</v>
      </c>
      <c r="F101" s="41">
        <f>((C100+D100)*E101/360*B100)+((C101+D101)*E101/360*B101)</f>
        <v>70078.38334780556</v>
      </c>
      <c r="G101" s="41">
        <f>G99</f>
        <v>2064</v>
      </c>
      <c r="H101" s="91"/>
      <c r="I101" s="91"/>
      <c r="J101" s="231"/>
    </row>
    <row r="102" spans="1:10" ht="12.75">
      <c r="A102" s="90">
        <v>43713</v>
      </c>
      <c r="B102" s="307">
        <f t="shared" si="6"/>
        <v>67</v>
      </c>
      <c r="C102" s="41">
        <f t="shared" si="7"/>
        <v>4253013</v>
      </c>
      <c r="D102" s="41">
        <f>D100</f>
        <v>157520</v>
      </c>
      <c r="E102" s="302"/>
      <c r="F102" s="41"/>
      <c r="G102" s="41"/>
      <c r="H102" s="91"/>
      <c r="I102" s="91"/>
      <c r="J102" s="231"/>
    </row>
    <row r="103" spans="1:10" ht="12.75">
      <c r="A103" s="90">
        <v>43738</v>
      </c>
      <c r="B103" s="307">
        <f t="shared" si="6"/>
        <v>25</v>
      </c>
      <c r="C103" s="41">
        <f t="shared" si="7"/>
        <v>4253013</v>
      </c>
      <c r="D103" s="41"/>
      <c r="E103" s="302">
        <f>E101</f>
        <v>0.06127</v>
      </c>
      <c r="F103" s="41">
        <f>((C102+D102)*E103/360*B102)+((C103+D103)*E103/360*B103)</f>
        <v>68389.40993255554</v>
      </c>
      <c r="G103" s="41">
        <f>G101</f>
        <v>2064</v>
      </c>
      <c r="H103" s="91"/>
      <c r="I103" s="91"/>
      <c r="J103" s="231"/>
    </row>
    <row r="104" spans="1:10" ht="12.75">
      <c r="A104" s="90">
        <v>43804</v>
      </c>
      <c r="B104" s="307">
        <f t="shared" si="6"/>
        <v>66</v>
      </c>
      <c r="C104" s="41">
        <f t="shared" si="7"/>
        <v>4095493</v>
      </c>
      <c r="D104" s="41">
        <f>D102</f>
        <v>157520</v>
      </c>
      <c r="E104" s="302"/>
      <c r="F104" s="41"/>
      <c r="G104" s="41"/>
      <c r="H104" s="91"/>
      <c r="I104" s="91"/>
      <c r="J104" s="231"/>
    </row>
    <row r="105" spans="1:10" ht="12.75">
      <c r="A105" s="97">
        <v>43830</v>
      </c>
      <c r="B105" s="308">
        <f t="shared" si="6"/>
        <v>26</v>
      </c>
      <c r="C105" s="99">
        <f t="shared" si="7"/>
        <v>4095493</v>
      </c>
      <c r="D105" s="99"/>
      <c r="E105" s="303">
        <f>E103</f>
        <v>0.06127</v>
      </c>
      <c r="F105" s="99">
        <f>((C104+D104)*E105/360*B104)+((C105+D105)*E105/360*B105)</f>
        <v>65896.17024588888</v>
      </c>
      <c r="G105" s="99">
        <f>G103</f>
        <v>2064</v>
      </c>
      <c r="H105" s="300">
        <f>SUM(F99:G105)</f>
        <v>284306.89320263884</v>
      </c>
      <c r="I105" s="300">
        <f>SUM(D98:D105)</f>
        <v>630080</v>
      </c>
      <c r="J105" s="301">
        <f>SUM(H105:I105)</f>
        <v>914386.8932026388</v>
      </c>
    </row>
    <row r="106" spans="1:10" ht="12.75">
      <c r="A106" s="103">
        <v>43895</v>
      </c>
      <c r="B106" s="306">
        <f aca="true" t="shared" si="8" ref="B106:B137">A106-A105</f>
        <v>65</v>
      </c>
      <c r="C106" s="42">
        <f aca="true" t="shared" si="9" ref="C106:C137">C105-D106</f>
        <v>3937973</v>
      </c>
      <c r="D106" s="42">
        <f>D104</f>
        <v>157520</v>
      </c>
      <c r="E106" s="104"/>
      <c r="F106" s="104"/>
      <c r="G106" s="104"/>
      <c r="H106" s="104"/>
      <c r="I106" s="104"/>
      <c r="J106" s="242"/>
    </row>
    <row r="107" spans="1:10" ht="12.75">
      <c r="A107" s="90">
        <v>43921</v>
      </c>
      <c r="B107" s="307">
        <f t="shared" si="8"/>
        <v>26</v>
      </c>
      <c r="C107" s="41">
        <f t="shared" si="9"/>
        <v>3937973</v>
      </c>
      <c r="D107" s="41"/>
      <c r="E107" s="302">
        <f>E105</f>
        <v>0.06127</v>
      </c>
      <c r="F107" s="41">
        <f>((C106+D106)*E107/360*B106)+((C107+D107)*E107/360*B107)</f>
        <v>62732.70943225</v>
      </c>
      <c r="G107" s="41">
        <f>G105</f>
        <v>2064</v>
      </c>
      <c r="H107" s="91"/>
      <c r="I107" s="91"/>
      <c r="J107" s="231"/>
    </row>
    <row r="108" spans="1:10" ht="12.75">
      <c r="A108" s="90">
        <v>43987</v>
      </c>
      <c r="B108" s="307">
        <f t="shared" si="8"/>
        <v>66</v>
      </c>
      <c r="C108" s="41">
        <f t="shared" si="9"/>
        <v>3780453</v>
      </c>
      <c r="D108" s="41">
        <f>D106</f>
        <v>157520</v>
      </c>
      <c r="E108" s="302"/>
      <c r="F108" s="41"/>
      <c r="G108" s="41"/>
      <c r="H108" s="91"/>
      <c r="I108" s="91"/>
      <c r="J108" s="231"/>
    </row>
    <row r="109" spans="1:10" ht="12.75">
      <c r="A109" s="90">
        <v>44012</v>
      </c>
      <c r="B109" s="307">
        <f t="shared" si="8"/>
        <v>25</v>
      </c>
      <c r="C109" s="41">
        <f t="shared" si="9"/>
        <v>3780453</v>
      </c>
      <c r="D109" s="41"/>
      <c r="E109" s="302">
        <f>E107</f>
        <v>0.06127</v>
      </c>
      <c r="F109" s="41">
        <f>((C108+D108)*E109/360*B108)+((C109+D109)*E109/360*B109)</f>
        <v>60319.89683225</v>
      </c>
      <c r="G109" s="41">
        <f>G107</f>
        <v>2064</v>
      </c>
      <c r="H109" s="91"/>
      <c r="I109" s="91"/>
      <c r="J109" s="231"/>
    </row>
    <row r="110" spans="1:10" ht="12.75">
      <c r="A110" s="90">
        <v>44079</v>
      </c>
      <c r="B110" s="307">
        <f t="shared" si="8"/>
        <v>67</v>
      </c>
      <c r="C110" s="41">
        <f t="shared" si="9"/>
        <v>3622933</v>
      </c>
      <c r="D110" s="41">
        <f>D108</f>
        <v>157520</v>
      </c>
      <c r="E110" s="302"/>
      <c r="F110" s="41"/>
      <c r="G110" s="41"/>
      <c r="H110" s="91"/>
      <c r="I110" s="91"/>
      <c r="J110" s="231"/>
    </row>
    <row r="111" spans="1:10" ht="12.75">
      <c r="A111" s="90">
        <v>44104</v>
      </c>
      <c r="B111" s="307">
        <f t="shared" si="8"/>
        <v>25</v>
      </c>
      <c r="C111" s="41">
        <f t="shared" si="9"/>
        <v>3622933</v>
      </c>
      <c r="D111" s="41"/>
      <c r="E111" s="302">
        <f>E109</f>
        <v>0.06127</v>
      </c>
      <c r="F111" s="41">
        <f>((C110+D110)*E111/360*B110)+((C111+D111)*E111/360*B111)</f>
        <v>58523.687301444435</v>
      </c>
      <c r="G111" s="41">
        <f>G109</f>
        <v>2064</v>
      </c>
      <c r="H111" s="91"/>
      <c r="I111" s="91"/>
      <c r="J111" s="231"/>
    </row>
    <row r="112" spans="1:10" ht="12.75">
      <c r="A112" s="90">
        <v>44170</v>
      </c>
      <c r="B112" s="307">
        <f t="shared" si="8"/>
        <v>66</v>
      </c>
      <c r="C112" s="41">
        <f t="shared" si="9"/>
        <v>3465413</v>
      </c>
      <c r="D112" s="41">
        <f>D110</f>
        <v>157520</v>
      </c>
      <c r="E112" s="302"/>
      <c r="F112" s="41"/>
      <c r="G112" s="41"/>
      <c r="H112" s="91"/>
      <c r="I112" s="91"/>
      <c r="J112" s="231"/>
    </row>
    <row r="113" spans="1:10" ht="12.75">
      <c r="A113" s="97">
        <v>44196</v>
      </c>
      <c r="B113" s="308">
        <f t="shared" si="8"/>
        <v>26</v>
      </c>
      <c r="C113" s="99">
        <f t="shared" si="9"/>
        <v>3465413</v>
      </c>
      <c r="D113" s="99"/>
      <c r="E113" s="303">
        <f>E111</f>
        <v>0.06127</v>
      </c>
      <c r="F113" s="99">
        <f>((C112+D112)*E113/360*B112)+((C113+D113)*E113/360*B113)</f>
        <v>56030.447614777775</v>
      </c>
      <c r="G113" s="99">
        <f>G111</f>
        <v>2064</v>
      </c>
      <c r="H113" s="300">
        <f>SUM(F107:G113)</f>
        <v>245862.74118072222</v>
      </c>
      <c r="I113" s="300">
        <f>SUM(D106:D113)</f>
        <v>630080</v>
      </c>
      <c r="J113" s="301">
        <f>SUM(H113:I113)</f>
        <v>875942.7411807223</v>
      </c>
    </row>
    <row r="114" spans="1:10" ht="12.75">
      <c r="A114" s="103">
        <v>44260</v>
      </c>
      <c r="B114" s="306">
        <f t="shared" si="8"/>
        <v>64</v>
      </c>
      <c r="C114" s="42">
        <f t="shared" si="9"/>
        <v>3307893</v>
      </c>
      <c r="D114" s="42">
        <f>D112</f>
        <v>157520</v>
      </c>
      <c r="E114" s="104"/>
      <c r="F114" s="104"/>
      <c r="G114" s="104"/>
      <c r="H114" s="104"/>
      <c r="I114" s="104"/>
      <c r="J114" s="242"/>
    </row>
    <row r="115" spans="1:10" ht="12.75">
      <c r="A115" s="90">
        <v>44286</v>
      </c>
      <c r="B115" s="307">
        <f t="shared" si="8"/>
        <v>26</v>
      </c>
      <c r="C115" s="41">
        <f t="shared" si="9"/>
        <v>3307893</v>
      </c>
      <c r="D115" s="41"/>
      <c r="E115" s="302">
        <f>E113</f>
        <v>0.06127</v>
      </c>
      <c r="F115" s="41">
        <f>((C114+D114)*E115/360*B114)+((C115+D115)*E115/360*B115)</f>
        <v>52384.42887638889</v>
      </c>
      <c r="G115" s="41">
        <f>G113</f>
        <v>2064</v>
      </c>
      <c r="H115" s="91"/>
      <c r="I115" s="91"/>
      <c r="J115" s="231"/>
    </row>
    <row r="116" spans="1:10" ht="12.75">
      <c r="A116" s="90">
        <v>44352</v>
      </c>
      <c r="B116" s="307">
        <f t="shared" si="8"/>
        <v>66</v>
      </c>
      <c r="C116" s="41">
        <f t="shared" si="9"/>
        <v>3150373</v>
      </c>
      <c r="D116" s="41">
        <f>D114</f>
        <v>157520</v>
      </c>
      <c r="E116" s="302"/>
      <c r="F116" s="41"/>
      <c r="G116" s="41"/>
      <c r="H116" s="91"/>
      <c r="I116" s="91"/>
      <c r="J116" s="231"/>
    </row>
    <row r="117" spans="1:10" ht="12.75">
      <c r="A117" s="90">
        <v>44377</v>
      </c>
      <c r="B117" s="307">
        <f t="shared" si="8"/>
        <v>25</v>
      </c>
      <c r="C117" s="41">
        <f t="shared" si="9"/>
        <v>3150373</v>
      </c>
      <c r="D117" s="41"/>
      <c r="E117" s="302">
        <f>E115</f>
        <v>0.06127</v>
      </c>
      <c r="F117" s="41">
        <f>((C116+D116)*E117/360*B116)+((C117+D117)*E117/360*B117)</f>
        <v>50561.41031669444</v>
      </c>
      <c r="G117" s="41">
        <f>G115</f>
        <v>2064</v>
      </c>
      <c r="H117" s="91"/>
      <c r="I117" s="91"/>
      <c r="J117" s="231"/>
    </row>
    <row r="118" spans="1:10" ht="12.75">
      <c r="A118" s="90">
        <v>44444</v>
      </c>
      <c r="B118" s="307">
        <f t="shared" si="8"/>
        <v>67</v>
      </c>
      <c r="C118" s="41">
        <f t="shared" si="9"/>
        <v>2992853</v>
      </c>
      <c r="D118" s="41">
        <f>D116</f>
        <v>157520</v>
      </c>
      <c r="E118" s="302"/>
      <c r="F118" s="41"/>
      <c r="G118" s="41"/>
      <c r="H118" s="91"/>
      <c r="I118" s="91"/>
      <c r="J118" s="231"/>
    </row>
    <row r="119" spans="1:10" ht="12.75">
      <c r="A119" s="90">
        <v>44469</v>
      </c>
      <c r="B119" s="307">
        <f t="shared" si="8"/>
        <v>25</v>
      </c>
      <c r="C119" s="41">
        <f t="shared" si="9"/>
        <v>2992853</v>
      </c>
      <c r="D119" s="41"/>
      <c r="E119" s="302">
        <f>E117</f>
        <v>0.06127</v>
      </c>
      <c r="F119" s="41">
        <f>((C118+D118)*E119/360*B118)+((C119+D119)*E119/360*B119)</f>
        <v>48657.964670333335</v>
      </c>
      <c r="G119" s="41">
        <f>G117</f>
        <v>2064</v>
      </c>
      <c r="H119" s="91"/>
      <c r="I119" s="91"/>
      <c r="J119" s="231"/>
    </row>
    <row r="120" spans="1:10" ht="12.75">
      <c r="A120" s="90">
        <v>44535</v>
      </c>
      <c r="B120" s="307">
        <f t="shared" si="8"/>
        <v>66</v>
      </c>
      <c r="C120" s="41">
        <f t="shared" si="9"/>
        <v>2835333</v>
      </c>
      <c r="D120" s="41">
        <f>D118</f>
        <v>157520</v>
      </c>
      <c r="E120" s="302"/>
      <c r="F120" s="41"/>
      <c r="G120" s="41"/>
      <c r="H120" s="91"/>
      <c r="I120" s="91"/>
      <c r="J120" s="231"/>
    </row>
    <row r="121" spans="1:10" ht="12.75">
      <c r="A121" s="97">
        <v>44561</v>
      </c>
      <c r="B121" s="308">
        <f t="shared" si="8"/>
        <v>26</v>
      </c>
      <c r="C121" s="99">
        <f t="shared" si="9"/>
        <v>2835333</v>
      </c>
      <c r="D121" s="99"/>
      <c r="E121" s="303">
        <f>E119</f>
        <v>0.06127</v>
      </c>
      <c r="F121" s="99">
        <f>((C120+D120)*E121/360*B120)+((C121+D121)*E121/360*B121)</f>
        <v>46164.72498366667</v>
      </c>
      <c r="G121" s="99">
        <f>G119</f>
        <v>2064</v>
      </c>
      <c r="H121" s="300">
        <f>SUM(F115:G121)</f>
        <v>206024.52884708333</v>
      </c>
      <c r="I121" s="300">
        <f>SUM(D114:D121)</f>
        <v>630080</v>
      </c>
      <c r="J121" s="301">
        <f>SUM(H121:I121)</f>
        <v>836104.5288470833</v>
      </c>
    </row>
    <row r="122" spans="1:10" ht="12.75">
      <c r="A122" s="103">
        <v>44625</v>
      </c>
      <c r="B122" s="306">
        <f t="shared" si="8"/>
        <v>64</v>
      </c>
      <c r="C122" s="42">
        <f t="shared" si="9"/>
        <v>2677813</v>
      </c>
      <c r="D122" s="42">
        <f>D120</f>
        <v>157520</v>
      </c>
      <c r="E122" s="104"/>
      <c r="F122" s="104"/>
      <c r="G122" s="104"/>
      <c r="H122" s="104"/>
      <c r="I122" s="104"/>
      <c r="J122" s="242"/>
    </row>
    <row r="123" spans="1:10" ht="12.75">
      <c r="A123" s="90">
        <v>44651</v>
      </c>
      <c r="B123" s="307">
        <f t="shared" si="8"/>
        <v>26</v>
      </c>
      <c r="C123" s="41">
        <f t="shared" si="9"/>
        <v>2677813</v>
      </c>
      <c r="D123" s="41"/>
      <c r="E123" s="302">
        <f>E121</f>
        <v>0.06127</v>
      </c>
      <c r="F123" s="41">
        <f>((C122+D122)*E123/360*B122)+((C123+D123)*E123/360*B123)</f>
        <v>42733.178476388886</v>
      </c>
      <c r="G123" s="41">
        <f>G121</f>
        <v>2064</v>
      </c>
      <c r="H123" s="91"/>
      <c r="I123" s="91"/>
      <c r="J123" s="231"/>
    </row>
    <row r="124" spans="1:10" ht="12.75">
      <c r="A124" s="90">
        <v>44717</v>
      </c>
      <c r="B124" s="307">
        <f t="shared" si="8"/>
        <v>66</v>
      </c>
      <c r="C124" s="41">
        <f t="shared" si="9"/>
        <v>2520293</v>
      </c>
      <c r="D124" s="41">
        <f>D122</f>
        <v>157520</v>
      </c>
      <c r="E124" s="302"/>
      <c r="F124" s="41"/>
      <c r="G124" s="41"/>
      <c r="H124" s="91"/>
      <c r="I124" s="91"/>
      <c r="J124" s="231"/>
    </row>
    <row r="125" spans="1:10" ht="12.75">
      <c r="A125" s="90">
        <v>44742</v>
      </c>
      <c r="B125" s="307">
        <f t="shared" si="8"/>
        <v>25</v>
      </c>
      <c r="C125" s="41">
        <f t="shared" si="9"/>
        <v>2520293</v>
      </c>
      <c r="D125" s="41"/>
      <c r="E125" s="302">
        <f>E123</f>
        <v>0.06127</v>
      </c>
      <c r="F125" s="41">
        <f>((C124+D124)*E125/360*B124)+((C125+D125)*E125/360*B125)</f>
        <v>40802.92380113889</v>
      </c>
      <c r="G125" s="41">
        <f>G123</f>
        <v>2064</v>
      </c>
      <c r="H125" s="91"/>
      <c r="I125" s="91"/>
      <c r="J125" s="231"/>
    </row>
    <row r="126" spans="1:10" ht="12.75">
      <c r="A126" s="90">
        <v>44809</v>
      </c>
      <c r="B126" s="307">
        <f t="shared" si="8"/>
        <v>67</v>
      </c>
      <c r="C126" s="41">
        <f t="shared" si="9"/>
        <v>2362773</v>
      </c>
      <c r="D126" s="41">
        <f>D124</f>
        <v>157520</v>
      </c>
      <c r="E126" s="302"/>
      <c r="F126" s="41"/>
      <c r="G126" s="41"/>
      <c r="H126" s="91"/>
      <c r="I126" s="91"/>
      <c r="J126" s="231"/>
    </row>
    <row r="127" spans="1:10" ht="12.75">
      <c r="A127" s="90">
        <v>44834</v>
      </c>
      <c r="B127" s="307">
        <f t="shared" si="8"/>
        <v>25</v>
      </c>
      <c r="C127" s="41">
        <f t="shared" si="9"/>
        <v>2362773</v>
      </c>
      <c r="D127" s="41"/>
      <c r="E127" s="302">
        <f>E125</f>
        <v>0.06127</v>
      </c>
      <c r="F127" s="41">
        <f>((C126+D126)*E127/360*B126)+((C127+D127)*E127/360*B127)</f>
        <v>38792.24203922223</v>
      </c>
      <c r="G127" s="41">
        <f>G125</f>
        <v>2064</v>
      </c>
      <c r="H127" s="91"/>
      <c r="I127" s="91"/>
      <c r="J127" s="231"/>
    </row>
    <row r="128" spans="1:10" ht="12.75">
      <c r="A128" s="90">
        <v>44900</v>
      </c>
      <c r="B128" s="307">
        <f t="shared" si="8"/>
        <v>66</v>
      </c>
      <c r="C128" s="41">
        <f t="shared" si="9"/>
        <v>2205253</v>
      </c>
      <c r="D128" s="41">
        <f>D126</f>
        <v>157520</v>
      </c>
      <c r="E128" s="302"/>
      <c r="F128" s="41"/>
      <c r="G128" s="41"/>
      <c r="H128" s="91"/>
      <c r="I128" s="91"/>
      <c r="J128" s="231"/>
    </row>
    <row r="129" spans="1:10" ht="12.75">
      <c r="A129" s="97">
        <v>44926</v>
      </c>
      <c r="B129" s="308">
        <f t="shared" si="8"/>
        <v>26</v>
      </c>
      <c r="C129" s="99">
        <f t="shared" si="9"/>
        <v>2205253</v>
      </c>
      <c r="D129" s="99"/>
      <c r="E129" s="303">
        <f>E127</f>
        <v>0.06127</v>
      </c>
      <c r="F129" s="99">
        <f>((C128+D128)*E129/360*B128)+((C129+D129)*E129/360*B129)</f>
        <v>36299.00235255555</v>
      </c>
      <c r="G129" s="99">
        <f>G127</f>
        <v>2064</v>
      </c>
      <c r="H129" s="300">
        <f>SUM(F123:G129)</f>
        <v>166883.34666930555</v>
      </c>
      <c r="I129" s="300">
        <f>SUM(D122:D129)</f>
        <v>630080</v>
      </c>
      <c r="J129" s="301">
        <f>SUM(H129:I129)</f>
        <v>796963.3466693056</v>
      </c>
    </row>
    <row r="130" spans="1:10" ht="12.75">
      <c r="A130" s="103">
        <v>44990</v>
      </c>
      <c r="B130" s="306">
        <f t="shared" si="8"/>
        <v>64</v>
      </c>
      <c r="C130" s="42">
        <f t="shared" si="9"/>
        <v>2047733</v>
      </c>
      <c r="D130" s="42">
        <f>D128</f>
        <v>157520</v>
      </c>
      <c r="E130" s="104"/>
      <c r="F130" s="104"/>
      <c r="G130" s="104"/>
      <c r="H130" s="104"/>
      <c r="I130" s="104"/>
      <c r="J130" s="242"/>
    </row>
    <row r="131" spans="1:10" ht="12.75">
      <c r="A131" s="90">
        <v>45016</v>
      </c>
      <c r="B131" s="307">
        <f t="shared" si="8"/>
        <v>26</v>
      </c>
      <c r="C131" s="41">
        <f t="shared" si="9"/>
        <v>2047733</v>
      </c>
      <c r="D131" s="41"/>
      <c r="E131" s="302">
        <f>E129</f>
        <v>0.06127</v>
      </c>
      <c r="F131" s="41">
        <f>((C130+D130)*E131/360*B130)+((C131+D131)*E131/360*B131)</f>
        <v>33081.92807638889</v>
      </c>
      <c r="G131" s="41">
        <f>G129</f>
        <v>2064</v>
      </c>
      <c r="H131" s="91"/>
      <c r="I131" s="91"/>
      <c r="J131" s="231"/>
    </row>
    <row r="132" spans="1:10" ht="12.75">
      <c r="A132" s="90">
        <v>45082</v>
      </c>
      <c r="B132" s="307">
        <f t="shared" si="8"/>
        <v>66</v>
      </c>
      <c r="C132" s="41">
        <f t="shared" si="9"/>
        <v>1890213</v>
      </c>
      <c r="D132" s="41">
        <f>D130</f>
        <v>157520</v>
      </c>
      <c r="E132" s="302"/>
      <c r="F132" s="41"/>
      <c r="G132" s="41"/>
      <c r="H132" s="91"/>
      <c r="I132" s="91"/>
      <c r="J132" s="231"/>
    </row>
    <row r="133" spans="1:10" ht="12.75">
      <c r="A133" s="90">
        <v>45107</v>
      </c>
      <c r="B133" s="307">
        <f t="shared" si="8"/>
        <v>25</v>
      </c>
      <c r="C133" s="41">
        <f t="shared" si="9"/>
        <v>1890213</v>
      </c>
      <c r="D133" s="41"/>
      <c r="E133" s="302">
        <f>E131</f>
        <v>0.06127</v>
      </c>
      <c r="F133" s="41">
        <f>((C132+D132)*E133/360*B132)+((C133+D133)*E133/360*B133)</f>
        <v>31044.43728558333</v>
      </c>
      <c r="G133" s="41">
        <f>G131</f>
        <v>2064</v>
      </c>
      <c r="H133" s="91"/>
      <c r="I133" s="91"/>
      <c r="J133" s="231"/>
    </row>
    <row r="134" spans="1:10" ht="12.75">
      <c r="A134" s="90">
        <v>45174</v>
      </c>
      <c r="B134" s="307">
        <f t="shared" si="8"/>
        <v>67</v>
      </c>
      <c r="C134" s="41">
        <f t="shared" si="9"/>
        <v>1732693</v>
      </c>
      <c r="D134" s="41">
        <f>D132</f>
        <v>157520</v>
      </c>
      <c r="E134" s="302"/>
      <c r="F134" s="41"/>
      <c r="G134" s="41"/>
      <c r="H134" s="91"/>
      <c r="I134" s="91"/>
      <c r="J134" s="231"/>
    </row>
    <row r="135" spans="1:10" ht="12.75">
      <c r="A135" s="90">
        <v>45199</v>
      </c>
      <c r="B135" s="307">
        <f t="shared" si="8"/>
        <v>25</v>
      </c>
      <c r="C135" s="41">
        <f t="shared" si="9"/>
        <v>1732693</v>
      </c>
      <c r="D135" s="41"/>
      <c r="E135" s="302">
        <f>E133</f>
        <v>0.06127</v>
      </c>
      <c r="F135" s="41">
        <f>((C134+D134)*E135/360*B134)+((C135+D135)*E135/360*B135)</f>
        <v>28926.51940811111</v>
      </c>
      <c r="G135" s="41">
        <f>G133</f>
        <v>2064</v>
      </c>
      <c r="H135" s="91"/>
      <c r="I135" s="91"/>
      <c r="J135" s="231"/>
    </row>
    <row r="136" spans="1:10" ht="12.75">
      <c r="A136" s="90">
        <v>45265</v>
      </c>
      <c r="B136" s="307">
        <f t="shared" si="8"/>
        <v>66</v>
      </c>
      <c r="C136" s="41">
        <f t="shared" si="9"/>
        <v>1575173</v>
      </c>
      <c r="D136" s="41">
        <f>D134</f>
        <v>157520</v>
      </c>
      <c r="E136" s="302"/>
      <c r="F136" s="41"/>
      <c r="G136" s="41"/>
      <c r="H136" s="91"/>
      <c r="I136" s="91"/>
      <c r="J136" s="231"/>
    </row>
    <row r="137" spans="1:10" ht="12.75">
      <c r="A137" s="97">
        <v>45291</v>
      </c>
      <c r="B137" s="308">
        <f t="shared" si="8"/>
        <v>26</v>
      </c>
      <c r="C137" s="99">
        <f t="shared" si="9"/>
        <v>1575173</v>
      </c>
      <c r="D137" s="99"/>
      <c r="E137" s="303">
        <f>E135</f>
        <v>0.06127</v>
      </c>
      <c r="F137" s="99">
        <f>((C136+D136)*E137/360*B136)+((C137+D137)*E137/360*B137)</f>
        <v>26433.279721444444</v>
      </c>
      <c r="G137" s="99">
        <f>G135</f>
        <v>2064</v>
      </c>
      <c r="H137" s="300">
        <f>SUM(F131:G137)</f>
        <v>127742.16449152777</v>
      </c>
      <c r="I137" s="300">
        <f>SUM(D130:D137)</f>
        <v>630080</v>
      </c>
      <c r="J137" s="301">
        <f>SUM(H137:I137)</f>
        <v>757822.1644915277</v>
      </c>
    </row>
    <row r="138" spans="1:10" ht="12.75">
      <c r="A138" s="103">
        <v>45356</v>
      </c>
      <c r="B138" s="306">
        <f aca="true" t="shared" si="10" ref="B138:B156">A138-A137</f>
        <v>65</v>
      </c>
      <c r="C138" s="42">
        <f aca="true" t="shared" si="11" ref="C138:C156">C137-D138</f>
        <v>1417653</v>
      </c>
      <c r="D138" s="42">
        <f>D136</f>
        <v>157520</v>
      </c>
      <c r="E138" s="104"/>
      <c r="F138" s="104"/>
      <c r="G138" s="104"/>
      <c r="H138" s="104"/>
      <c r="I138" s="104"/>
      <c r="J138" s="242"/>
    </row>
    <row r="139" spans="1:10" ht="12.75">
      <c r="A139" s="90">
        <v>45382</v>
      </c>
      <c r="B139" s="307">
        <f t="shared" si="10"/>
        <v>26</v>
      </c>
      <c r="C139" s="41">
        <f t="shared" si="11"/>
        <v>1417653</v>
      </c>
      <c r="D139" s="41"/>
      <c r="E139" s="302">
        <f>E137</f>
        <v>0.06127</v>
      </c>
      <c r="F139" s="41">
        <f>((C138+D138)*E139/360*B138)+((C139+D139)*E139/360*B139)</f>
        <v>23698.763370027777</v>
      </c>
      <c r="G139" s="41">
        <f>G137</f>
        <v>2064</v>
      </c>
      <c r="H139" s="91"/>
      <c r="I139" s="91"/>
      <c r="J139" s="231"/>
    </row>
    <row r="140" spans="1:10" ht="12.75">
      <c r="A140" s="90">
        <v>45448</v>
      </c>
      <c r="B140" s="307">
        <f t="shared" si="10"/>
        <v>66</v>
      </c>
      <c r="C140" s="41">
        <f t="shared" si="11"/>
        <v>1260133</v>
      </c>
      <c r="D140" s="41">
        <f>D138</f>
        <v>157520</v>
      </c>
      <c r="E140" s="302"/>
      <c r="F140" s="41"/>
      <c r="G140" s="41"/>
      <c r="H140" s="91"/>
      <c r="I140" s="91"/>
      <c r="J140" s="231"/>
    </row>
    <row r="141" spans="1:10" ht="12.75">
      <c r="A141" s="90">
        <v>45473</v>
      </c>
      <c r="B141" s="307">
        <f t="shared" si="10"/>
        <v>25</v>
      </c>
      <c r="C141" s="41">
        <f t="shared" si="11"/>
        <v>1260133</v>
      </c>
      <c r="D141" s="41"/>
      <c r="E141" s="302">
        <f>E139</f>
        <v>0.06127</v>
      </c>
      <c r="F141" s="41">
        <f>((C140+D140)*E141/360*B140)+((C141+D141)*E141/360*B141)</f>
        <v>21285.950770027775</v>
      </c>
      <c r="G141" s="41">
        <f>G139</f>
        <v>2064</v>
      </c>
      <c r="H141" s="91"/>
      <c r="I141" s="91"/>
      <c r="J141" s="231"/>
    </row>
    <row r="142" spans="1:10" ht="12.75">
      <c r="A142" s="90">
        <v>45540</v>
      </c>
      <c r="B142" s="307">
        <f t="shared" si="10"/>
        <v>67</v>
      </c>
      <c r="C142" s="41">
        <f t="shared" si="11"/>
        <v>1102613</v>
      </c>
      <c r="D142" s="41">
        <f>D140</f>
        <v>157520</v>
      </c>
      <c r="E142" s="302"/>
      <c r="F142" s="41"/>
      <c r="G142" s="41"/>
      <c r="H142" s="91"/>
      <c r="I142" s="91"/>
      <c r="J142" s="231"/>
    </row>
    <row r="143" spans="1:10" ht="12.75">
      <c r="A143" s="90">
        <v>45565</v>
      </c>
      <c r="B143" s="307">
        <f t="shared" si="10"/>
        <v>25</v>
      </c>
      <c r="C143" s="41">
        <f t="shared" si="11"/>
        <v>1102613</v>
      </c>
      <c r="D143" s="41"/>
      <c r="E143" s="302">
        <f>E141</f>
        <v>0.06127</v>
      </c>
      <c r="F143" s="41">
        <f>((C142+D142)*E143/360*B142)+((C143+D143)*E143/360*B143)</f>
        <v>19060.796777</v>
      </c>
      <c r="G143" s="41">
        <f>G141</f>
        <v>2064</v>
      </c>
      <c r="H143" s="91"/>
      <c r="I143" s="91"/>
      <c r="J143" s="231"/>
    </row>
    <row r="144" spans="1:10" ht="12.75">
      <c r="A144" s="90">
        <v>45631</v>
      </c>
      <c r="B144" s="307">
        <f t="shared" si="10"/>
        <v>66</v>
      </c>
      <c r="C144" s="41">
        <f t="shared" si="11"/>
        <v>945093</v>
      </c>
      <c r="D144" s="41">
        <f>D142</f>
        <v>157520</v>
      </c>
      <c r="E144" s="302"/>
      <c r="F144" s="41"/>
      <c r="G144" s="41"/>
      <c r="H144" s="91"/>
      <c r="I144" s="91"/>
      <c r="J144" s="231"/>
    </row>
    <row r="145" spans="1:10" ht="12.75">
      <c r="A145" s="97">
        <v>45657</v>
      </c>
      <c r="B145" s="308">
        <f t="shared" si="10"/>
        <v>26</v>
      </c>
      <c r="C145" s="99">
        <f t="shared" si="11"/>
        <v>945093</v>
      </c>
      <c r="D145" s="99"/>
      <c r="E145" s="303">
        <f>E143</f>
        <v>0.06127</v>
      </c>
      <c r="F145" s="99">
        <f>((C144+D144)*E145/360*B144)+((C145+D145)*E145/360*B145)</f>
        <v>16567.557090333332</v>
      </c>
      <c r="G145" s="99">
        <f>G143</f>
        <v>2064</v>
      </c>
      <c r="H145" s="300">
        <f>SUM(F139:G145)</f>
        <v>88869.06800738888</v>
      </c>
      <c r="I145" s="300">
        <f>SUM(D138:D145)</f>
        <v>630080</v>
      </c>
      <c r="J145" s="301">
        <f>SUM(H145:I145)</f>
        <v>718949.0680073889</v>
      </c>
    </row>
    <row r="146" spans="1:10" ht="12.75">
      <c r="A146" s="103">
        <v>45721</v>
      </c>
      <c r="B146" s="306">
        <f t="shared" si="10"/>
        <v>64</v>
      </c>
      <c r="C146" s="42">
        <f t="shared" si="11"/>
        <v>787573</v>
      </c>
      <c r="D146" s="42">
        <f>D144</f>
        <v>157520</v>
      </c>
      <c r="E146" s="104"/>
      <c r="F146" s="104"/>
      <c r="G146" s="104"/>
      <c r="H146" s="104"/>
      <c r="I146" s="104"/>
      <c r="J146" s="242"/>
    </row>
    <row r="147" spans="1:10" ht="12.75">
      <c r="A147" s="90">
        <v>45747</v>
      </c>
      <c r="B147" s="307">
        <f t="shared" si="10"/>
        <v>26</v>
      </c>
      <c r="C147" s="41">
        <f t="shared" si="11"/>
        <v>787573</v>
      </c>
      <c r="D147" s="41"/>
      <c r="E147" s="302">
        <f>E145</f>
        <v>0.06127</v>
      </c>
      <c r="F147" s="41">
        <f>((C146+D146)*E147/360*B146)+((C147+D147)*E147/360*B147)</f>
        <v>13779.42727638889</v>
      </c>
      <c r="G147" s="41">
        <f>G145</f>
        <v>2064</v>
      </c>
      <c r="H147" s="91"/>
      <c r="I147" s="91"/>
      <c r="J147" s="231"/>
    </row>
    <row r="148" spans="1:10" ht="12.75">
      <c r="A148" s="90">
        <v>45813</v>
      </c>
      <c r="B148" s="307">
        <f t="shared" si="10"/>
        <v>66</v>
      </c>
      <c r="C148" s="41">
        <f t="shared" si="11"/>
        <v>630053</v>
      </c>
      <c r="D148" s="41">
        <f>D146</f>
        <v>157520</v>
      </c>
      <c r="E148" s="302"/>
      <c r="F148" s="41"/>
      <c r="G148" s="41"/>
      <c r="H148" s="91"/>
      <c r="I148" s="91"/>
      <c r="J148" s="231"/>
    </row>
    <row r="149" spans="1:10" ht="12.75">
      <c r="A149" s="90">
        <v>45838</v>
      </c>
      <c r="B149" s="307">
        <f t="shared" si="10"/>
        <v>25</v>
      </c>
      <c r="C149" s="41">
        <f t="shared" si="11"/>
        <v>630053</v>
      </c>
      <c r="D149" s="41"/>
      <c r="E149" s="302">
        <f>E147</f>
        <v>0.06127</v>
      </c>
      <c r="F149" s="41">
        <f>((C148+D148)*E149/360*B148)+((C149+D149)*E149/360*B149)</f>
        <v>11527.464254472223</v>
      </c>
      <c r="G149" s="41">
        <f>G147</f>
        <v>2064</v>
      </c>
      <c r="H149" s="91"/>
      <c r="I149" s="91"/>
      <c r="J149" s="231"/>
    </row>
    <row r="150" spans="1:10" ht="12.75">
      <c r="A150" s="90">
        <v>45905</v>
      </c>
      <c r="B150" s="307">
        <f t="shared" si="10"/>
        <v>67</v>
      </c>
      <c r="C150" s="41">
        <f t="shared" si="11"/>
        <v>472533</v>
      </c>
      <c r="D150" s="41">
        <f>D148</f>
        <v>157520</v>
      </c>
      <c r="E150" s="302"/>
      <c r="F150" s="41"/>
      <c r="G150" s="41"/>
      <c r="H150" s="91"/>
      <c r="I150" s="91"/>
      <c r="J150" s="231"/>
    </row>
    <row r="151" spans="1:10" ht="12.75">
      <c r="A151" s="90">
        <v>45930</v>
      </c>
      <c r="B151" s="307">
        <f t="shared" si="10"/>
        <v>25</v>
      </c>
      <c r="C151" s="41">
        <f t="shared" si="11"/>
        <v>472533</v>
      </c>
      <c r="D151" s="41"/>
      <c r="E151" s="302">
        <f>E149</f>
        <v>0.06127</v>
      </c>
      <c r="F151" s="41">
        <f>((C150+D150)*E151/360*B150)+((C151+D151)*E151/360*B151)</f>
        <v>9195.074145888888</v>
      </c>
      <c r="G151" s="41">
        <f>G149</f>
        <v>2064</v>
      </c>
      <c r="H151" s="91"/>
      <c r="I151" s="91"/>
      <c r="J151" s="231"/>
    </row>
    <row r="152" spans="1:10" ht="12.75">
      <c r="A152" s="90">
        <v>45996</v>
      </c>
      <c r="B152" s="307">
        <f t="shared" si="10"/>
        <v>66</v>
      </c>
      <c r="C152" s="41">
        <f t="shared" si="11"/>
        <v>315013</v>
      </c>
      <c r="D152" s="41">
        <f>D150</f>
        <v>157520</v>
      </c>
      <c r="E152" s="302"/>
      <c r="F152" s="41"/>
      <c r="G152" s="41"/>
      <c r="H152" s="91"/>
      <c r="I152" s="91"/>
      <c r="J152" s="231"/>
    </row>
    <row r="153" spans="1:10" ht="12.75">
      <c r="A153" s="97">
        <v>46022</v>
      </c>
      <c r="B153" s="308">
        <f t="shared" si="10"/>
        <v>26</v>
      </c>
      <c r="C153" s="99">
        <f t="shared" si="11"/>
        <v>315013</v>
      </c>
      <c r="D153" s="99"/>
      <c r="E153" s="303">
        <f>E151</f>
        <v>0.06127</v>
      </c>
      <c r="F153" s="99">
        <f>((C152+D152)*E153/360*B152)+((C153+D153)*E153/360*B153)</f>
        <v>6701.834459222222</v>
      </c>
      <c r="G153" s="99">
        <f>G151</f>
        <v>2064</v>
      </c>
      <c r="H153" s="300">
        <f>SUM(F147:G153)</f>
        <v>49459.80013597222</v>
      </c>
      <c r="I153" s="300">
        <f>SUM(D146:D153)</f>
        <v>630080</v>
      </c>
      <c r="J153" s="301">
        <f>SUM(H153:I153)</f>
        <v>679539.8001359722</v>
      </c>
    </row>
    <row r="154" spans="1:10" ht="12.75">
      <c r="A154" s="103">
        <v>46086</v>
      </c>
      <c r="B154" s="306">
        <f t="shared" si="10"/>
        <v>64</v>
      </c>
      <c r="C154" s="42">
        <f t="shared" si="11"/>
        <v>157493</v>
      </c>
      <c r="D154" s="42">
        <f>D152</f>
        <v>157520</v>
      </c>
      <c r="E154" s="104"/>
      <c r="F154" s="104"/>
      <c r="G154" s="104"/>
      <c r="H154" s="104"/>
      <c r="I154" s="104"/>
      <c r="J154" s="242"/>
    </row>
    <row r="155" spans="1:10" ht="12.75">
      <c r="A155" s="90">
        <v>46112</v>
      </c>
      <c r="B155" s="307">
        <f t="shared" si="10"/>
        <v>26</v>
      </c>
      <c r="C155" s="41">
        <f t="shared" si="11"/>
        <v>157493</v>
      </c>
      <c r="D155" s="41"/>
      <c r="E155" s="302">
        <f>E153</f>
        <v>0.06127</v>
      </c>
      <c r="F155" s="41">
        <f>((C154+D154)*E155/360*B154)+((C155+D155)*E155/360*B155)</f>
        <v>4128.176876388889</v>
      </c>
      <c r="G155" s="41">
        <f>G153</f>
        <v>2064</v>
      </c>
      <c r="H155" s="91"/>
      <c r="I155" s="91"/>
      <c r="J155" s="231"/>
    </row>
    <row r="156" spans="1:10" ht="13.5" thickBot="1">
      <c r="A156" s="90">
        <v>46178</v>
      </c>
      <c r="B156" s="307">
        <f t="shared" si="10"/>
        <v>66</v>
      </c>
      <c r="C156" s="41">
        <f t="shared" si="11"/>
        <v>0</v>
      </c>
      <c r="D156" s="41">
        <f>10868853-SUM(D20:D154)</f>
        <v>157493</v>
      </c>
      <c r="E156" s="302">
        <f>E155</f>
        <v>0.06127</v>
      </c>
      <c r="F156" s="41">
        <f>((C156+D156)*E156/360*B156)</f>
        <v>1769.0926201666668</v>
      </c>
      <c r="G156" s="41">
        <f>G155-1+4128</f>
        <v>6191</v>
      </c>
      <c r="H156" s="300">
        <f>SUM(F154:G156)</f>
        <v>14152.269496555557</v>
      </c>
      <c r="I156" s="300">
        <f>SUM(D154:D156)</f>
        <v>315013</v>
      </c>
      <c r="J156" s="301">
        <f>SUM(H156:I156)</f>
        <v>329165.26949655556</v>
      </c>
    </row>
    <row r="157" spans="1:10" ht="13.5" thickTop="1">
      <c r="A157" s="563" t="s">
        <v>14</v>
      </c>
      <c r="B157" s="564"/>
      <c r="C157" s="565"/>
      <c r="D157" s="117">
        <f>SUM(D7:D156)</f>
        <v>10868853</v>
      </c>
      <c r="E157" s="118"/>
      <c r="F157" s="117">
        <f>SUM(F7:F156)</f>
        <v>7191967.172308529</v>
      </c>
      <c r="G157" s="117">
        <f>SUM(G7:G156)</f>
        <v>165119</v>
      </c>
      <c r="H157" s="117">
        <f>SUM(H7:H156)</f>
        <v>7357086.172308527</v>
      </c>
      <c r="I157" s="117">
        <f>SUM(I7:I156)</f>
        <v>10868853</v>
      </c>
      <c r="J157" s="119">
        <f>SUM(J7:J156)</f>
        <v>18225939.172308527</v>
      </c>
    </row>
    <row r="158" spans="1:10" ht="12.75">
      <c r="A158" s="120"/>
      <c r="B158" s="121"/>
      <c r="E158" s="122"/>
      <c r="H158" s="121"/>
      <c r="J158" s="121"/>
    </row>
    <row r="159" spans="1:10" ht="12.75">
      <c r="A159" s="120"/>
      <c r="B159" s="121"/>
      <c r="E159" s="122"/>
      <c r="G159" s="121"/>
      <c r="H159" s="121"/>
      <c r="J159" s="121"/>
    </row>
    <row r="160" spans="2:7" ht="12.75">
      <c r="B160" s="58" t="s">
        <v>181</v>
      </c>
      <c r="D160" s="58"/>
      <c r="E160" s="122" t="s">
        <v>184</v>
      </c>
      <c r="G160" s="311">
        <v>9264000</v>
      </c>
    </row>
    <row r="161" spans="2:7" ht="12.75">
      <c r="B161" s="58" t="s">
        <v>182</v>
      </c>
      <c r="D161" s="58"/>
      <c r="E161" s="122" t="s">
        <v>225</v>
      </c>
      <c r="G161" s="311">
        <v>1604853</v>
      </c>
    </row>
    <row r="162" spans="2:8" ht="13.5" thickBot="1">
      <c r="B162" s="58" t="s">
        <v>329</v>
      </c>
      <c r="C162" s="58"/>
      <c r="D162" s="58"/>
      <c r="G162" s="311">
        <v>139047</v>
      </c>
      <c r="H162" s="58" t="s">
        <v>321</v>
      </c>
    </row>
    <row r="163" spans="2:7" ht="13.5" thickTop="1">
      <c r="B163" s="124" t="s">
        <v>14</v>
      </c>
      <c r="C163" s="129"/>
      <c r="D163" s="124"/>
      <c r="E163" s="125"/>
      <c r="F163" s="126"/>
      <c r="G163" s="312">
        <f>SUM(G160:G162)</f>
        <v>11007900</v>
      </c>
    </row>
    <row r="164" spans="2:7" ht="12.75">
      <c r="B164" s="131" t="s">
        <v>330</v>
      </c>
      <c r="C164" s="130"/>
      <c r="D164" s="130"/>
      <c r="E164" s="131"/>
      <c r="F164" s="131"/>
      <c r="G164" s="555">
        <f>SUM(G160:G161)</f>
        <v>10868853</v>
      </c>
    </row>
  </sheetData>
  <sheetProtection/>
  <mergeCells count="1">
    <mergeCell ref="A157:C157"/>
  </mergeCells>
  <printOptions horizontalCentered="1"/>
  <pageMargins left="0.3937007874015748" right="0.3937007874015748" top="0.98425196850393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2006. évben felvételre tervezett 11.007,9 eFt hitel
(Önkormányzati Fejlesztési Hitelprogram 7.1 hitelcél)</oddHeader>
    <oddFooter>&amp;L&amp;8&amp;D&amp;C&amp;8C:\Andi\adósságszolgálat\&amp;F\&amp;A&amp;R&amp;8&amp;P/&amp;N</oddFooter>
  </headerFooter>
  <rowBreaks count="2" manualBreakCount="2">
    <brk id="57" max="255" man="1"/>
    <brk id="11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2"/>
  <sheetViews>
    <sheetView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11.37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7.875" style="58" customWidth="1"/>
    <col min="6" max="6" width="12.625" style="58" customWidth="1"/>
    <col min="7" max="7" width="13.00390625" style="58" customWidth="1"/>
    <col min="8" max="8" width="13.125" style="58" bestFit="1" customWidth="1"/>
    <col min="9" max="10" width="12.625" style="58" bestFit="1" customWidth="1"/>
    <col min="11" max="11" width="2.125" style="58" customWidth="1"/>
    <col min="12" max="16384" width="9.375" style="58" customWidth="1"/>
  </cols>
  <sheetData>
    <row r="1" ht="12.75">
      <c r="A1" s="162" t="s">
        <v>261</v>
      </c>
    </row>
    <row r="2" spans="1:10" ht="12.75">
      <c r="A2" s="163" t="s">
        <v>109</v>
      </c>
      <c r="B2" s="162"/>
      <c r="C2" s="163" t="s">
        <v>110</v>
      </c>
      <c r="D2" s="163"/>
      <c r="H2" s="163"/>
      <c r="I2" s="163"/>
      <c r="J2" s="163"/>
    </row>
    <row r="3" spans="1:10" ht="12.75">
      <c r="A3" s="163" t="s">
        <v>149</v>
      </c>
      <c r="B3" s="133"/>
      <c r="C3" s="132"/>
      <c r="D3" s="132"/>
      <c r="E3" s="132"/>
      <c r="F3" s="163" t="s">
        <v>150</v>
      </c>
      <c r="G3" s="163"/>
      <c r="H3" s="132"/>
      <c r="I3" s="132"/>
      <c r="J3" s="132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69" t="s">
        <v>120</v>
      </c>
      <c r="H4" s="70" t="s">
        <v>6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5" t="s">
        <v>121</v>
      </c>
      <c r="H5" s="76" t="s">
        <v>9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80"/>
      <c r="F6" s="81"/>
      <c r="G6" s="136" t="s">
        <v>151</v>
      </c>
      <c r="H6" s="136" t="s">
        <v>123</v>
      </c>
      <c r="I6" s="82" t="s">
        <v>13</v>
      </c>
      <c r="J6" s="83" t="s">
        <v>12</v>
      </c>
    </row>
    <row r="7" spans="1:10" ht="12.75">
      <c r="A7" s="345">
        <v>38990</v>
      </c>
      <c r="B7" s="73"/>
      <c r="C7" s="74"/>
      <c r="D7" s="74"/>
      <c r="E7" s="74"/>
      <c r="F7" s="340"/>
      <c r="G7" s="342">
        <v>0</v>
      </c>
      <c r="H7" s="341"/>
      <c r="I7" s="76"/>
      <c r="J7" s="77"/>
    </row>
    <row r="8" spans="1:10" ht="12.75">
      <c r="A8" s="294">
        <v>39070</v>
      </c>
      <c r="B8" s="361"/>
      <c r="C8" s="281">
        <v>201368000</v>
      </c>
      <c r="D8" s="41"/>
      <c r="E8" s="302"/>
      <c r="F8" s="41"/>
      <c r="G8" s="41"/>
      <c r="H8" s="91"/>
      <c r="I8" s="91"/>
      <c r="J8" s="231"/>
    </row>
    <row r="9" spans="1:10" ht="12.75">
      <c r="A9" s="97">
        <v>39080</v>
      </c>
      <c r="B9" s="308">
        <f>A9-A8</f>
        <v>10</v>
      </c>
      <c r="C9" s="99">
        <f>C8-D9</f>
        <v>201368000</v>
      </c>
      <c r="D9" s="99"/>
      <c r="E9" s="303">
        <v>0.04266</v>
      </c>
      <c r="F9" s="99">
        <v>238621</v>
      </c>
      <c r="G9" s="99">
        <f>G7</f>
        <v>0</v>
      </c>
      <c r="H9" s="300">
        <f>SUM(F7:G9)</f>
        <v>238621</v>
      </c>
      <c r="I9" s="300">
        <f>SUM(D8:D9)</f>
        <v>0</v>
      </c>
      <c r="J9" s="301">
        <f>SUM(H9:I9)</f>
        <v>238621</v>
      </c>
    </row>
    <row r="10" spans="1:10" ht="12.75">
      <c r="A10" s="103">
        <v>39171</v>
      </c>
      <c r="B10" s="306">
        <f>A10-A9</f>
        <v>91</v>
      </c>
      <c r="C10" s="42">
        <f>C9-D10</f>
        <v>201368000</v>
      </c>
      <c r="D10" s="42"/>
      <c r="E10" s="304">
        <v>0.04612</v>
      </c>
      <c r="F10" s="42">
        <v>2341764</v>
      </c>
      <c r="G10" s="42">
        <v>38290</v>
      </c>
      <c r="H10" s="104"/>
      <c r="I10" s="104"/>
      <c r="J10" s="242"/>
    </row>
    <row r="11" spans="1:10" ht="12.75">
      <c r="A11" s="90">
        <v>39262</v>
      </c>
      <c r="B11" s="307">
        <f>A11-A10</f>
        <v>91</v>
      </c>
      <c r="C11" s="41">
        <f>C10-D11</f>
        <v>201368000</v>
      </c>
      <c r="D11" s="41"/>
      <c r="E11" s="302">
        <v>0.04804</v>
      </c>
      <c r="F11" s="41">
        <v>2443153</v>
      </c>
      <c r="G11" s="41">
        <f>G10</f>
        <v>38290</v>
      </c>
      <c r="H11" s="91"/>
      <c r="I11" s="91"/>
      <c r="J11" s="231"/>
    </row>
    <row r="12" spans="1:10" s="162" customFormat="1" ht="12.75">
      <c r="A12" s="294">
        <v>39315</v>
      </c>
      <c r="B12" s="361">
        <f>A12-A11</f>
        <v>53</v>
      </c>
      <c r="C12" s="281">
        <v>204214500</v>
      </c>
      <c r="D12" s="281"/>
      <c r="E12" s="395"/>
      <c r="F12" s="281"/>
      <c r="G12" s="281"/>
      <c r="H12" s="396"/>
      <c r="I12" s="396"/>
      <c r="J12" s="397"/>
    </row>
    <row r="13" spans="1:10" ht="12.75">
      <c r="A13" s="90">
        <v>39353</v>
      </c>
      <c r="B13" s="307">
        <f>A13-A12</f>
        <v>38</v>
      </c>
      <c r="C13" s="41">
        <f>C12-D13</f>
        <v>204214500</v>
      </c>
      <c r="D13" s="41"/>
      <c r="E13" s="302">
        <v>0.05054</v>
      </c>
      <c r="F13" s="41">
        <v>2584943</v>
      </c>
      <c r="G13" s="41">
        <f>G11</f>
        <v>38290</v>
      </c>
      <c r="H13" s="91"/>
      <c r="I13" s="91"/>
      <c r="J13" s="231"/>
    </row>
    <row r="14" spans="1:10" ht="12.75">
      <c r="A14" s="97">
        <v>39445</v>
      </c>
      <c r="B14" s="308">
        <f aca="true" t="shared" si="0" ref="B14:B32">A14-A13</f>
        <v>92</v>
      </c>
      <c r="C14" s="99">
        <f aca="true" t="shared" si="1" ref="C14:C36">C13-D14</f>
        <v>204214500</v>
      </c>
      <c r="D14" s="99"/>
      <c r="E14" s="303">
        <v>0.05676</v>
      </c>
      <c r="F14" s="99">
        <v>2951614</v>
      </c>
      <c r="G14" s="99">
        <f aca="true" t="shared" si="2" ref="G14:G19">G13</f>
        <v>38290</v>
      </c>
      <c r="H14" s="300">
        <f>SUM(F10:G14)</f>
        <v>10474634</v>
      </c>
      <c r="I14" s="300">
        <f>SUM(D10:D14)</f>
        <v>0</v>
      </c>
      <c r="J14" s="301">
        <f>SUM(H14:I14)</f>
        <v>10474634</v>
      </c>
    </row>
    <row r="15" spans="1:10" ht="12.75">
      <c r="A15" s="103">
        <v>39538</v>
      </c>
      <c r="B15" s="306">
        <f t="shared" si="0"/>
        <v>93</v>
      </c>
      <c r="C15" s="42">
        <f t="shared" si="1"/>
        <v>204214500</v>
      </c>
      <c r="D15" s="42"/>
      <c r="E15" s="304">
        <v>0.05655</v>
      </c>
      <c r="F15" s="42">
        <v>2983676</v>
      </c>
      <c r="G15" s="42">
        <f t="shared" si="2"/>
        <v>38290</v>
      </c>
      <c r="H15" s="104"/>
      <c r="I15" s="104"/>
      <c r="J15" s="242"/>
    </row>
    <row r="16" spans="1:10" ht="12.75">
      <c r="A16" s="90">
        <v>39629</v>
      </c>
      <c r="B16" s="307">
        <f t="shared" si="0"/>
        <v>91</v>
      </c>
      <c r="C16" s="41">
        <f>C15-D16</f>
        <v>204214500</v>
      </c>
      <c r="D16" s="41"/>
      <c r="E16" s="302">
        <v>0.05621</v>
      </c>
      <c r="F16" s="41">
        <v>2901803</v>
      </c>
      <c r="G16" s="41">
        <f t="shared" si="2"/>
        <v>38290</v>
      </c>
      <c r="H16" s="91"/>
      <c r="I16" s="91"/>
      <c r="J16" s="231"/>
    </row>
    <row r="17" spans="1:10" ht="12.75">
      <c r="A17" s="90">
        <v>39721</v>
      </c>
      <c r="B17" s="307">
        <f t="shared" si="0"/>
        <v>92</v>
      </c>
      <c r="C17" s="41">
        <f>C16-D17</f>
        <v>204214500</v>
      </c>
      <c r="D17" s="41"/>
      <c r="E17" s="302">
        <f>E16</f>
        <v>0.05621</v>
      </c>
      <c r="F17" s="41">
        <v>3044997</v>
      </c>
      <c r="G17" s="41">
        <f t="shared" si="2"/>
        <v>38290</v>
      </c>
      <c r="H17" s="91"/>
      <c r="I17" s="91"/>
      <c r="J17" s="231"/>
    </row>
    <row r="18" spans="1:10" ht="12.75">
      <c r="A18" s="97">
        <v>39813</v>
      </c>
      <c r="B18" s="308">
        <f t="shared" si="0"/>
        <v>92</v>
      </c>
      <c r="C18" s="99">
        <f>C17-D18</f>
        <v>204214500</v>
      </c>
      <c r="D18" s="99"/>
      <c r="E18" s="303">
        <v>0.06127</v>
      </c>
      <c r="F18" s="99">
        <f>((C18+D18)*E18/360*B18)</f>
        <v>3197567.9505</v>
      </c>
      <c r="G18" s="99">
        <f t="shared" si="2"/>
        <v>38290</v>
      </c>
      <c r="H18" s="300">
        <f>SUM(F15:G18)</f>
        <v>12281203.9505</v>
      </c>
      <c r="I18" s="300">
        <f>SUM(D15:D18)</f>
        <v>0</v>
      </c>
      <c r="J18" s="301">
        <f>SUM(H18:I18)</f>
        <v>12281203.9505</v>
      </c>
    </row>
    <row r="19" spans="1:10" ht="12.75">
      <c r="A19" s="90">
        <v>39903</v>
      </c>
      <c r="B19" s="310">
        <f t="shared" si="0"/>
        <v>90</v>
      </c>
      <c r="C19" s="42">
        <f>C18-D19</f>
        <v>204214500</v>
      </c>
      <c r="D19" s="41"/>
      <c r="E19" s="302">
        <f>E18</f>
        <v>0.06127</v>
      </c>
      <c r="F19" s="42">
        <f>((C19+D19)*E19/360*B19)</f>
        <v>3128055.60375</v>
      </c>
      <c r="G19" s="41">
        <f t="shared" si="2"/>
        <v>38290</v>
      </c>
      <c r="H19" s="91"/>
      <c r="I19" s="91"/>
      <c r="J19" s="231"/>
    </row>
    <row r="20" spans="1:10" ht="12.75">
      <c r="A20" s="90">
        <v>39969</v>
      </c>
      <c r="B20" s="307">
        <f t="shared" si="0"/>
        <v>66</v>
      </c>
      <c r="C20" s="41">
        <f t="shared" si="1"/>
        <v>201254860</v>
      </c>
      <c r="D20" s="41">
        <v>2959640</v>
      </c>
      <c r="E20" s="302"/>
      <c r="F20" s="41"/>
      <c r="G20" s="41"/>
      <c r="H20" s="91"/>
      <c r="I20" s="91"/>
      <c r="J20" s="231"/>
    </row>
    <row r="21" spans="1:10" ht="12.75">
      <c r="A21" s="90">
        <v>39994</v>
      </c>
      <c r="B21" s="307">
        <f t="shared" si="0"/>
        <v>25</v>
      </c>
      <c r="C21" s="41">
        <f t="shared" si="1"/>
        <v>201254860</v>
      </c>
      <c r="D21" s="41"/>
      <c r="E21" s="302">
        <f>E19</f>
        <v>0.06127</v>
      </c>
      <c r="F21" s="41">
        <f>((C20+D20)*E21/360*B20)+((C21+D21)*E21/360*B21)</f>
        <v>3150218.919986111</v>
      </c>
      <c r="G21" s="41">
        <f>G19</f>
        <v>38290</v>
      </c>
      <c r="H21" s="91"/>
      <c r="I21" s="91"/>
      <c r="J21" s="231"/>
    </row>
    <row r="22" spans="1:10" ht="12.75">
      <c r="A22" s="90">
        <v>40061</v>
      </c>
      <c r="B22" s="307">
        <f t="shared" si="0"/>
        <v>67</v>
      </c>
      <c r="C22" s="41">
        <f t="shared" si="1"/>
        <v>198295220</v>
      </c>
      <c r="D22" s="41">
        <f>D20</f>
        <v>2959640</v>
      </c>
      <c r="E22" s="302"/>
      <c r="F22" s="41"/>
      <c r="G22" s="41"/>
      <c r="H22" s="91"/>
      <c r="I22" s="91"/>
      <c r="J22" s="231"/>
    </row>
    <row r="23" spans="1:10" ht="12.75">
      <c r="A23" s="90">
        <v>40086</v>
      </c>
      <c r="B23" s="307">
        <f t="shared" si="0"/>
        <v>25</v>
      </c>
      <c r="C23" s="41">
        <f t="shared" si="1"/>
        <v>198295220</v>
      </c>
      <c r="D23" s="41"/>
      <c r="E23" s="302">
        <f>E21</f>
        <v>0.06127</v>
      </c>
      <c r="F23" s="41">
        <f>((C22+D22)*E23/360*B22)+((C23+D23)*E23/360*B23)</f>
        <v>3138633.37909</v>
      </c>
      <c r="G23" s="41">
        <f>G21</f>
        <v>38290</v>
      </c>
      <c r="H23" s="91"/>
      <c r="I23" s="91"/>
      <c r="J23" s="231"/>
    </row>
    <row r="24" spans="1:10" ht="12.75">
      <c r="A24" s="90">
        <v>40152</v>
      </c>
      <c r="B24" s="307">
        <f t="shared" si="0"/>
        <v>66</v>
      </c>
      <c r="C24" s="41">
        <f t="shared" si="1"/>
        <v>195335580</v>
      </c>
      <c r="D24" s="41">
        <f>D22</f>
        <v>2959640</v>
      </c>
      <c r="E24" s="302"/>
      <c r="F24" s="41"/>
      <c r="G24" s="41"/>
      <c r="H24" s="91"/>
      <c r="I24" s="91"/>
      <c r="J24" s="231"/>
    </row>
    <row r="25" spans="1:10" ht="12.75">
      <c r="A25" s="97">
        <v>40178</v>
      </c>
      <c r="B25" s="308">
        <f t="shared" si="0"/>
        <v>26</v>
      </c>
      <c r="C25" s="99">
        <f t="shared" si="1"/>
        <v>195335580</v>
      </c>
      <c r="D25" s="99"/>
      <c r="E25" s="303">
        <f>E23</f>
        <v>0.06127</v>
      </c>
      <c r="F25" s="99">
        <f>((C24+D24)*E25/360*B24)+((C25+D25)*E25/360*B25)</f>
        <v>3091787.9505333337</v>
      </c>
      <c r="G25" s="99">
        <f>G23</f>
        <v>38290</v>
      </c>
      <c r="H25" s="300">
        <f>SUM(F19:G25)</f>
        <v>12661855.853359446</v>
      </c>
      <c r="I25" s="300">
        <f>SUM(D19:D25)</f>
        <v>8878920</v>
      </c>
      <c r="J25" s="301">
        <f>SUM(H25:I25)</f>
        <v>21540775.853359446</v>
      </c>
    </row>
    <row r="26" spans="1:10" ht="12.75">
      <c r="A26" s="103">
        <v>40242</v>
      </c>
      <c r="B26" s="306">
        <f t="shared" si="0"/>
        <v>64</v>
      </c>
      <c r="C26" s="42">
        <f t="shared" si="1"/>
        <v>192375940</v>
      </c>
      <c r="D26" s="42">
        <f>D24</f>
        <v>2959640</v>
      </c>
      <c r="E26" s="104"/>
      <c r="F26" s="104"/>
      <c r="G26" s="104"/>
      <c r="H26" s="104"/>
      <c r="I26" s="104"/>
      <c r="J26" s="242"/>
    </row>
    <row r="27" spans="1:10" ht="12.75">
      <c r="A27" s="90">
        <v>40268</v>
      </c>
      <c r="B27" s="307">
        <f t="shared" si="0"/>
        <v>26</v>
      </c>
      <c r="C27" s="41">
        <f t="shared" si="1"/>
        <v>192375940</v>
      </c>
      <c r="D27" s="41"/>
      <c r="E27" s="302">
        <f>E25</f>
        <v>0.06127</v>
      </c>
      <c r="F27" s="41">
        <f>((C26+D26)*E27/360*B26)+((C27+D27)*E27/360*B27)</f>
        <v>2978956.1752255554</v>
      </c>
      <c r="G27" s="41">
        <f>G25</f>
        <v>38290</v>
      </c>
      <c r="H27" s="91"/>
      <c r="I27" s="91"/>
      <c r="J27" s="231"/>
    </row>
    <row r="28" spans="1:10" ht="12.75">
      <c r="A28" s="90">
        <v>40334</v>
      </c>
      <c r="B28" s="307">
        <f t="shared" si="0"/>
        <v>66</v>
      </c>
      <c r="C28" s="41">
        <f t="shared" si="1"/>
        <v>189416300</v>
      </c>
      <c r="D28" s="41">
        <f>D26</f>
        <v>2959640</v>
      </c>
      <c r="E28" s="302"/>
      <c r="F28" s="41"/>
      <c r="G28" s="41"/>
      <c r="H28" s="91"/>
      <c r="I28" s="91"/>
      <c r="J28" s="231"/>
    </row>
    <row r="29" spans="1:10" ht="12.75">
      <c r="A29" s="90">
        <v>40359</v>
      </c>
      <c r="B29" s="307">
        <f t="shared" si="0"/>
        <v>25</v>
      </c>
      <c r="C29" s="41">
        <f t="shared" si="1"/>
        <v>189416300</v>
      </c>
      <c r="D29" s="41"/>
      <c r="E29" s="302">
        <f>E27</f>
        <v>0.06127</v>
      </c>
      <c r="F29" s="41">
        <f>((C28+D28)*E29/360*B28)+((C29+D29)*E29/360*B29)</f>
        <v>2966866.9200438885</v>
      </c>
      <c r="G29" s="41">
        <f>G27</f>
        <v>38290</v>
      </c>
      <c r="H29" s="91"/>
      <c r="I29" s="91"/>
      <c r="J29" s="231"/>
    </row>
    <row r="30" spans="1:10" ht="12.75">
      <c r="A30" s="90">
        <v>40426</v>
      </c>
      <c r="B30" s="307">
        <f t="shared" si="0"/>
        <v>67</v>
      </c>
      <c r="C30" s="41">
        <f t="shared" si="1"/>
        <v>186456660</v>
      </c>
      <c r="D30" s="41">
        <f>D28</f>
        <v>2959640</v>
      </c>
      <c r="E30" s="302"/>
      <c r="F30" s="41"/>
      <c r="G30" s="41"/>
      <c r="H30" s="91"/>
      <c r="I30" s="91"/>
      <c r="J30" s="231"/>
    </row>
    <row r="31" spans="1:10" ht="12.75">
      <c r="A31" s="90">
        <v>40451</v>
      </c>
      <c r="B31" s="307">
        <f t="shared" si="0"/>
        <v>25</v>
      </c>
      <c r="C31" s="41">
        <f t="shared" si="1"/>
        <v>186456660</v>
      </c>
      <c r="D31" s="41"/>
      <c r="E31" s="302">
        <f>E29</f>
        <v>0.06127</v>
      </c>
      <c r="F31" s="41">
        <f>((C30+D30)*E31/360*B30)+((C31+D31)*E31/360*B31)</f>
        <v>2953266.5220055557</v>
      </c>
      <c r="G31" s="41">
        <f>G29</f>
        <v>38290</v>
      </c>
      <c r="H31" s="91"/>
      <c r="I31" s="91"/>
      <c r="J31" s="231"/>
    </row>
    <row r="32" spans="1:10" ht="12.75">
      <c r="A32" s="90">
        <v>40517</v>
      </c>
      <c r="B32" s="307">
        <f t="shared" si="0"/>
        <v>66</v>
      </c>
      <c r="C32" s="41">
        <f t="shared" si="1"/>
        <v>183497020</v>
      </c>
      <c r="D32" s="41">
        <f>D30</f>
        <v>2959640</v>
      </c>
      <c r="E32" s="302"/>
      <c r="F32" s="41"/>
      <c r="G32" s="41"/>
      <c r="H32" s="91"/>
      <c r="I32" s="91"/>
      <c r="J32" s="231"/>
    </row>
    <row r="33" spans="1:10" ht="12.75">
      <c r="A33" s="97">
        <v>40543</v>
      </c>
      <c r="B33" s="308">
        <f aca="true" t="shared" si="3" ref="B33:B64">A33-A32</f>
        <v>26</v>
      </c>
      <c r="C33" s="99">
        <f t="shared" si="1"/>
        <v>183497020</v>
      </c>
      <c r="D33" s="99"/>
      <c r="E33" s="303">
        <f>E31</f>
        <v>0.06127</v>
      </c>
      <c r="F33" s="99">
        <f>((C32+D32)*E33/360*B32)+((C33+D33)*E33/360*B33)</f>
        <v>2906421.093448889</v>
      </c>
      <c r="G33" s="99">
        <f>G31</f>
        <v>38290</v>
      </c>
      <c r="H33" s="300">
        <f>SUM(F27:G33)</f>
        <v>11958670.710723888</v>
      </c>
      <c r="I33" s="300">
        <f>SUM(D26:D33)</f>
        <v>11838560</v>
      </c>
      <c r="J33" s="301">
        <f>SUM(H33:I33)</f>
        <v>23797230.710723888</v>
      </c>
    </row>
    <row r="34" spans="1:10" ht="12.75">
      <c r="A34" s="103">
        <v>40607</v>
      </c>
      <c r="B34" s="306">
        <f t="shared" si="3"/>
        <v>64</v>
      </c>
      <c r="C34" s="42">
        <f t="shared" si="1"/>
        <v>180537380</v>
      </c>
      <c r="D34" s="42">
        <f>D32</f>
        <v>2959640</v>
      </c>
      <c r="E34" s="104"/>
      <c r="F34" s="104"/>
      <c r="G34" s="104"/>
      <c r="H34" s="104"/>
      <c r="I34" s="104"/>
      <c r="J34" s="242"/>
    </row>
    <row r="35" spans="1:10" ht="12.75">
      <c r="A35" s="90">
        <v>40633</v>
      </c>
      <c r="B35" s="307">
        <f t="shared" si="3"/>
        <v>26</v>
      </c>
      <c r="C35" s="41">
        <f t="shared" si="1"/>
        <v>180537380</v>
      </c>
      <c r="D35" s="41"/>
      <c r="E35" s="302">
        <f>E33</f>
        <v>0.06127</v>
      </c>
      <c r="F35" s="41">
        <f>((C34+D34)*E35/360*B34)+((C35+D35)*E35/360*B35)</f>
        <v>2797619.0324255554</v>
      </c>
      <c r="G35" s="41">
        <f>G33</f>
        <v>38290</v>
      </c>
      <c r="H35" s="91"/>
      <c r="I35" s="91"/>
      <c r="J35" s="231"/>
    </row>
    <row r="36" spans="1:10" ht="12.75">
      <c r="A36" s="90">
        <v>40699</v>
      </c>
      <c r="B36" s="307">
        <f t="shared" si="3"/>
        <v>66</v>
      </c>
      <c r="C36" s="41">
        <f t="shared" si="1"/>
        <v>177577740</v>
      </c>
      <c r="D36" s="41">
        <f>D34</f>
        <v>2959640</v>
      </c>
      <c r="E36" s="302"/>
      <c r="F36" s="41"/>
      <c r="G36" s="41"/>
      <c r="H36" s="91"/>
      <c r="I36" s="91"/>
      <c r="J36" s="231"/>
    </row>
    <row r="37" spans="1:10" ht="12.75">
      <c r="A37" s="90">
        <v>40724</v>
      </c>
      <c r="B37" s="307">
        <f t="shared" si="3"/>
        <v>25</v>
      </c>
      <c r="C37" s="41">
        <f aca="true" t="shared" si="4" ref="C37:C68">C36-D37</f>
        <v>177577740</v>
      </c>
      <c r="D37" s="41"/>
      <c r="E37" s="302">
        <f>E35</f>
        <v>0.06127</v>
      </c>
      <c r="F37" s="41">
        <f>((C36+D36)*E37/360*B36)+((C37+D37)*E37/360*B37)</f>
        <v>2783514.9201016664</v>
      </c>
      <c r="G37" s="41">
        <f>G35</f>
        <v>38290</v>
      </c>
      <c r="H37" s="91"/>
      <c r="I37" s="91"/>
      <c r="J37" s="231"/>
    </row>
    <row r="38" spans="1:10" ht="12.75">
      <c r="A38" s="90">
        <v>40791</v>
      </c>
      <c r="B38" s="307">
        <f t="shared" si="3"/>
        <v>67</v>
      </c>
      <c r="C38" s="41">
        <f t="shared" si="4"/>
        <v>174618100</v>
      </c>
      <c r="D38" s="41">
        <f>D36</f>
        <v>2959640</v>
      </c>
      <c r="E38" s="302"/>
      <c r="F38" s="41"/>
      <c r="G38" s="41"/>
      <c r="H38" s="91"/>
      <c r="I38" s="91"/>
      <c r="J38" s="231"/>
    </row>
    <row r="39" spans="1:10" ht="12.75">
      <c r="A39" s="90">
        <v>40816</v>
      </c>
      <c r="B39" s="307">
        <f t="shared" si="3"/>
        <v>25</v>
      </c>
      <c r="C39" s="41">
        <f t="shared" si="4"/>
        <v>174618100</v>
      </c>
      <c r="D39" s="41"/>
      <c r="E39" s="302">
        <f>E37</f>
        <v>0.06127</v>
      </c>
      <c r="F39" s="41">
        <f>((C38+D38)*E39/360*B38)+((C39+D39)*E39/360*B39)</f>
        <v>2767899.664921111</v>
      </c>
      <c r="G39" s="41">
        <f>G37</f>
        <v>38290</v>
      </c>
      <c r="H39" s="91"/>
      <c r="I39" s="91"/>
      <c r="J39" s="231"/>
    </row>
    <row r="40" spans="1:10" ht="12.75">
      <c r="A40" s="90">
        <v>40882</v>
      </c>
      <c r="B40" s="307">
        <f t="shared" si="3"/>
        <v>66</v>
      </c>
      <c r="C40" s="41">
        <f t="shared" si="4"/>
        <v>171658460</v>
      </c>
      <c r="D40" s="41">
        <f>D38</f>
        <v>2959640</v>
      </c>
      <c r="E40" s="302"/>
      <c r="F40" s="41"/>
      <c r="G40" s="41"/>
      <c r="H40" s="91"/>
      <c r="I40" s="91"/>
      <c r="J40" s="231"/>
    </row>
    <row r="41" spans="1:10" ht="12.75">
      <c r="A41" s="97">
        <v>40908</v>
      </c>
      <c r="B41" s="308">
        <f t="shared" si="3"/>
        <v>26</v>
      </c>
      <c r="C41" s="99">
        <f t="shared" si="4"/>
        <v>171658460</v>
      </c>
      <c r="D41" s="99"/>
      <c r="E41" s="303">
        <f>E39</f>
        <v>0.06127</v>
      </c>
      <c r="F41" s="99">
        <f>((C40+D40)*E41/360*B40)+((C41+D41)*E41/360*B41)</f>
        <v>2721054.2363644447</v>
      </c>
      <c r="G41" s="99">
        <f>G39</f>
        <v>38290</v>
      </c>
      <c r="H41" s="300">
        <f>SUM(F35:G41)</f>
        <v>11223247.853812777</v>
      </c>
      <c r="I41" s="300">
        <f>SUM(D34:D41)</f>
        <v>11838560</v>
      </c>
      <c r="J41" s="301">
        <f>SUM(H41:I41)</f>
        <v>23061807.853812777</v>
      </c>
    </row>
    <row r="42" spans="1:10" ht="12.75">
      <c r="A42" s="103">
        <v>40973</v>
      </c>
      <c r="B42" s="306">
        <f t="shared" si="3"/>
        <v>65</v>
      </c>
      <c r="C42" s="42">
        <f t="shared" si="4"/>
        <v>168698820</v>
      </c>
      <c r="D42" s="42">
        <f>D40</f>
        <v>2959640</v>
      </c>
      <c r="E42" s="104"/>
      <c r="F42" s="104"/>
      <c r="G42" s="104"/>
      <c r="H42" s="104"/>
      <c r="I42" s="104"/>
      <c r="J42" s="242"/>
    </row>
    <row r="43" spans="1:10" ht="12.75">
      <c r="A43" s="90">
        <v>40999</v>
      </c>
      <c r="B43" s="307">
        <f t="shared" si="3"/>
        <v>26</v>
      </c>
      <c r="C43" s="41">
        <f t="shared" si="4"/>
        <v>168698820</v>
      </c>
      <c r="D43" s="41"/>
      <c r="E43" s="302">
        <f>E41</f>
        <v>0.06127</v>
      </c>
      <c r="F43" s="41">
        <f>((C42+D42)*E43/360*B42)+((C43+D43)*E43/360*B43)</f>
        <v>2645497.2058594446</v>
      </c>
      <c r="G43" s="41">
        <f>G41</f>
        <v>38290</v>
      </c>
      <c r="H43" s="91"/>
      <c r="I43" s="91"/>
      <c r="J43" s="231"/>
    </row>
    <row r="44" spans="1:10" ht="12.75">
      <c r="A44" s="90">
        <v>41065</v>
      </c>
      <c r="B44" s="307">
        <f t="shared" si="3"/>
        <v>66</v>
      </c>
      <c r="C44" s="41">
        <f t="shared" si="4"/>
        <v>165739180</v>
      </c>
      <c r="D44" s="41">
        <f>D42</f>
        <v>2959640</v>
      </c>
      <c r="E44" s="302"/>
      <c r="F44" s="41"/>
      <c r="G44" s="41"/>
      <c r="H44" s="91"/>
      <c r="I44" s="91"/>
      <c r="J44" s="231"/>
    </row>
    <row r="45" spans="1:10" ht="12.75">
      <c r="A45" s="90">
        <v>41090</v>
      </c>
      <c r="B45" s="307">
        <f t="shared" si="3"/>
        <v>25</v>
      </c>
      <c r="C45" s="41">
        <f t="shared" si="4"/>
        <v>165739180</v>
      </c>
      <c r="D45" s="41"/>
      <c r="E45" s="302">
        <f>E43</f>
        <v>0.06127</v>
      </c>
      <c r="F45" s="41">
        <f>((C44+D44)*E45/360*B44)+((C45+D45)*E45/360*B45)</f>
        <v>2600162.9201594447</v>
      </c>
      <c r="G45" s="41">
        <f>G43</f>
        <v>38290</v>
      </c>
      <c r="H45" s="91"/>
      <c r="I45" s="91"/>
      <c r="J45" s="231"/>
    </row>
    <row r="46" spans="1:10" ht="12.75">
      <c r="A46" s="90">
        <v>41157</v>
      </c>
      <c r="B46" s="307">
        <f t="shared" si="3"/>
        <v>67</v>
      </c>
      <c r="C46" s="41">
        <f t="shared" si="4"/>
        <v>162779540</v>
      </c>
      <c r="D46" s="41">
        <f>D44</f>
        <v>2959640</v>
      </c>
      <c r="E46" s="302"/>
      <c r="F46" s="41"/>
      <c r="G46" s="41"/>
      <c r="H46" s="91"/>
      <c r="I46" s="91"/>
      <c r="J46" s="231"/>
    </row>
    <row r="47" spans="1:10" ht="12.75">
      <c r="A47" s="90">
        <v>41182</v>
      </c>
      <c r="B47" s="307">
        <f t="shared" si="3"/>
        <v>25</v>
      </c>
      <c r="C47" s="41">
        <f t="shared" si="4"/>
        <v>162779540</v>
      </c>
      <c r="D47" s="41"/>
      <c r="E47" s="302">
        <f>E45</f>
        <v>0.06127</v>
      </c>
      <c r="F47" s="41">
        <f>((C46+D46)*E47/360*B46)+((C47+D47)*E47/360*B47)</f>
        <v>2582532.8078366667</v>
      </c>
      <c r="G47" s="41">
        <f>G45</f>
        <v>38290</v>
      </c>
      <c r="H47" s="91"/>
      <c r="I47" s="91"/>
      <c r="J47" s="231"/>
    </row>
    <row r="48" spans="1:10" ht="12.75">
      <c r="A48" s="90">
        <v>41248</v>
      </c>
      <c r="B48" s="307">
        <f t="shared" si="3"/>
        <v>66</v>
      </c>
      <c r="C48" s="41">
        <f t="shared" si="4"/>
        <v>159819900</v>
      </c>
      <c r="D48" s="41">
        <f>D46</f>
        <v>2959640</v>
      </c>
      <c r="E48" s="302"/>
      <c r="F48" s="41"/>
      <c r="G48" s="41"/>
      <c r="H48" s="91"/>
      <c r="I48" s="91"/>
      <c r="J48" s="231"/>
    </row>
    <row r="49" spans="1:10" ht="12.75">
      <c r="A49" s="97">
        <v>41274</v>
      </c>
      <c r="B49" s="308">
        <f t="shared" si="3"/>
        <v>26</v>
      </c>
      <c r="C49" s="99">
        <f t="shared" si="4"/>
        <v>159819900</v>
      </c>
      <c r="D49" s="99"/>
      <c r="E49" s="303">
        <f>E47</f>
        <v>0.06127</v>
      </c>
      <c r="F49" s="99">
        <f>((C48+D48)*E49/360*B48)+((C49+D49)*E49/360*B49)</f>
        <v>2535687.37928</v>
      </c>
      <c r="G49" s="99">
        <f>G47</f>
        <v>38290</v>
      </c>
      <c r="H49" s="300">
        <f>SUM(F43:G49)</f>
        <v>10517040.313135557</v>
      </c>
      <c r="I49" s="300">
        <f>SUM(D42:D49)</f>
        <v>11838560</v>
      </c>
      <c r="J49" s="301">
        <f>SUM(H49:I49)</f>
        <v>22355600.313135557</v>
      </c>
    </row>
    <row r="50" spans="1:10" ht="12.75">
      <c r="A50" s="103">
        <v>41338</v>
      </c>
      <c r="B50" s="306">
        <f t="shared" si="3"/>
        <v>64</v>
      </c>
      <c r="C50" s="42">
        <f t="shared" si="4"/>
        <v>156860260</v>
      </c>
      <c r="D50" s="42">
        <f>D48</f>
        <v>2959640</v>
      </c>
      <c r="E50" s="104"/>
      <c r="F50" s="104"/>
      <c r="G50" s="104"/>
      <c r="H50" s="104"/>
      <c r="I50" s="104"/>
      <c r="J50" s="242"/>
    </row>
    <row r="51" spans="1:10" ht="12.75">
      <c r="A51" s="90">
        <v>41364</v>
      </c>
      <c r="B51" s="307">
        <f t="shared" si="3"/>
        <v>26</v>
      </c>
      <c r="C51" s="41">
        <f t="shared" si="4"/>
        <v>156860260</v>
      </c>
      <c r="D51" s="41"/>
      <c r="E51" s="302">
        <f>E49</f>
        <v>0.06127</v>
      </c>
      <c r="F51" s="41">
        <f>((C50+D50)*E51/360*B50)+((C51+D51)*E51/360*B51)</f>
        <v>2434944.746825556</v>
      </c>
      <c r="G51" s="41">
        <f>G49</f>
        <v>38290</v>
      </c>
      <c r="H51" s="91"/>
      <c r="I51" s="91"/>
      <c r="J51" s="231"/>
    </row>
    <row r="52" spans="1:10" ht="12.75">
      <c r="A52" s="90">
        <v>41430</v>
      </c>
      <c r="B52" s="307">
        <f t="shared" si="3"/>
        <v>66</v>
      </c>
      <c r="C52" s="41">
        <f t="shared" si="4"/>
        <v>153900620</v>
      </c>
      <c r="D52" s="41">
        <f>D50</f>
        <v>2959640</v>
      </c>
      <c r="E52" s="302"/>
      <c r="F52" s="41"/>
      <c r="G52" s="41"/>
      <c r="H52" s="91"/>
      <c r="I52" s="91"/>
      <c r="J52" s="231"/>
    </row>
    <row r="53" spans="1:10" ht="12.75">
      <c r="A53" s="90">
        <v>41455</v>
      </c>
      <c r="B53" s="307">
        <f t="shared" si="3"/>
        <v>25</v>
      </c>
      <c r="C53" s="41">
        <f t="shared" si="4"/>
        <v>153900620</v>
      </c>
      <c r="D53" s="41"/>
      <c r="E53" s="302">
        <f>E51</f>
        <v>0.06127</v>
      </c>
      <c r="F53" s="41">
        <f>((C52+D52)*E53/360*B52)+((C53+D53)*E53/360*B53)</f>
        <v>2416810.9202172225</v>
      </c>
      <c r="G53" s="41">
        <f>G51</f>
        <v>38290</v>
      </c>
      <c r="H53" s="91"/>
      <c r="I53" s="91"/>
      <c r="J53" s="231"/>
    </row>
    <row r="54" spans="1:10" ht="12.75">
      <c r="A54" s="90">
        <v>41522</v>
      </c>
      <c r="B54" s="307">
        <f t="shared" si="3"/>
        <v>67</v>
      </c>
      <c r="C54" s="41">
        <f t="shared" si="4"/>
        <v>150940980</v>
      </c>
      <c r="D54" s="41">
        <f>D52</f>
        <v>2959640</v>
      </c>
      <c r="E54" s="302"/>
      <c r="F54" s="41"/>
      <c r="G54" s="41"/>
      <c r="H54" s="91"/>
      <c r="I54" s="91"/>
      <c r="J54" s="231"/>
    </row>
    <row r="55" spans="1:10" ht="12.75">
      <c r="A55" s="90">
        <v>41547</v>
      </c>
      <c r="B55" s="307">
        <f t="shared" si="3"/>
        <v>25</v>
      </c>
      <c r="C55" s="41">
        <f t="shared" si="4"/>
        <v>150940980</v>
      </c>
      <c r="D55" s="41"/>
      <c r="E55" s="302">
        <f>E53</f>
        <v>0.06127</v>
      </c>
      <c r="F55" s="41">
        <f>((C54+D54)*E55/360*B54)+((C55+D55)*E55/360*B55)</f>
        <v>2397165.950752222</v>
      </c>
      <c r="G55" s="41">
        <f>G53</f>
        <v>38290</v>
      </c>
      <c r="H55" s="91"/>
      <c r="I55" s="91"/>
      <c r="J55" s="231"/>
    </row>
    <row r="56" spans="1:10" ht="12.75">
      <c r="A56" s="90">
        <v>41613</v>
      </c>
      <c r="B56" s="307">
        <f t="shared" si="3"/>
        <v>66</v>
      </c>
      <c r="C56" s="41">
        <f t="shared" si="4"/>
        <v>147981340</v>
      </c>
      <c r="D56" s="41">
        <f>D54</f>
        <v>2959640</v>
      </c>
      <c r="E56" s="302"/>
      <c r="F56" s="41"/>
      <c r="G56" s="41"/>
      <c r="H56" s="91"/>
      <c r="I56" s="91"/>
      <c r="J56" s="231"/>
    </row>
    <row r="57" spans="1:10" ht="12.75">
      <c r="A57" s="97">
        <v>41639</v>
      </c>
      <c r="B57" s="308">
        <f t="shared" si="3"/>
        <v>26</v>
      </c>
      <c r="C57" s="99">
        <f t="shared" si="4"/>
        <v>147981340</v>
      </c>
      <c r="D57" s="99"/>
      <c r="E57" s="303">
        <f>E55</f>
        <v>0.06127</v>
      </c>
      <c r="F57" s="99">
        <f>((C56+D56)*E57/360*B56)+((C57+D57)*E57/360*B57)</f>
        <v>2350320.5221955553</v>
      </c>
      <c r="G57" s="99">
        <f>G55</f>
        <v>38290</v>
      </c>
      <c r="H57" s="300">
        <f>SUM(F51:G57)</f>
        <v>9752402.139990557</v>
      </c>
      <c r="I57" s="300">
        <f>SUM(D50:D57)</f>
        <v>11838560</v>
      </c>
      <c r="J57" s="301">
        <f>SUM(H57:I57)</f>
        <v>21590962.139990557</v>
      </c>
    </row>
    <row r="58" spans="1:10" ht="12.75">
      <c r="A58" s="103">
        <v>41703</v>
      </c>
      <c r="B58" s="306">
        <f t="shared" si="3"/>
        <v>64</v>
      </c>
      <c r="C58" s="42">
        <f t="shared" si="4"/>
        <v>145021700</v>
      </c>
      <c r="D58" s="42">
        <f>D56</f>
        <v>2959640</v>
      </c>
      <c r="E58" s="104"/>
      <c r="F58" s="104"/>
      <c r="G58" s="104"/>
      <c r="H58" s="104"/>
      <c r="I58" s="104"/>
      <c r="J58" s="242"/>
    </row>
    <row r="59" spans="1:10" ht="12.75">
      <c r="A59" s="90">
        <v>41729</v>
      </c>
      <c r="B59" s="307">
        <f t="shared" si="3"/>
        <v>26</v>
      </c>
      <c r="C59" s="41">
        <f t="shared" si="4"/>
        <v>145021700</v>
      </c>
      <c r="D59" s="41"/>
      <c r="E59" s="302">
        <f>E57</f>
        <v>0.06127</v>
      </c>
      <c r="F59" s="41">
        <f>((C58+D58)*E59/360*B58)+((C59+D59)*E59/360*B59)</f>
        <v>2253607.604025556</v>
      </c>
      <c r="G59" s="41">
        <f>G57</f>
        <v>38290</v>
      </c>
      <c r="H59" s="91"/>
      <c r="I59" s="91"/>
      <c r="J59" s="231"/>
    </row>
    <row r="60" spans="1:10" ht="12.75">
      <c r="A60" s="90">
        <v>41795</v>
      </c>
      <c r="B60" s="307">
        <f t="shared" si="3"/>
        <v>66</v>
      </c>
      <c r="C60" s="41">
        <f t="shared" si="4"/>
        <v>142062060</v>
      </c>
      <c r="D60" s="41">
        <f>D58</f>
        <v>2959640</v>
      </c>
      <c r="E60" s="302"/>
      <c r="F60" s="41"/>
      <c r="G60" s="41"/>
      <c r="H60" s="91"/>
      <c r="I60" s="91"/>
      <c r="J60" s="231"/>
    </row>
    <row r="61" spans="1:10" ht="12.75">
      <c r="A61" s="90">
        <v>41820</v>
      </c>
      <c r="B61" s="307">
        <f t="shared" si="3"/>
        <v>25</v>
      </c>
      <c r="C61" s="41">
        <f t="shared" si="4"/>
        <v>142062060</v>
      </c>
      <c r="D61" s="41"/>
      <c r="E61" s="302">
        <f>E59</f>
        <v>0.06127</v>
      </c>
      <c r="F61" s="41">
        <f>((C60+D60)*E61/360*B60)+((C61+D61)*E61/360*B61)</f>
        <v>2233458.920275</v>
      </c>
      <c r="G61" s="41">
        <f>G59</f>
        <v>38290</v>
      </c>
      <c r="H61" s="91"/>
      <c r="I61" s="91"/>
      <c r="J61" s="231"/>
    </row>
    <row r="62" spans="1:10" ht="12.75">
      <c r="A62" s="90">
        <v>41887</v>
      </c>
      <c r="B62" s="307">
        <f t="shared" si="3"/>
        <v>67</v>
      </c>
      <c r="C62" s="41">
        <f t="shared" si="4"/>
        <v>139102420</v>
      </c>
      <c r="D62" s="41">
        <f>D60</f>
        <v>2959640</v>
      </c>
      <c r="E62" s="302"/>
      <c r="F62" s="41"/>
      <c r="G62" s="41"/>
      <c r="H62" s="91"/>
      <c r="I62" s="91"/>
      <c r="J62" s="231"/>
    </row>
    <row r="63" spans="1:10" ht="12.75">
      <c r="A63" s="90">
        <v>41912</v>
      </c>
      <c r="B63" s="307">
        <f t="shared" si="3"/>
        <v>25</v>
      </c>
      <c r="C63" s="41">
        <f t="shared" si="4"/>
        <v>139102420</v>
      </c>
      <c r="D63" s="41"/>
      <c r="E63" s="302">
        <f>E61</f>
        <v>0.06127</v>
      </c>
      <c r="F63" s="41">
        <f>((C62+D62)*E63/360*B62)+((C63+D63)*E63/360*B63)</f>
        <v>2211799.0936677773</v>
      </c>
      <c r="G63" s="41">
        <f>G61</f>
        <v>38290</v>
      </c>
      <c r="H63" s="91"/>
      <c r="I63" s="91"/>
      <c r="J63" s="231"/>
    </row>
    <row r="64" spans="1:10" ht="12.75">
      <c r="A64" s="90">
        <v>41978</v>
      </c>
      <c r="B64" s="307">
        <f t="shared" si="3"/>
        <v>66</v>
      </c>
      <c r="C64" s="41">
        <f t="shared" si="4"/>
        <v>136142780</v>
      </c>
      <c r="D64" s="41">
        <f>D62</f>
        <v>2959640</v>
      </c>
      <c r="E64" s="302"/>
      <c r="F64" s="41"/>
      <c r="G64" s="41"/>
      <c r="H64" s="91"/>
      <c r="I64" s="91"/>
      <c r="J64" s="231"/>
    </row>
    <row r="65" spans="1:10" ht="12.75">
      <c r="A65" s="97">
        <v>42004</v>
      </c>
      <c r="B65" s="308">
        <f aca="true" t="shared" si="5" ref="B65:B96">A65-A64</f>
        <v>26</v>
      </c>
      <c r="C65" s="99">
        <f t="shared" si="4"/>
        <v>136142780</v>
      </c>
      <c r="D65" s="99"/>
      <c r="E65" s="303">
        <f>E63</f>
        <v>0.06127</v>
      </c>
      <c r="F65" s="99">
        <f>((C64+D64)*E65/360*B64)+((C65+D65)*E65/360*B65)</f>
        <v>2164953.665111111</v>
      </c>
      <c r="G65" s="99">
        <f>G63</f>
        <v>38290</v>
      </c>
      <c r="H65" s="300">
        <f>SUM(F59:G65)</f>
        <v>9016979.283079443</v>
      </c>
      <c r="I65" s="300">
        <f>SUM(D58:D65)</f>
        <v>11838560</v>
      </c>
      <c r="J65" s="301">
        <f>SUM(H65:I65)</f>
        <v>20855539.283079445</v>
      </c>
    </row>
    <row r="66" spans="1:10" ht="12.75">
      <c r="A66" s="103">
        <v>42068</v>
      </c>
      <c r="B66" s="306">
        <f t="shared" si="5"/>
        <v>64</v>
      </c>
      <c r="C66" s="42">
        <f t="shared" si="4"/>
        <v>133183140</v>
      </c>
      <c r="D66" s="42">
        <f>D64</f>
        <v>2959640</v>
      </c>
      <c r="E66" s="104"/>
      <c r="F66" s="104"/>
      <c r="G66" s="104"/>
      <c r="H66" s="104"/>
      <c r="I66" s="104"/>
      <c r="J66" s="242"/>
    </row>
    <row r="67" spans="1:10" ht="12.75">
      <c r="A67" s="90">
        <v>42094</v>
      </c>
      <c r="B67" s="307">
        <f t="shared" si="5"/>
        <v>26</v>
      </c>
      <c r="C67" s="41">
        <f t="shared" si="4"/>
        <v>133183140</v>
      </c>
      <c r="D67" s="41"/>
      <c r="E67" s="302">
        <f>E65</f>
        <v>0.06127</v>
      </c>
      <c r="F67" s="41">
        <f>((C66+D66)*E67/360*B66)+((C67+D67)*E67/360*B67)</f>
        <v>2072270.4612255553</v>
      </c>
      <c r="G67" s="41">
        <f>G65</f>
        <v>38290</v>
      </c>
      <c r="H67" s="91"/>
      <c r="I67" s="91"/>
      <c r="J67" s="231"/>
    </row>
    <row r="68" spans="1:10" ht="12.75">
      <c r="A68" s="90">
        <v>42160</v>
      </c>
      <c r="B68" s="307">
        <f t="shared" si="5"/>
        <v>66</v>
      </c>
      <c r="C68" s="41">
        <f t="shared" si="4"/>
        <v>130223500</v>
      </c>
      <c r="D68" s="41">
        <f>D66</f>
        <v>2959640</v>
      </c>
      <c r="E68" s="302"/>
      <c r="F68" s="41"/>
      <c r="G68" s="41"/>
      <c r="H68" s="91"/>
      <c r="I68" s="91"/>
      <c r="J68" s="231"/>
    </row>
    <row r="69" spans="1:10" ht="12.75">
      <c r="A69" s="90">
        <v>42185</v>
      </c>
      <c r="B69" s="307">
        <f t="shared" si="5"/>
        <v>25</v>
      </c>
      <c r="C69" s="41">
        <f aca="true" t="shared" si="6" ref="C69:C100">C68-D69</f>
        <v>130223500</v>
      </c>
      <c r="D69" s="41"/>
      <c r="E69" s="302">
        <f>E67</f>
        <v>0.06127</v>
      </c>
      <c r="F69" s="41">
        <f>((C68+D68)*E69/360*B68)+((C69+D69)*E69/360*B69)</f>
        <v>2050106.9203327775</v>
      </c>
      <c r="G69" s="41">
        <f>G67</f>
        <v>38290</v>
      </c>
      <c r="H69" s="91"/>
      <c r="I69" s="91"/>
      <c r="J69" s="231"/>
    </row>
    <row r="70" spans="1:10" ht="12.75">
      <c r="A70" s="90">
        <v>42252</v>
      </c>
      <c r="B70" s="307">
        <f t="shared" si="5"/>
        <v>67</v>
      </c>
      <c r="C70" s="41">
        <f t="shared" si="6"/>
        <v>127263860</v>
      </c>
      <c r="D70" s="41">
        <f>D68</f>
        <v>2959640</v>
      </c>
      <c r="E70" s="302"/>
      <c r="F70" s="41"/>
      <c r="G70" s="41"/>
      <c r="H70" s="91"/>
      <c r="I70" s="91"/>
      <c r="J70" s="231"/>
    </row>
    <row r="71" spans="1:10" ht="12.75">
      <c r="A71" s="90">
        <v>42277</v>
      </c>
      <c r="B71" s="307">
        <f t="shared" si="5"/>
        <v>25</v>
      </c>
      <c r="C71" s="41">
        <f t="shared" si="6"/>
        <v>127263860</v>
      </c>
      <c r="D71" s="41"/>
      <c r="E71" s="302">
        <f>E69</f>
        <v>0.06127</v>
      </c>
      <c r="F71" s="41">
        <f>((C70+D70)*E71/360*B70)+((C71+D71)*E71/360*B71)</f>
        <v>2026432.2365833332</v>
      </c>
      <c r="G71" s="41">
        <f>G69</f>
        <v>38290</v>
      </c>
      <c r="H71" s="91"/>
      <c r="I71" s="91"/>
      <c r="J71" s="231"/>
    </row>
    <row r="72" spans="1:10" ht="12.75">
      <c r="A72" s="90">
        <v>42343</v>
      </c>
      <c r="B72" s="307">
        <f t="shared" si="5"/>
        <v>66</v>
      </c>
      <c r="C72" s="41">
        <f t="shared" si="6"/>
        <v>124304220</v>
      </c>
      <c r="D72" s="41">
        <f>D70</f>
        <v>2959640</v>
      </c>
      <c r="E72" s="302"/>
      <c r="F72" s="41"/>
      <c r="G72" s="41"/>
      <c r="H72" s="91"/>
      <c r="I72" s="91"/>
      <c r="J72" s="231"/>
    </row>
    <row r="73" spans="1:10" ht="12.75">
      <c r="A73" s="97">
        <v>42369</v>
      </c>
      <c r="B73" s="308">
        <f t="shared" si="5"/>
        <v>26</v>
      </c>
      <c r="C73" s="99">
        <f t="shared" si="6"/>
        <v>124304220</v>
      </c>
      <c r="D73" s="99"/>
      <c r="E73" s="303">
        <f>E71</f>
        <v>0.06127</v>
      </c>
      <c r="F73" s="99">
        <f>((C72+D72)*E73/360*B72)+((C73+D73)*E73/360*B73)</f>
        <v>1979586.8080266668</v>
      </c>
      <c r="G73" s="99">
        <f>G71</f>
        <v>38290</v>
      </c>
      <c r="H73" s="300">
        <f>SUM(F67:G73)</f>
        <v>8281556.426168333</v>
      </c>
      <c r="I73" s="300">
        <f>SUM(D66:D73)</f>
        <v>11838560</v>
      </c>
      <c r="J73" s="301">
        <f>SUM(H73:I73)</f>
        <v>20120116.426168334</v>
      </c>
    </row>
    <row r="74" spans="1:10" ht="12.75">
      <c r="A74" s="103">
        <v>42434</v>
      </c>
      <c r="B74" s="306">
        <f t="shared" si="5"/>
        <v>65</v>
      </c>
      <c r="C74" s="42">
        <f t="shared" si="6"/>
        <v>121344580</v>
      </c>
      <c r="D74" s="42">
        <f>D72</f>
        <v>2959640</v>
      </c>
      <c r="E74" s="104"/>
      <c r="F74" s="104"/>
      <c r="G74" s="104"/>
      <c r="H74" s="104"/>
      <c r="I74" s="104"/>
      <c r="J74" s="242"/>
    </row>
    <row r="75" spans="1:10" ht="12.75">
      <c r="A75" s="90">
        <v>42460</v>
      </c>
      <c r="B75" s="307">
        <f t="shared" si="5"/>
        <v>26</v>
      </c>
      <c r="C75" s="41">
        <f t="shared" si="6"/>
        <v>121344580</v>
      </c>
      <c r="D75" s="41"/>
      <c r="E75" s="302">
        <f>E73</f>
        <v>0.06127</v>
      </c>
      <c r="F75" s="41">
        <f>((C74+D74)*E75/360*B74)+((C75+D75)*E75/360*B75)</f>
        <v>1912089.2060905555</v>
      </c>
      <c r="G75" s="41">
        <f>G73</f>
        <v>38290</v>
      </c>
      <c r="H75" s="91"/>
      <c r="I75" s="91"/>
      <c r="J75" s="231"/>
    </row>
    <row r="76" spans="1:10" ht="12.75">
      <c r="A76" s="90">
        <v>42526</v>
      </c>
      <c r="B76" s="307">
        <f t="shared" si="5"/>
        <v>66</v>
      </c>
      <c r="C76" s="41">
        <f t="shared" si="6"/>
        <v>118384940</v>
      </c>
      <c r="D76" s="41">
        <f>D74</f>
        <v>2959640</v>
      </c>
      <c r="E76" s="302"/>
      <c r="F76" s="41"/>
      <c r="G76" s="41"/>
      <c r="H76" s="91"/>
      <c r="I76" s="91"/>
      <c r="J76" s="231"/>
    </row>
    <row r="77" spans="1:10" ht="12.75">
      <c r="A77" s="90">
        <v>42551</v>
      </c>
      <c r="B77" s="307">
        <f t="shared" si="5"/>
        <v>25</v>
      </c>
      <c r="C77" s="41">
        <f t="shared" si="6"/>
        <v>118384940</v>
      </c>
      <c r="D77" s="41"/>
      <c r="E77" s="302">
        <f>E75</f>
        <v>0.06127</v>
      </c>
      <c r="F77" s="41">
        <f>((C76+D76)*E77/360*B76)+((C77+D77)*E77/360*B77)</f>
        <v>1866754.9203905554</v>
      </c>
      <c r="G77" s="41">
        <f>G75</f>
        <v>38290</v>
      </c>
      <c r="H77" s="91"/>
      <c r="I77" s="91"/>
      <c r="J77" s="231"/>
    </row>
    <row r="78" spans="1:10" ht="12.75">
      <c r="A78" s="90">
        <v>42618</v>
      </c>
      <c r="B78" s="307">
        <f t="shared" si="5"/>
        <v>67</v>
      </c>
      <c r="C78" s="41">
        <f t="shared" si="6"/>
        <v>115425300</v>
      </c>
      <c r="D78" s="41">
        <f>D76</f>
        <v>2959640</v>
      </c>
      <c r="E78" s="302"/>
      <c r="F78" s="41"/>
      <c r="G78" s="41"/>
      <c r="H78" s="91"/>
      <c r="I78" s="91"/>
      <c r="J78" s="231"/>
    </row>
    <row r="79" spans="1:10" ht="12.75">
      <c r="A79" s="90">
        <v>42643</v>
      </c>
      <c r="B79" s="307">
        <f t="shared" si="5"/>
        <v>25</v>
      </c>
      <c r="C79" s="41">
        <f t="shared" si="6"/>
        <v>115425300</v>
      </c>
      <c r="D79" s="41"/>
      <c r="E79" s="302">
        <f>E77</f>
        <v>0.06127</v>
      </c>
      <c r="F79" s="41">
        <f>((C78+D78)*E79/360*B78)+((C79+D79)*E79/360*B79)</f>
        <v>1841065.3794988887</v>
      </c>
      <c r="G79" s="41">
        <f>G77</f>
        <v>38290</v>
      </c>
      <c r="H79" s="91"/>
      <c r="I79" s="91"/>
      <c r="J79" s="231"/>
    </row>
    <row r="80" spans="1:10" ht="12.75">
      <c r="A80" s="90">
        <v>42709</v>
      </c>
      <c r="B80" s="307">
        <f t="shared" si="5"/>
        <v>66</v>
      </c>
      <c r="C80" s="41">
        <f t="shared" si="6"/>
        <v>112465660</v>
      </c>
      <c r="D80" s="41">
        <f>D78</f>
        <v>2959640</v>
      </c>
      <c r="E80" s="302"/>
      <c r="F80" s="41"/>
      <c r="G80" s="41"/>
      <c r="H80" s="91"/>
      <c r="I80" s="91"/>
      <c r="J80" s="231"/>
    </row>
    <row r="81" spans="1:10" ht="12.75">
      <c r="A81" s="97">
        <v>42735</v>
      </c>
      <c r="B81" s="308">
        <f t="shared" si="5"/>
        <v>26</v>
      </c>
      <c r="C81" s="99">
        <f t="shared" si="6"/>
        <v>112465660</v>
      </c>
      <c r="D81" s="99"/>
      <c r="E81" s="303">
        <f>E79</f>
        <v>0.06127</v>
      </c>
      <c r="F81" s="99">
        <f>((C80+D80)*E81/360*B80)+((C81+D81)*E81/360*B81)</f>
        <v>1794219.950942222</v>
      </c>
      <c r="G81" s="99">
        <f>G79</f>
        <v>38290</v>
      </c>
      <c r="H81" s="300">
        <f>SUM(F75:G81)</f>
        <v>7567289.456922222</v>
      </c>
      <c r="I81" s="300">
        <f>SUM(D74:D81)</f>
        <v>11838560</v>
      </c>
      <c r="J81" s="301">
        <f>SUM(H81:I81)</f>
        <v>19405849.456922222</v>
      </c>
    </row>
    <row r="82" spans="1:10" ht="12.75">
      <c r="A82" s="103">
        <v>42799</v>
      </c>
      <c r="B82" s="306">
        <f t="shared" si="5"/>
        <v>64</v>
      </c>
      <c r="C82" s="42">
        <f t="shared" si="6"/>
        <v>109506020</v>
      </c>
      <c r="D82" s="42">
        <f>D80</f>
        <v>2959640</v>
      </c>
      <c r="E82" s="104"/>
      <c r="F82" s="104"/>
      <c r="G82" s="104"/>
      <c r="H82" s="104"/>
      <c r="I82" s="104"/>
      <c r="J82" s="242"/>
    </row>
    <row r="83" spans="1:10" ht="12.75">
      <c r="A83" s="90">
        <v>42825</v>
      </c>
      <c r="B83" s="307">
        <f t="shared" si="5"/>
        <v>26</v>
      </c>
      <c r="C83" s="41">
        <f t="shared" si="6"/>
        <v>109506020</v>
      </c>
      <c r="D83" s="41"/>
      <c r="E83" s="302">
        <f>E81</f>
        <v>0.06127</v>
      </c>
      <c r="F83" s="41">
        <f>((C82+D82)*E83/360*B82)+((C83+D83)*E83/360*B83)</f>
        <v>1709596.1756255555</v>
      </c>
      <c r="G83" s="41">
        <f>G81</f>
        <v>38290</v>
      </c>
      <c r="H83" s="91"/>
      <c r="I83" s="91"/>
      <c r="J83" s="231"/>
    </row>
    <row r="84" spans="1:10" ht="12.75">
      <c r="A84" s="90">
        <v>42891</v>
      </c>
      <c r="B84" s="307">
        <f t="shared" si="5"/>
        <v>66</v>
      </c>
      <c r="C84" s="41">
        <f t="shared" si="6"/>
        <v>106546380</v>
      </c>
      <c r="D84" s="41">
        <f>D82</f>
        <v>2959640</v>
      </c>
      <c r="E84" s="302"/>
      <c r="F84" s="41"/>
      <c r="G84" s="41"/>
      <c r="H84" s="91"/>
      <c r="I84" s="91"/>
      <c r="J84" s="231"/>
    </row>
    <row r="85" spans="1:10" ht="12.75">
      <c r="A85" s="90">
        <v>42916</v>
      </c>
      <c r="B85" s="307">
        <f t="shared" si="5"/>
        <v>25</v>
      </c>
      <c r="C85" s="41">
        <f t="shared" si="6"/>
        <v>106546380</v>
      </c>
      <c r="D85" s="41"/>
      <c r="E85" s="302">
        <f>E83</f>
        <v>0.06127</v>
      </c>
      <c r="F85" s="41">
        <f>((C84+D84)*E85/360*B84)+((C85+D85)*E85/360*B85)</f>
        <v>1683402.920448333</v>
      </c>
      <c r="G85" s="41">
        <f>G83</f>
        <v>38290</v>
      </c>
      <c r="H85" s="91"/>
      <c r="I85" s="91"/>
      <c r="J85" s="231"/>
    </row>
    <row r="86" spans="1:10" ht="12.75">
      <c r="A86" s="90">
        <v>42983</v>
      </c>
      <c r="B86" s="307">
        <f t="shared" si="5"/>
        <v>67</v>
      </c>
      <c r="C86" s="41">
        <f t="shared" si="6"/>
        <v>103586740</v>
      </c>
      <c r="D86" s="41">
        <f>D84</f>
        <v>2959640</v>
      </c>
      <c r="E86" s="302"/>
      <c r="F86" s="41"/>
      <c r="G86" s="41"/>
      <c r="H86" s="91"/>
      <c r="I86" s="91"/>
      <c r="J86" s="231"/>
    </row>
    <row r="87" spans="1:10" ht="12.75">
      <c r="A87" s="90">
        <v>43008</v>
      </c>
      <c r="B87" s="307">
        <f t="shared" si="5"/>
        <v>25</v>
      </c>
      <c r="C87" s="41">
        <f t="shared" si="6"/>
        <v>103586740</v>
      </c>
      <c r="D87" s="41"/>
      <c r="E87" s="302">
        <f>E85</f>
        <v>0.06127</v>
      </c>
      <c r="F87" s="41">
        <f>((C86+D86)*E87/360*B86)+((C87+D87)*E87/360*B87)</f>
        <v>1655698.522414444</v>
      </c>
      <c r="G87" s="41">
        <f>G85</f>
        <v>38290</v>
      </c>
      <c r="H87" s="91"/>
      <c r="I87" s="91"/>
      <c r="J87" s="231"/>
    </row>
    <row r="88" spans="1:10" ht="12.75">
      <c r="A88" s="90">
        <v>43074</v>
      </c>
      <c r="B88" s="307">
        <f t="shared" si="5"/>
        <v>66</v>
      </c>
      <c r="C88" s="41">
        <f t="shared" si="6"/>
        <v>100627100</v>
      </c>
      <c r="D88" s="41">
        <f>D86</f>
        <v>2959640</v>
      </c>
      <c r="E88" s="302"/>
      <c r="F88" s="41"/>
      <c r="G88" s="41"/>
      <c r="H88" s="91"/>
      <c r="I88" s="91"/>
      <c r="J88" s="231"/>
    </row>
    <row r="89" spans="1:10" ht="12.75">
      <c r="A89" s="97">
        <v>43100</v>
      </c>
      <c r="B89" s="308">
        <f t="shared" si="5"/>
        <v>26</v>
      </c>
      <c r="C89" s="99">
        <f t="shared" si="6"/>
        <v>100627100</v>
      </c>
      <c r="D89" s="99"/>
      <c r="E89" s="303">
        <f>E87</f>
        <v>0.06127</v>
      </c>
      <c r="F89" s="99">
        <f>((C88+D88)*E89/360*B88)+((C89+D89)*E89/360*B89)</f>
        <v>1608853.0938577775</v>
      </c>
      <c r="G89" s="99">
        <f>G87</f>
        <v>38290</v>
      </c>
      <c r="H89" s="300">
        <f>SUM(F83:G89)</f>
        <v>6810710.71234611</v>
      </c>
      <c r="I89" s="300">
        <f>SUM(D82:D89)</f>
        <v>11838560</v>
      </c>
      <c r="J89" s="301">
        <f>SUM(H89:I89)</f>
        <v>18649270.71234611</v>
      </c>
    </row>
    <row r="90" spans="1:10" ht="12.75">
      <c r="A90" s="103">
        <v>43164</v>
      </c>
      <c r="B90" s="306">
        <f t="shared" si="5"/>
        <v>64</v>
      </c>
      <c r="C90" s="42">
        <f t="shared" si="6"/>
        <v>97667460</v>
      </c>
      <c r="D90" s="42">
        <f>D88</f>
        <v>2959640</v>
      </c>
      <c r="E90" s="104"/>
      <c r="F90" s="104"/>
      <c r="G90" s="104"/>
      <c r="H90" s="104"/>
      <c r="I90" s="104"/>
      <c r="J90" s="242"/>
    </row>
    <row r="91" spans="1:10" ht="12.75">
      <c r="A91" s="90">
        <v>43190</v>
      </c>
      <c r="B91" s="307">
        <f t="shared" si="5"/>
        <v>26</v>
      </c>
      <c r="C91" s="41">
        <f t="shared" si="6"/>
        <v>97667460</v>
      </c>
      <c r="D91" s="41"/>
      <c r="E91" s="302">
        <f>E89</f>
        <v>0.06127</v>
      </c>
      <c r="F91" s="41">
        <f>((C90+D90)*E91/360*B90)+((C91+D91)*E91/360*B91)</f>
        <v>1528259.0328255552</v>
      </c>
      <c r="G91" s="41">
        <f>G89</f>
        <v>38290</v>
      </c>
      <c r="H91" s="91"/>
      <c r="I91" s="91"/>
      <c r="J91" s="231"/>
    </row>
    <row r="92" spans="1:10" ht="12.75">
      <c r="A92" s="90">
        <v>43256</v>
      </c>
      <c r="B92" s="307">
        <f t="shared" si="5"/>
        <v>66</v>
      </c>
      <c r="C92" s="41">
        <f t="shared" si="6"/>
        <v>94707820</v>
      </c>
      <c r="D92" s="41">
        <f>D90</f>
        <v>2959640</v>
      </c>
      <c r="E92" s="302"/>
      <c r="F92" s="41"/>
      <c r="G92" s="41"/>
      <c r="H92" s="91"/>
      <c r="I92" s="91"/>
      <c r="J92" s="231"/>
    </row>
    <row r="93" spans="1:10" ht="12.75">
      <c r="A93" s="90">
        <v>43281</v>
      </c>
      <c r="B93" s="307">
        <f t="shared" si="5"/>
        <v>25</v>
      </c>
      <c r="C93" s="41">
        <f t="shared" si="6"/>
        <v>94707820</v>
      </c>
      <c r="D93" s="41"/>
      <c r="E93" s="302">
        <f>E91</f>
        <v>0.06127</v>
      </c>
      <c r="F93" s="41">
        <f>((C92+D92)*E93/360*B92)+((C93+D93)*E93/360*B93)</f>
        <v>1500050.920506111</v>
      </c>
      <c r="G93" s="41">
        <f>G91</f>
        <v>38290</v>
      </c>
      <c r="H93" s="91"/>
      <c r="I93" s="91"/>
      <c r="J93" s="231"/>
    </row>
    <row r="94" spans="1:10" ht="12.75">
      <c r="A94" s="90">
        <v>43348</v>
      </c>
      <c r="B94" s="307">
        <f t="shared" si="5"/>
        <v>67</v>
      </c>
      <c r="C94" s="41">
        <f t="shared" si="6"/>
        <v>91748180</v>
      </c>
      <c r="D94" s="41">
        <f>D92</f>
        <v>2959640</v>
      </c>
      <c r="E94" s="302"/>
      <c r="F94" s="41"/>
      <c r="G94" s="41"/>
      <c r="H94" s="91"/>
      <c r="I94" s="91"/>
      <c r="J94" s="231"/>
    </row>
    <row r="95" spans="1:10" ht="12.75">
      <c r="A95" s="90">
        <v>43373</v>
      </c>
      <c r="B95" s="307">
        <f t="shared" si="5"/>
        <v>25</v>
      </c>
      <c r="C95" s="41">
        <f t="shared" si="6"/>
        <v>91748180</v>
      </c>
      <c r="D95" s="41"/>
      <c r="E95" s="302">
        <f>E93</f>
        <v>0.06127</v>
      </c>
      <c r="F95" s="41">
        <f>((C94+D94)*E95/360*B94)+((C95+D95)*E95/360*B95)</f>
        <v>1470331.6653299998</v>
      </c>
      <c r="G95" s="41">
        <f>G93</f>
        <v>38290</v>
      </c>
      <c r="H95" s="91"/>
      <c r="I95" s="91"/>
      <c r="J95" s="231"/>
    </row>
    <row r="96" spans="1:10" ht="12.75">
      <c r="A96" s="90">
        <v>43439</v>
      </c>
      <c r="B96" s="307">
        <f t="shared" si="5"/>
        <v>66</v>
      </c>
      <c r="C96" s="41">
        <f t="shared" si="6"/>
        <v>88788540</v>
      </c>
      <c r="D96" s="41">
        <f>D94</f>
        <v>2959640</v>
      </c>
      <c r="E96" s="302"/>
      <c r="F96" s="41"/>
      <c r="G96" s="41"/>
      <c r="H96" s="91"/>
      <c r="I96" s="91"/>
      <c r="J96" s="231"/>
    </row>
    <row r="97" spans="1:10" ht="12.75">
      <c r="A97" s="97">
        <v>43465</v>
      </c>
      <c r="B97" s="308">
        <f aca="true" t="shared" si="7" ref="B97:B128">A97-A96</f>
        <v>26</v>
      </c>
      <c r="C97" s="99">
        <f t="shared" si="6"/>
        <v>88788540</v>
      </c>
      <c r="D97" s="99"/>
      <c r="E97" s="303">
        <f>E95</f>
        <v>0.06127</v>
      </c>
      <c r="F97" s="99">
        <f>((C96+D96)*E97/360*B96)+((C97+D97)*E97/360*B97)</f>
        <v>1423486.2367733333</v>
      </c>
      <c r="G97" s="99">
        <f>G95</f>
        <v>38290</v>
      </c>
      <c r="H97" s="300">
        <f>SUM(F91:G97)</f>
        <v>6075287.855435</v>
      </c>
      <c r="I97" s="300">
        <f>SUM(D90:D97)</f>
        <v>11838560</v>
      </c>
      <c r="J97" s="301">
        <f>SUM(H97:I97)</f>
        <v>17913847.855435</v>
      </c>
    </row>
    <row r="98" spans="1:10" ht="12.75">
      <c r="A98" s="103">
        <v>43529</v>
      </c>
      <c r="B98" s="306">
        <f t="shared" si="7"/>
        <v>64</v>
      </c>
      <c r="C98" s="42">
        <f t="shared" si="6"/>
        <v>85828900</v>
      </c>
      <c r="D98" s="42">
        <f>D96</f>
        <v>2959640</v>
      </c>
      <c r="E98" s="104"/>
      <c r="F98" s="104"/>
      <c r="G98" s="104"/>
      <c r="H98" s="104"/>
      <c r="I98" s="104"/>
      <c r="J98" s="242"/>
    </row>
    <row r="99" spans="1:10" ht="12.75">
      <c r="A99" s="90">
        <v>43555</v>
      </c>
      <c r="B99" s="307">
        <f t="shared" si="7"/>
        <v>26</v>
      </c>
      <c r="C99" s="41">
        <f t="shared" si="6"/>
        <v>85828900</v>
      </c>
      <c r="D99" s="41"/>
      <c r="E99" s="302">
        <f>E97</f>
        <v>0.06127</v>
      </c>
      <c r="F99" s="41">
        <f>((C98+D98)*E99/360*B98)+((C99+D99)*E99/360*B99)</f>
        <v>1346921.8900255556</v>
      </c>
      <c r="G99" s="41">
        <f>G97</f>
        <v>38290</v>
      </c>
      <c r="H99" s="91"/>
      <c r="I99" s="91"/>
      <c r="J99" s="231"/>
    </row>
    <row r="100" spans="1:10" ht="12.75">
      <c r="A100" s="90">
        <v>43621</v>
      </c>
      <c r="B100" s="307">
        <f t="shared" si="7"/>
        <v>66</v>
      </c>
      <c r="C100" s="41">
        <f t="shared" si="6"/>
        <v>82869260</v>
      </c>
      <c r="D100" s="41">
        <f>D98</f>
        <v>2959640</v>
      </c>
      <c r="E100" s="302"/>
      <c r="F100" s="41"/>
      <c r="G100" s="41"/>
      <c r="H100" s="91"/>
      <c r="I100" s="91"/>
      <c r="J100" s="231"/>
    </row>
    <row r="101" spans="1:10" ht="12.75">
      <c r="A101" s="90">
        <v>43646</v>
      </c>
      <c r="B101" s="307">
        <f t="shared" si="7"/>
        <v>25</v>
      </c>
      <c r="C101" s="41">
        <f aca="true" t="shared" si="8" ref="C101:C132">C100-D101</f>
        <v>82869260</v>
      </c>
      <c r="D101" s="41"/>
      <c r="E101" s="302">
        <f>E99</f>
        <v>0.06127</v>
      </c>
      <c r="F101" s="41">
        <f>((C100+D100)*E101/360*B100)+((C101+D101)*E101/360*B101)</f>
        <v>1316698.9205638887</v>
      </c>
      <c r="G101" s="41">
        <f>G99</f>
        <v>38290</v>
      </c>
      <c r="H101" s="91"/>
      <c r="I101" s="91"/>
      <c r="J101" s="231"/>
    </row>
    <row r="102" spans="1:10" ht="12.75">
      <c r="A102" s="90">
        <v>43713</v>
      </c>
      <c r="B102" s="307">
        <f t="shared" si="7"/>
        <v>67</v>
      </c>
      <c r="C102" s="41">
        <f t="shared" si="8"/>
        <v>79909620</v>
      </c>
      <c r="D102" s="41">
        <f>D100</f>
        <v>2959640</v>
      </c>
      <c r="E102" s="302"/>
      <c r="F102" s="41"/>
      <c r="G102" s="41"/>
      <c r="H102" s="91"/>
      <c r="I102" s="91"/>
      <c r="J102" s="231"/>
    </row>
    <row r="103" spans="1:10" ht="12.75">
      <c r="A103" s="90">
        <v>43738</v>
      </c>
      <c r="B103" s="307">
        <f t="shared" si="7"/>
        <v>25</v>
      </c>
      <c r="C103" s="41">
        <f t="shared" si="8"/>
        <v>79909620</v>
      </c>
      <c r="D103" s="41"/>
      <c r="E103" s="302">
        <f>E101</f>
        <v>0.06127</v>
      </c>
      <c r="F103" s="41">
        <f>((C102+D102)*E103/360*B102)+((C103+D103)*E103/360*B103)</f>
        <v>1284964.8082455555</v>
      </c>
      <c r="G103" s="41">
        <f>G101</f>
        <v>38290</v>
      </c>
      <c r="H103" s="91"/>
      <c r="I103" s="91"/>
      <c r="J103" s="231"/>
    </row>
    <row r="104" spans="1:10" ht="12.75">
      <c r="A104" s="90">
        <v>43804</v>
      </c>
      <c r="B104" s="307">
        <f t="shared" si="7"/>
        <v>66</v>
      </c>
      <c r="C104" s="41">
        <f t="shared" si="8"/>
        <v>76949980</v>
      </c>
      <c r="D104" s="41">
        <f>D102</f>
        <v>2959640</v>
      </c>
      <c r="E104" s="302"/>
      <c r="F104" s="41"/>
      <c r="G104" s="41"/>
      <c r="H104" s="91"/>
      <c r="I104" s="91"/>
      <c r="J104" s="231"/>
    </row>
    <row r="105" spans="1:10" ht="12.75">
      <c r="A105" s="97">
        <v>43830</v>
      </c>
      <c r="B105" s="308">
        <f t="shared" si="7"/>
        <v>26</v>
      </c>
      <c r="C105" s="99">
        <f t="shared" si="8"/>
        <v>76949980</v>
      </c>
      <c r="D105" s="99"/>
      <c r="E105" s="303">
        <f>E103</f>
        <v>0.06127</v>
      </c>
      <c r="F105" s="99">
        <f>((C104+D104)*E105/360*B104)+((C105+D105)*E105/360*B105)</f>
        <v>1238119.3796888888</v>
      </c>
      <c r="G105" s="99">
        <f>G103</f>
        <v>38290</v>
      </c>
      <c r="H105" s="300">
        <f>SUM(F99:G105)</f>
        <v>5339864.998523889</v>
      </c>
      <c r="I105" s="300">
        <f>SUM(D98:D105)</f>
        <v>11838560</v>
      </c>
      <c r="J105" s="301">
        <f>SUM(H105:I105)</f>
        <v>17178424.99852389</v>
      </c>
    </row>
    <row r="106" spans="1:10" ht="12.75">
      <c r="A106" s="103">
        <v>43895</v>
      </c>
      <c r="B106" s="306">
        <f t="shared" si="7"/>
        <v>65</v>
      </c>
      <c r="C106" s="42">
        <f t="shared" si="8"/>
        <v>73990340</v>
      </c>
      <c r="D106" s="42">
        <f>D104</f>
        <v>2959640</v>
      </c>
      <c r="E106" s="104"/>
      <c r="F106" s="104"/>
      <c r="G106" s="104"/>
      <c r="H106" s="104"/>
      <c r="I106" s="104"/>
      <c r="J106" s="242"/>
    </row>
    <row r="107" spans="1:10" ht="12.75">
      <c r="A107" s="90">
        <v>43921</v>
      </c>
      <c r="B107" s="307">
        <f t="shared" si="7"/>
        <v>26</v>
      </c>
      <c r="C107" s="41">
        <f t="shared" si="8"/>
        <v>73990340</v>
      </c>
      <c r="D107" s="41"/>
      <c r="E107" s="302">
        <f>E105</f>
        <v>0.06127</v>
      </c>
      <c r="F107" s="41">
        <f>((C106+D106)*E107/360*B106)+((C107+D107)*E107/360*B107)</f>
        <v>1178681.2063216667</v>
      </c>
      <c r="G107" s="41">
        <f>G105</f>
        <v>38290</v>
      </c>
      <c r="H107" s="91"/>
      <c r="I107" s="91"/>
      <c r="J107" s="231"/>
    </row>
    <row r="108" spans="1:10" ht="12.75">
      <c r="A108" s="90">
        <v>43987</v>
      </c>
      <c r="B108" s="307">
        <f t="shared" si="7"/>
        <v>66</v>
      </c>
      <c r="C108" s="41">
        <f t="shared" si="8"/>
        <v>71030700</v>
      </c>
      <c r="D108" s="41">
        <f>D106</f>
        <v>2959640</v>
      </c>
      <c r="E108" s="302"/>
      <c r="F108" s="41"/>
      <c r="G108" s="41"/>
      <c r="H108" s="91"/>
      <c r="I108" s="91"/>
      <c r="J108" s="231"/>
    </row>
    <row r="109" spans="1:10" ht="12.75">
      <c r="A109" s="90">
        <v>44012</v>
      </c>
      <c r="B109" s="307">
        <f t="shared" si="7"/>
        <v>25</v>
      </c>
      <c r="C109" s="41">
        <f t="shared" si="8"/>
        <v>71030700</v>
      </c>
      <c r="D109" s="41"/>
      <c r="E109" s="302">
        <f>E107</f>
        <v>0.06127</v>
      </c>
      <c r="F109" s="41">
        <f>((C108+D108)*E109/360*B108)+((C109+D109)*E109/360*B109)</f>
        <v>1133346.9206216666</v>
      </c>
      <c r="G109" s="41">
        <f>G107</f>
        <v>38290</v>
      </c>
      <c r="H109" s="91"/>
      <c r="I109" s="91"/>
      <c r="J109" s="231"/>
    </row>
    <row r="110" spans="1:10" ht="12.75">
      <c r="A110" s="90">
        <v>44079</v>
      </c>
      <c r="B110" s="307">
        <f t="shared" si="7"/>
        <v>67</v>
      </c>
      <c r="C110" s="41">
        <f t="shared" si="8"/>
        <v>68071060</v>
      </c>
      <c r="D110" s="41">
        <f>D108</f>
        <v>2959640</v>
      </c>
      <c r="E110" s="302"/>
      <c r="F110" s="41"/>
      <c r="G110" s="41"/>
      <c r="H110" s="91"/>
      <c r="I110" s="91"/>
      <c r="J110" s="231"/>
    </row>
    <row r="111" spans="1:10" ht="12.75">
      <c r="A111" s="90">
        <v>44104</v>
      </c>
      <c r="B111" s="307">
        <f t="shared" si="7"/>
        <v>25</v>
      </c>
      <c r="C111" s="41">
        <f t="shared" si="8"/>
        <v>68071060</v>
      </c>
      <c r="D111" s="41"/>
      <c r="E111" s="302">
        <f>E109</f>
        <v>0.06127</v>
      </c>
      <c r="F111" s="41">
        <f>((C110+D110)*E111/360*B110)+((C111+D111)*E111/360*B111)</f>
        <v>1099597.951161111</v>
      </c>
      <c r="G111" s="41">
        <f>G109</f>
        <v>38290</v>
      </c>
      <c r="H111" s="91"/>
      <c r="I111" s="91"/>
      <c r="J111" s="231"/>
    </row>
    <row r="112" spans="1:10" ht="12.75">
      <c r="A112" s="90">
        <v>44170</v>
      </c>
      <c r="B112" s="307">
        <f t="shared" si="7"/>
        <v>66</v>
      </c>
      <c r="C112" s="41">
        <f t="shared" si="8"/>
        <v>65111420</v>
      </c>
      <c r="D112" s="41">
        <f>D110</f>
        <v>2959640</v>
      </c>
      <c r="E112" s="302"/>
      <c r="F112" s="41"/>
      <c r="G112" s="41"/>
      <c r="H112" s="91"/>
      <c r="I112" s="91"/>
      <c r="J112" s="231"/>
    </row>
    <row r="113" spans="1:10" ht="12.75">
      <c r="A113" s="97">
        <v>44196</v>
      </c>
      <c r="B113" s="308">
        <f t="shared" si="7"/>
        <v>26</v>
      </c>
      <c r="C113" s="99">
        <f t="shared" si="8"/>
        <v>65111420</v>
      </c>
      <c r="D113" s="99"/>
      <c r="E113" s="303">
        <f>E111</f>
        <v>0.06127</v>
      </c>
      <c r="F113" s="99">
        <f>((C112+D112)*E113/360*B112)+((C113+D113)*E113/360*B113)</f>
        <v>1052752.5226044445</v>
      </c>
      <c r="G113" s="99">
        <f>G111</f>
        <v>38290</v>
      </c>
      <c r="H113" s="300">
        <f>SUM(F107:G113)</f>
        <v>4617538.600708889</v>
      </c>
      <c r="I113" s="300">
        <f>SUM(D106:D113)</f>
        <v>11838560</v>
      </c>
      <c r="J113" s="301">
        <f>SUM(H113:I113)</f>
        <v>16456098.600708889</v>
      </c>
    </row>
    <row r="114" spans="1:10" ht="12.75">
      <c r="A114" s="103">
        <v>44260</v>
      </c>
      <c r="B114" s="306">
        <f t="shared" si="7"/>
        <v>64</v>
      </c>
      <c r="C114" s="42">
        <f t="shared" si="8"/>
        <v>62151780</v>
      </c>
      <c r="D114" s="42">
        <f>D112</f>
        <v>2959640</v>
      </c>
      <c r="E114" s="104"/>
      <c r="F114" s="104"/>
      <c r="G114" s="104"/>
      <c r="H114" s="104"/>
      <c r="I114" s="104"/>
      <c r="J114" s="242"/>
    </row>
    <row r="115" spans="1:10" ht="12.75">
      <c r="A115" s="90">
        <v>44286</v>
      </c>
      <c r="B115" s="307">
        <f t="shared" si="7"/>
        <v>26</v>
      </c>
      <c r="C115" s="41">
        <f t="shared" si="8"/>
        <v>62151780</v>
      </c>
      <c r="D115" s="41"/>
      <c r="E115" s="302">
        <f>E113</f>
        <v>0.06127</v>
      </c>
      <c r="F115" s="41">
        <f>((C114+D114)*E115/360*B114)+((C115+D115)*E115/360*B115)</f>
        <v>984247.6044255556</v>
      </c>
      <c r="G115" s="41">
        <f>G113</f>
        <v>38290</v>
      </c>
      <c r="H115" s="91"/>
      <c r="I115" s="91"/>
      <c r="J115" s="231"/>
    </row>
    <row r="116" spans="1:10" ht="12.75">
      <c r="A116" s="90">
        <v>44352</v>
      </c>
      <c r="B116" s="307">
        <f t="shared" si="7"/>
        <v>66</v>
      </c>
      <c r="C116" s="41">
        <f t="shared" si="8"/>
        <v>59192140</v>
      </c>
      <c r="D116" s="41">
        <f>D114</f>
        <v>2959640</v>
      </c>
      <c r="E116" s="302"/>
      <c r="F116" s="41"/>
      <c r="G116" s="41"/>
      <c r="H116" s="91"/>
      <c r="I116" s="91"/>
      <c r="J116" s="231"/>
    </row>
    <row r="117" spans="1:10" ht="12.75">
      <c r="A117" s="90">
        <v>44377</v>
      </c>
      <c r="B117" s="307">
        <f t="shared" si="7"/>
        <v>25</v>
      </c>
      <c r="C117" s="41">
        <f t="shared" si="8"/>
        <v>59192140</v>
      </c>
      <c r="D117" s="41"/>
      <c r="E117" s="302">
        <f>E115</f>
        <v>0.06127</v>
      </c>
      <c r="F117" s="41">
        <f>((C116+D116)*E117/360*B116)+((C117+D117)*E117/360*B117)</f>
        <v>949994.9206794443</v>
      </c>
      <c r="G117" s="41">
        <f>G115</f>
        <v>38290</v>
      </c>
      <c r="H117" s="91"/>
      <c r="I117" s="91"/>
      <c r="J117" s="231"/>
    </row>
    <row r="118" spans="1:10" ht="12.75">
      <c r="A118" s="90">
        <v>44444</v>
      </c>
      <c r="B118" s="307">
        <f t="shared" si="7"/>
        <v>67</v>
      </c>
      <c r="C118" s="41">
        <f t="shared" si="8"/>
        <v>56232500</v>
      </c>
      <c r="D118" s="41">
        <f>D116</f>
        <v>2959640</v>
      </c>
      <c r="E118" s="302"/>
      <c r="F118" s="41"/>
      <c r="G118" s="41"/>
      <c r="H118" s="91"/>
      <c r="I118" s="91"/>
      <c r="J118" s="231"/>
    </row>
    <row r="119" spans="1:10" ht="12.75">
      <c r="A119" s="90">
        <v>44469</v>
      </c>
      <c r="B119" s="307">
        <f t="shared" si="7"/>
        <v>25</v>
      </c>
      <c r="C119" s="41">
        <f t="shared" si="8"/>
        <v>56232500</v>
      </c>
      <c r="D119" s="41"/>
      <c r="E119" s="302">
        <f>E117</f>
        <v>0.06127</v>
      </c>
      <c r="F119" s="41">
        <f>((C118+D118)*E119/360*B118)+((C119+D119)*E119/360*B119)</f>
        <v>914231.0940766665</v>
      </c>
      <c r="G119" s="41">
        <f>G117</f>
        <v>38290</v>
      </c>
      <c r="H119" s="91"/>
      <c r="I119" s="91"/>
      <c r="J119" s="231"/>
    </row>
    <row r="120" spans="1:10" ht="12.75">
      <c r="A120" s="90">
        <v>44535</v>
      </c>
      <c r="B120" s="307">
        <f t="shared" si="7"/>
        <v>66</v>
      </c>
      <c r="C120" s="41">
        <f t="shared" si="8"/>
        <v>53272860</v>
      </c>
      <c r="D120" s="41">
        <f>D118</f>
        <v>2959640</v>
      </c>
      <c r="E120" s="302"/>
      <c r="F120" s="41"/>
      <c r="G120" s="41"/>
      <c r="H120" s="91"/>
      <c r="I120" s="91"/>
      <c r="J120" s="231"/>
    </row>
    <row r="121" spans="1:10" ht="12.75">
      <c r="A121" s="97">
        <v>44561</v>
      </c>
      <c r="B121" s="308">
        <f t="shared" si="7"/>
        <v>26</v>
      </c>
      <c r="C121" s="99">
        <f t="shared" si="8"/>
        <v>53272860</v>
      </c>
      <c r="D121" s="99"/>
      <c r="E121" s="303">
        <f>E119</f>
        <v>0.06127</v>
      </c>
      <c r="F121" s="99">
        <f>((C120+D120)*E121/360*B120)+((C121+D121)*E121/360*B121)</f>
        <v>867385.6655199998</v>
      </c>
      <c r="G121" s="99">
        <f>G119</f>
        <v>38290</v>
      </c>
      <c r="H121" s="300">
        <f>SUM(F115:G121)</f>
        <v>3869019.2847016663</v>
      </c>
      <c r="I121" s="300">
        <f>SUM(D114:D121)</f>
        <v>11838560</v>
      </c>
      <c r="J121" s="301">
        <f>SUM(H121:I121)</f>
        <v>15707579.284701666</v>
      </c>
    </row>
    <row r="122" spans="1:10" ht="12.75">
      <c r="A122" s="103">
        <v>44625</v>
      </c>
      <c r="B122" s="306">
        <f t="shared" si="7"/>
        <v>64</v>
      </c>
      <c r="C122" s="42">
        <f t="shared" si="8"/>
        <v>50313220</v>
      </c>
      <c r="D122" s="42">
        <f>D120</f>
        <v>2959640</v>
      </c>
      <c r="E122" s="104"/>
      <c r="F122" s="104"/>
      <c r="G122" s="104"/>
      <c r="H122" s="104"/>
      <c r="I122" s="104"/>
      <c r="J122" s="242"/>
    </row>
    <row r="123" spans="1:10" ht="12.75">
      <c r="A123" s="90">
        <v>44651</v>
      </c>
      <c r="B123" s="307">
        <f t="shared" si="7"/>
        <v>26</v>
      </c>
      <c r="C123" s="41">
        <f t="shared" si="8"/>
        <v>50313220</v>
      </c>
      <c r="D123" s="41"/>
      <c r="E123" s="302">
        <f>E121</f>
        <v>0.06127</v>
      </c>
      <c r="F123" s="41">
        <f>((C122+D122)*E123/360*B122)+((C123+D123)*E123/360*B123)</f>
        <v>802910.4616255554</v>
      </c>
      <c r="G123" s="41">
        <f>G121</f>
        <v>38290</v>
      </c>
      <c r="H123" s="91"/>
      <c r="I123" s="91"/>
      <c r="J123" s="231"/>
    </row>
    <row r="124" spans="1:10" ht="12.75">
      <c r="A124" s="90">
        <v>44717</v>
      </c>
      <c r="B124" s="307">
        <f t="shared" si="7"/>
        <v>66</v>
      </c>
      <c r="C124" s="41">
        <f t="shared" si="8"/>
        <v>47353580</v>
      </c>
      <c r="D124" s="41">
        <f>D122</f>
        <v>2959640</v>
      </c>
      <c r="E124" s="302"/>
      <c r="F124" s="41"/>
      <c r="G124" s="41"/>
      <c r="H124" s="91"/>
      <c r="I124" s="91"/>
      <c r="J124" s="231"/>
    </row>
    <row r="125" spans="1:10" ht="12.75">
      <c r="A125" s="90">
        <v>44742</v>
      </c>
      <c r="B125" s="307">
        <f t="shared" si="7"/>
        <v>25</v>
      </c>
      <c r="C125" s="41">
        <f t="shared" si="8"/>
        <v>47353580</v>
      </c>
      <c r="D125" s="41"/>
      <c r="E125" s="302">
        <f>E123</f>
        <v>0.06127</v>
      </c>
      <c r="F125" s="41">
        <f>((C124+D124)*E125/360*B124)+((C125+D125)*E125/360*B125)</f>
        <v>766642.9207372222</v>
      </c>
      <c r="G125" s="41">
        <f>G123</f>
        <v>38290</v>
      </c>
      <c r="H125" s="91"/>
      <c r="I125" s="91"/>
      <c r="J125" s="231"/>
    </row>
    <row r="126" spans="1:10" ht="12.75">
      <c r="A126" s="90">
        <v>44809</v>
      </c>
      <c r="B126" s="307">
        <f t="shared" si="7"/>
        <v>67</v>
      </c>
      <c r="C126" s="41">
        <f t="shared" si="8"/>
        <v>44393940</v>
      </c>
      <c r="D126" s="41">
        <f>D124</f>
        <v>2959640</v>
      </c>
      <c r="E126" s="302"/>
      <c r="F126" s="41"/>
      <c r="G126" s="41"/>
      <c r="H126" s="91"/>
      <c r="I126" s="91"/>
      <c r="J126" s="231"/>
    </row>
    <row r="127" spans="1:10" ht="12.75">
      <c r="A127" s="90">
        <v>44834</v>
      </c>
      <c r="B127" s="307">
        <f t="shared" si="7"/>
        <v>25</v>
      </c>
      <c r="C127" s="41">
        <f t="shared" si="8"/>
        <v>44393940</v>
      </c>
      <c r="D127" s="41"/>
      <c r="E127" s="302">
        <f>E125</f>
        <v>0.06127</v>
      </c>
      <c r="F127" s="41">
        <f>((C126+D126)*E127/360*B126)+((C127+D127)*E127/360*B127)</f>
        <v>728864.2369922221</v>
      </c>
      <c r="G127" s="41">
        <f>G125</f>
        <v>38290</v>
      </c>
      <c r="H127" s="91"/>
      <c r="I127" s="91"/>
      <c r="J127" s="231"/>
    </row>
    <row r="128" spans="1:10" ht="12.75">
      <c r="A128" s="90">
        <v>44900</v>
      </c>
      <c r="B128" s="307">
        <f t="shared" si="7"/>
        <v>66</v>
      </c>
      <c r="C128" s="41">
        <f t="shared" si="8"/>
        <v>41434300</v>
      </c>
      <c r="D128" s="41">
        <f>D126</f>
        <v>2959640</v>
      </c>
      <c r="E128" s="302"/>
      <c r="F128" s="41"/>
      <c r="G128" s="41"/>
      <c r="H128" s="91"/>
      <c r="I128" s="91"/>
      <c r="J128" s="231"/>
    </row>
    <row r="129" spans="1:10" ht="12.75">
      <c r="A129" s="97">
        <v>44926</v>
      </c>
      <c r="B129" s="308">
        <f aca="true" t="shared" si="9" ref="B129:B156">A129-A128</f>
        <v>26</v>
      </c>
      <c r="C129" s="99">
        <f t="shared" si="8"/>
        <v>41434300</v>
      </c>
      <c r="D129" s="99"/>
      <c r="E129" s="303">
        <f>E127</f>
        <v>0.06127</v>
      </c>
      <c r="F129" s="99">
        <f>((C128+D128)*E129/360*B128)+((C129+D129)*E129/360*B129)</f>
        <v>682018.8084355554</v>
      </c>
      <c r="G129" s="99">
        <f>G127</f>
        <v>38290</v>
      </c>
      <c r="H129" s="300">
        <f>SUM(F123:G129)</f>
        <v>3133596.427790555</v>
      </c>
      <c r="I129" s="300">
        <f>SUM(D122:D129)</f>
        <v>11838560</v>
      </c>
      <c r="J129" s="301">
        <f>SUM(H129:I129)</f>
        <v>14972156.427790556</v>
      </c>
    </row>
    <row r="130" spans="1:10" ht="12.75">
      <c r="A130" s="103">
        <v>44990</v>
      </c>
      <c r="B130" s="306">
        <f t="shared" si="9"/>
        <v>64</v>
      </c>
      <c r="C130" s="42">
        <f t="shared" si="8"/>
        <v>38474660</v>
      </c>
      <c r="D130" s="42">
        <f>D128</f>
        <v>2959640</v>
      </c>
      <c r="E130" s="104"/>
      <c r="F130" s="104"/>
      <c r="G130" s="104"/>
      <c r="H130" s="104"/>
      <c r="I130" s="104"/>
      <c r="J130" s="242"/>
    </row>
    <row r="131" spans="1:10" ht="12.75">
      <c r="A131" s="90">
        <v>45016</v>
      </c>
      <c r="B131" s="307">
        <f t="shared" si="9"/>
        <v>26</v>
      </c>
      <c r="C131" s="41">
        <f t="shared" si="8"/>
        <v>38474660</v>
      </c>
      <c r="D131" s="41"/>
      <c r="E131" s="302">
        <f>E129</f>
        <v>0.06127</v>
      </c>
      <c r="F131" s="41">
        <f>((C130+D130)*E131/360*B130)+((C131+D131)*E131/360*B131)</f>
        <v>621573.3188255555</v>
      </c>
      <c r="G131" s="41">
        <f>G129</f>
        <v>38290</v>
      </c>
      <c r="H131" s="91"/>
      <c r="I131" s="91"/>
      <c r="J131" s="231"/>
    </row>
    <row r="132" spans="1:10" ht="12.75">
      <c r="A132" s="90">
        <v>45082</v>
      </c>
      <c r="B132" s="307">
        <f t="shared" si="9"/>
        <v>66</v>
      </c>
      <c r="C132" s="41">
        <f t="shared" si="8"/>
        <v>35515020</v>
      </c>
      <c r="D132" s="41">
        <f>D130</f>
        <v>2959640</v>
      </c>
      <c r="E132" s="302"/>
      <c r="F132" s="41"/>
      <c r="G132" s="41"/>
      <c r="H132" s="91"/>
      <c r="I132" s="91"/>
      <c r="J132" s="231"/>
    </row>
    <row r="133" spans="1:10" ht="12.75">
      <c r="A133" s="90">
        <v>45107</v>
      </c>
      <c r="B133" s="307">
        <f t="shared" si="9"/>
        <v>25</v>
      </c>
      <c r="C133" s="41">
        <f aca="true" t="shared" si="10" ref="C133:C145">C132-D133</f>
        <v>35515020</v>
      </c>
      <c r="D133" s="41"/>
      <c r="E133" s="302">
        <f>E131</f>
        <v>0.06127</v>
      </c>
      <c r="F133" s="41">
        <f>((C132+D132)*E133/360*B132)+((C133+D133)*E133/360*B133)</f>
        <v>583290.9207949999</v>
      </c>
      <c r="G133" s="41">
        <f>G131</f>
        <v>38290</v>
      </c>
      <c r="H133" s="91"/>
      <c r="I133" s="91"/>
      <c r="J133" s="231"/>
    </row>
    <row r="134" spans="1:10" ht="12.75">
      <c r="A134" s="90">
        <v>45174</v>
      </c>
      <c r="B134" s="307">
        <f t="shared" si="9"/>
        <v>67</v>
      </c>
      <c r="C134" s="41">
        <f t="shared" si="10"/>
        <v>32555380</v>
      </c>
      <c r="D134" s="41">
        <f>D132</f>
        <v>2959640</v>
      </c>
      <c r="E134" s="302"/>
      <c r="F134" s="41"/>
      <c r="G134" s="41"/>
      <c r="H134" s="91"/>
      <c r="I134" s="91"/>
      <c r="J134" s="231"/>
    </row>
    <row r="135" spans="1:10" ht="12.75">
      <c r="A135" s="90">
        <v>45199</v>
      </c>
      <c r="B135" s="307">
        <f t="shared" si="9"/>
        <v>25</v>
      </c>
      <c r="C135" s="41">
        <f t="shared" si="10"/>
        <v>32555380</v>
      </c>
      <c r="D135" s="41"/>
      <c r="E135" s="302">
        <f>E133</f>
        <v>0.06127</v>
      </c>
      <c r="F135" s="41">
        <f>((C134+D134)*E135/360*B134)+((C135+D135)*E135/360*B135)</f>
        <v>543497.3799077778</v>
      </c>
      <c r="G135" s="41">
        <f>G133</f>
        <v>38290</v>
      </c>
      <c r="H135" s="91"/>
      <c r="I135" s="91"/>
      <c r="J135" s="231"/>
    </row>
    <row r="136" spans="1:10" ht="12.75">
      <c r="A136" s="90">
        <v>45265</v>
      </c>
      <c r="B136" s="307">
        <f t="shared" si="9"/>
        <v>66</v>
      </c>
      <c r="C136" s="41">
        <f t="shared" si="10"/>
        <v>29595740</v>
      </c>
      <c r="D136" s="41">
        <f>D134</f>
        <v>2959640</v>
      </c>
      <c r="E136" s="302"/>
      <c r="F136" s="41"/>
      <c r="G136" s="41"/>
      <c r="H136" s="91"/>
      <c r="I136" s="91"/>
      <c r="J136" s="231"/>
    </row>
    <row r="137" spans="1:10" ht="12.75">
      <c r="A137" s="97">
        <v>45291</v>
      </c>
      <c r="B137" s="308">
        <f t="shared" si="9"/>
        <v>26</v>
      </c>
      <c r="C137" s="99">
        <f t="shared" si="10"/>
        <v>29595740</v>
      </c>
      <c r="D137" s="99"/>
      <c r="E137" s="303">
        <f>E135</f>
        <v>0.06127</v>
      </c>
      <c r="F137" s="99">
        <f>((C136+D136)*E137/360*B136)+((C137+D137)*E137/360*B137)</f>
        <v>496651.95135111106</v>
      </c>
      <c r="G137" s="99">
        <f>G135</f>
        <v>38290</v>
      </c>
      <c r="H137" s="300">
        <f>SUM(F131:G137)</f>
        <v>2398173.5708794445</v>
      </c>
      <c r="I137" s="300">
        <f>SUM(D130:D137)</f>
        <v>11838560</v>
      </c>
      <c r="J137" s="301">
        <f>SUM(H137:I137)</f>
        <v>14236733.570879444</v>
      </c>
    </row>
    <row r="138" spans="1:10" ht="12.75">
      <c r="A138" s="103">
        <v>45356</v>
      </c>
      <c r="B138" s="306">
        <f t="shared" si="9"/>
        <v>65</v>
      </c>
      <c r="C138" s="42">
        <f t="shared" si="10"/>
        <v>26636100</v>
      </c>
      <c r="D138" s="42">
        <f>D136</f>
        <v>2959640</v>
      </c>
      <c r="E138" s="104"/>
      <c r="F138" s="104"/>
      <c r="G138" s="104"/>
      <c r="H138" s="104"/>
      <c r="I138" s="104"/>
      <c r="J138" s="242"/>
    </row>
    <row r="139" spans="1:10" ht="12.75">
      <c r="A139" s="90">
        <v>45382</v>
      </c>
      <c r="B139" s="307">
        <f t="shared" si="9"/>
        <v>26</v>
      </c>
      <c r="C139" s="41">
        <f t="shared" si="10"/>
        <v>26636100</v>
      </c>
      <c r="D139" s="41"/>
      <c r="E139" s="302">
        <f>E137</f>
        <v>0.06127</v>
      </c>
      <c r="F139" s="41">
        <f>((C138+D138)*E139/360*B138)+((C139+D139)*E139/360*B139)</f>
        <v>445273.20655277773</v>
      </c>
      <c r="G139" s="41">
        <f>G137</f>
        <v>38290</v>
      </c>
      <c r="H139" s="91"/>
      <c r="I139" s="91"/>
      <c r="J139" s="231"/>
    </row>
    <row r="140" spans="1:10" ht="12.75">
      <c r="A140" s="90">
        <v>45448</v>
      </c>
      <c r="B140" s="307">
        <f t="shared" si="9"/>
        <v>66</v>
      </c>
      <c r="C140" s="41">
        <f t="shared" si="10"/>
        <v>23676460</v>
      </c>
      <c r="D140" s="41">
        <f>D138</f>
        <v>2959640</v>
      </c>
      <c r="E140" s="302"/>
      <c r="F140" s="41"/>
      <c r="G140" s="41"/>
      <c r="H140" s="91"/>
      <c r="I140" s="91"/>
      <c r="J140" s="231"/>
    </row>
    <row r="141" spans="1:10" ht="12.75">
      <c r="A141" s="90">
        <v>45473</v>
      </c>
      <c r="B141" s="307">
        <f t="shared" si="9"/>
        <v>25</v>
      </c>
      <c r="C141" s="41">
        <f t="shared" si="10"/>
        <v>23676460</v>
      </c>
      <c r="D141" s="41"/>
      <c r="E141" s="302">
        <f>E139</f>
        <v>0.06127</v>
      </c>
      <c r="F141" s="41">
        <f>((C140+D140)*E141/360*B140)+((C141+D141)*E141/360*B141)</f>
        <v>399938.9208527778</v>
      </c>
      <c r="G141" s="41">
        <f>G139</f>
        <v>38290</v>
      </c>
      <c r="H141" s="91"/>
      <c r="I141" s="91"/>
      <c r="J141" s="231"/>
    </row>
    <row r="142" spans="1:10" ht="12.75">
      <c r="A142" s="90">
        <v>45540</v>
      </c>
      <c r="B142" s="307">
        <f t="shared" si="9"/>
        <v>67</v>
      </c>
      <c r="C142" s="41">
        <f t="shared" si="10"/>
        <v>20716820</v>
      </c>
      <c r="D142" s="41">
        <f>D140</f>
        <v>2959640</v>
      </c>
      <c r="E142" s="302"/>
      <c r="F142" s="41"/>
      <c r="G142" s="41"/>
      <c r="H142" s="91"/>
      <c r="I142" s="91"/>
      <c r="J142" s="231"/>
    </row>
    <row r="143" spans="1:10" ht="12.75">
      <c r="A143" s="90">
        <v>45565</v>
      </c>
      <c r="B143" s="307">
        <f t="shared" si="9"/>
        <v>25</v>
      </c>
      <c r="C143" s="41">
        <f t="shared" si="10"/>
        <v>20716820</v>
      </c>
      <c r="D143" s="41"/>
      <c r="E143" s="302">
        <f>E141</f>
        <v>0.06127</v>
      </c>
      <c r="F143" s="41">
        <f>((C142+D142)*E143/360*B142)+((C143+D143)*E143/360*B143)</f>
        <v>358130.52282333333</v>
      </c>
      <c r="G143" s="41">
        <f>G141</f>
        <v>38290</v>
      </c>
      <c r="H143" s="91"/>
      <c r="I143" s="91"/>
      <c r="J143" s="231"/>
    </row>
    <row r="144" spans="1:10" ht="12.75">
      <c r="A144" s="90">
        <v>45631</v>
      </c>
      <c r="B144" s="307">
        <f t="shared" si="9"/>
        <v>66</v>
      </c>
      <c r="C144" s="41">
        <f t="shared" si="10"/>
        <v>17757180</v>
      </c>
      <c r="D144" s="41">
        <f>D142</f>
        <v>2959640</v>
      </c>
      <c r="E144" s="302"/>
      <c r="F144" s="41"/>
      <c r="G144" s="41"/>
      <c r="H144" s="91"/>
      <c r="I144" s="91"/>
      <c r="J144" s="231"/>
    </row>
    <row r="145" spans="1:10" ht="12.75">
      <c r="A145" s="97">
        <v>45657</v>
      </c>
      <c r="B145" s="308">
        <f t="shared" si="9"/>
        <v>26</v>
      </c>
      <c r="C145" s="99">
        <f t="shared" si="10"/>
        <v>17757180</v>
      </c>
      <c r="D145" s="99"/>
      <c r="E145" s="303">
        <f>E143</f>
        <v>0.06127</v>
      </c>
      <c r="F145" s="99">
        <f>((C144+D144)*E145/360*B144)+((C145+D145)*E145/360*B145)</f>
        <v>311285.0942666667</v>
      </c>
      <c r="G145" s="99">
        <f>G143</f>
        <v>38290</v>
      </c>
      <c r="H145" s="300">
        <f>SUM(F139:G145)</f>
        <v>1667787.7444955553</v>
      </c>
      <c r="I145" s="300">
        <f>SUM(D138:D145)</f>
        <v>11838560</v>
      </c>
      <c r="J145" s="301">
        <f>SUM(H145:I145)</f>
        <v>13506347.744495556</v>
      </c>
    </row>
    <row r="146" spans="1:10" ht="12.75">
      <c r="A146" s="103">
        <v>45721</v>
      </c>
      <c r="B146" s="306">
        <f t="shared" si="9"/>
        <v>64</v>
      </c>
      <c r="C146" s="42">
        <f aca="true" t="shared" si="11" ref="C146:C153">C145-D146</f>
        <v>14797540</v>
      </c>
      <c r="D146" s="42">
        <f>D144</f>
        <v>2959640</v>
      </c>
      <c r="E146" s="104"/>
      <c r="F146" s="104"/>
      <c r="G146" s="104"/>
      <c r="H146" s="104"/>
      <c r="I146" s="104"/>
      <c r="J146" s="242"/>
    </row>
    <row r="147" spans="1:10" ht="12.75">
      <c r="A147" s="90">
        <v>45747</v>
      </c>
      <c r="B147" s="307">
        <f t="shared" si="9"/>
        <v>26</v>
      </c>
      <c r="C147" s="41">
        <f t="shared" si="11"/>
        <v>14797540</v>
      </c>
      <c r="D147" s="41"/>
      <c r="E147" s="302">
        <f>E145</f>
        <v>0.06127</v>
      </c>
      <c r="F147" s="41">
        <f>((C146+D146)*E147/360*B146)+((C147+D147)*E147/360*B147)</f>
        <v>258899.03322555555</v>
      </c>
      <c r="G147" s="41">
        <f>G145</f>
        <v>38290</v>
      </c>
      <c r="H147" s="91"/>
      <c r="I147" s="91"/>
      <c r="J147" s="231"/>
    </row>
    <row r="148" spans="1:10" ht="12.75">
      <c r="A148" s="90">
        <v>45813</v>
      </c>
      <c r="B148" s="307">
        <f t="shared" si="9"/>
        <v>66</v>
      </c>
      <c r="C148" s="41">
        <f t="shared" si="11"/>
        <v>11837900</v>
      </c>
      <c r="D148" s="41">
        <f>D146</f>
        <v>2959640</v>
      </c>
      <c r="E148" s="302"/>
      <c r="F148" s="41"/>
      <c r="G148" s="41"/>
      <c r="H148" s="91"/>
      <c r="I148" s="91"/>
      <c r="J148" s="231"/>
    </row>
    <row r="149" spans="1:10" ht="12.75">
      <c r="A149" s="90">
        <v>45838</v>
      </c>
      <c r="B149" s="307">
        <f t="shared" si="9"/>
        <v>25</v>
      </c>
      <c r="C149" s="41">
        <f t="shared" si="11"/>
        <v>11837900</v>
      </c>
      <c r="D149" s="41"/>
      <c r="E149" s="302">
        <f>E147</f>
        <v>0.06127</v>
      </c>
      <c r="F149" s="41">
        <f>((C148+D148)*E149/360*B148)+((C149+D149)*E149/360*B149)</f>
        <v>216586.92091055555</v>
      </c>
      <c r="G149" s="41">
        <f>G147</f>
        <v>38290</v>
      </c>
      <c r="H149" s="91"/>
      <c r="I149" s="91"/>
      <c r="J149" s="231"/>
    </row>
    <row r="150" spans="1:10" ht="12.75">
      <c r="A150" s="90">
        <v>45905</v>
      </c>
      <c r="B150" s="307">
        <f t="shared" si="9"/>
        <v>67</v>
      </c>
      <c r="C150" s="41">
        <f t="shared" si="11"/>
        <v>8878260</v>
      </c>
      <c r="D150" s="41">
        <f>D148</f>
        <v>2959640</v>
      </c>
      <c r="E150" s="302"/>
      <c r="F150" s="41"/>
      <c r="G150" s="41"/>
      <c r="H150" s="91"/>
      <c r="I150" s="91"/>
      <c r="J150" s="231"/>
    </row>
    <row r="151" spans="1:10" ht="12.75">
      <c r="A151" s="90">
        <v>45930</v>
      </c>
      <c r="B151" s="307">
        <f t="shared" si="9"/>
        <v>25</v>
      </c>
      <c r="C151" s="41">
        <f t="shared" si="11"/>
        <v>8878260</v>
      </c>
      <c r="D151" s="41"/>
      <c r="E151" s="302">
        <f>E149</f>
        <v>0.06127</v>
      </c>
      <c r="F151" s="41">
        <f>((C150+D150)*E151/360*B150)+((C151+D151)*E151/360*B151)</f>
        <v>172763.6657388889</v>
      </c>
      <c r="G151" s="41">
        <f>G149</f>
        <v>38290</v>
      </c>
      <c r="H151" s="91"/>
      <c r="I151" s="91"/>
      <c r="J151" s="231"/>
    </row>
    <row r="152" spans="1:10" ht="12.75">
      <c r="A152" s="90">
        <v>45996</v>
      </c>
      <c r="B152" s="307">
        <f t="shared" si="9"/>
        <v>66</v>
      </c>
      <c r="C152" s="41">
        <f t="shared" si="11"/>
        <v>5918620</v>
      </c>
      <c r="D152" s="41">
        <f>D150</f>
        <v>2959640</v>
      </c>
      <c r="E152" s="302"/>
      <c r="F152" s="41"/>
      <c r="G152" s="41"/>
      <c r="H152" s="91"/>
      <c r="I152" s="91"/>
      <c r="J152" s="231"/>
    </row>
    <row r="153" spans="1:10" ht="12.75">
      <c r="A153" s="97">
        <v>46022</v>
      </c>
      <c r="B153" s="308">
        <f t="shared" si="9"/>
        <v>26</v>
      </c>
      <c r="C153" s="99">
        <f t="shared" si="11"/>
        <v>5918620</v>
      </c>
      <c r="D153" s="99"/>
      <c r="E153" s="303">
        <f>E151</f>
        <v>0.06127</v>
      </c>
      <c r="F153" s="99">
        <f>((C152+D152)*E153/360*B152)+((C153+D153)*E153/360*B153)</f>
        <v>125918.23718222222</v>
      </c>
      <c r="G153" s="99">
        <f>G151</f>
        <v>38290</v>
      </c>
      <c r="H153" s="300">
        <f>SUM(F147:G153)</f>
        <v>927327.8570572222</v>
      </c>
      <c r="I153" s="300">
        <f>SUM(D146:D153)</f>
        <v>11838560</v>
      </c>
      <c r="J153" s="301">
        <f>SUM(H153:I153)</f>
        <v>12765887.857057221</v>
      </c>
    </row>
    <row r="154" spans="1:10" ht="12.75">
      <c r="A154" s="103">
        <v>46086</v>
      </c>
      <c r="B154" s="306">
        <f t="shared" si="9"/>
        <v>64</v>
      </c>
      <c r="C154" s="42">
        <f>C153-D154</f>
        <v>2958980</v>
      </c>
      <c r="D154" s="42">
        <f>D152</f>
        <v>2959640</v>
      </c>
      <c r="E154" s="104"/>
      <c r="F154" s="104"/>
      <c r="G154" s="104"/>
      <c r="H154" s="104"/>
      <c r="I154" s="104"/>
      <c r="J154" s="242"/>
    </row>
    <row r="155" spans="1:10" ht="12.75">
      <c r="A155" s="90">
        <v>46112</v>
      </c>
      <c r="B155" s="307">
        <f t="shared" si="9"/>
        <v>26</v>
      </c>
      <c r="C155" s="41">
        <f>C154-D155</f>
        <v>2958980</v>
      </c>
      <c r="D155" s="41"/>
      <c r="E155" s="302">
        <f>E153</f>
        <v>0.06127</v>
      </c>
      <c r="F155" s="41">
        <f>((C154+D154)*E155/360*B154)+((C155+D155)*E155/360*B155)</f>
        <v>77561.89042555555</v>
      </c>
      <c r="G155" s="41">
        <f>G153</f>
        <v>38290</v>
      </c>
      <c r="H155" s="91"/>
      <c r="I155" s="91"/>
      <c r="J155" s="231"/>
    </row>
    <row r="156" spans="1:10" ht="13.5" thickBot="1">
      <c r="A156" s="90">
        <v>46178</v>
      </c>
      <c r="B156" s="307">
        <f t="shared" si="9"/>
        <v>66</v>
      </c>
      <c r="C156" s="41">
        <f>C155-D156</f>
        <v>0</v>
      </c>
      <c r="D156" s="41">
        <v>2958980</v>
      </c>
      <c r="E156" s="302">
        <f>E155</f>
        <v>0.06127</v>
      </c>
      <c r="F156" s="41">
        <f>((C156+D156)*E156/360*B156)</f>
        <v>33237.72917666667</v>
      </c>
      <c r="G156" s="41">
        <f>G155+18+76580</f>
        <v>114888</v>
      </c>
      <c r="H156" s="300">
        <f>SUM(F154:G156)</f>
        <v>263977.6196022222</v>
      </c>
      <c r="I156" s="300">
        <f>SUM(D154:D156)</f>
        <v>5918620</v>
      </c>
      <c r="J156" s="301">
        <f>SUM(H156:I156)</f>
        <v>6182597.619602222</v>
      </c>
    </row>
    <row r="157" spans="1:10" ht="13.5" thickTop="1">
      <c r="A157" s="563" t="s">
        <v>14</v>
      </c>
      <c r="B157" s="564"/>
      <c r="C157" s="565"/>
      <c r="D157" s="117">
        <f>SUM(D7:D156)</f>
        <v>204214500</v>
      </c>
      <c r="E157" s="118"/>
      <c r="F157" s="117">
        <f>SUM(F7:F156)</f>
        <v>136013567.6592328</v>
      </c>
      <c r="G157" s="117">
        <f>SUM(G7:G156)</f>
        <v>3063218</v>
      </c>
      <c r="H157" s="117">
        <f>SUM(H7:H156)</f>
        <v>139076785.65923274</v>
      </c>
      <c r="I157" s="117">
        <f>SUM(I7:I156)</f>
        <v>204214500</v>
      </c>
      <c r="J157" s="119">
        <f>SUM(J7:J156)</f>
        <v>343291285.6592328</v>
      </c>
    </row>
    <row r="158" spans="1:10" ht="12.75">
      <c r="A158" s="120"/>
      <c r="B158" s="121"/>
      <c r="E158" s="122"/>
      <c r="H158" s="121"/>
      <c r="J158" s="121"/>
    </row>
    <row r="159" spans="1:10" ht="12.75">
      <c r="A159" s="120"/>
      <c r="B159" s="121"/>
      <c r="E159" s="122"/>
      <c r="G159" s="121"/>
      <c r="H159" s="121"/>
      <c r="J159" s="121"/>
    </row>
    <row r="160" spans="2:7" ht="12.75">
      <c r="B160" s="58" t="s">
        <v>181</v>
      </c>
      <c r="D160" s="58"/>
      <c r="E160" s="122" t="s">
        <v>184</v>
      </c>
      <c r="G160" s="311">
        <v>201368000</v>
      </c>
    </row>
    <row r="161" spans="2:7" ht="13.5" thickBot="1">
      <c r="B161" s="58" t="s">
        <v>182</v>
      </c>
      <c r="D161" s="58"/>
      <c r="E161" s="122" t="s">
        <v>225</v>
      </c>
      <c r="G161" s="311">
        <v>2846500</v>
      </c>
    </row>
    <row r="162" spans="2:7" ht="13.5" thickTop="1">
      <c r="B162" s="124" t="s">
        <v>14</v>
      </c>
      <c r="C162" s="129"/>
      <c r="D162" s="124"/>
      <c r="E162" s="125"/>
      <c r="F162" s="126"/>
      <c r="G162" s="312">
        <f>SUM(G160:G161)</f>
        <v>204214500</v>
      </c>
    </row>
  </sheetData>
  <sheetProtection/>
  <mergeCells count="1">
    <mergeCell ref="A157:C157"/>
  </mergeCells>
  <printOptions horizontalCentered="1"/>
  <pageMargins left="0.3937007874015748" right="0.3937007874015748" top="0.98425196850393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2006. évben felvételre tervezett 204.214,5 eFt hitel
(Önkormányzati Fejlesztési Hitelprogram 1.1-1.2-1.3 hitelcél)</oddHeader>
    <oddFooter>&amp;L&amp;8&amp;D&amp;C&amp;8C:\Andi\adósságszolgálat\&amp;F\&amp;A&amp;R&amp;8&amp;P/&amp;N</oddFooter>
  </headerFooter>
  <rowBreaks count="2" manualBreakCount="2">
    <brk id="57" max="255" man="1"/>
    <brk id="11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8"/>
  <sheetViews>
    <sheetView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11.0039062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7.875" style="58" customWidth="1"/>
    <col min="6" max="7" width="12.625" style="58" customWidth="1"/>
    <col min="8" max="8" width="13.125" style="58" bestFit="1" customWidth="1"/>
    <col min="9" max="10" width="12.625" style="58" bestFit="1" customWidth="1"/>
    <col min="11" max="11" width="2.125" style="58" customWidth="1"/>
    <col min="12" max="16384" width="9.375" style="58" customWidth="1"/>
  </cols>
  <sheetData>
    <row r="1" ht="12.75">
      <c r="A1" s="162" t="s">
        <v>263</v>
      </c>
    </row>
    <row r="2" spans="1:10" ht="12.75">
      <c r="A2" s="163" t="s">
        <v>109</v>
      </c>
      <c r="B2" s="162"/>
      <c r="C2" s="163" t="s">
        <v>110</v>
      </c>
      <c r="D2" s="163"/>
      <c r="H2" s="163"/>
      <c r="I2" s="163"/>
      <c r="J2" s="163"/>
    </row>
    <row r="3" spans="1:10" ht="12.75">
      <c r="A3" s="163" t="s">
        <v>152</v>
      </c>
      <c r="B3" s="133"/>
      <c r="C3" s="132"/>
      <c r="D3" s="132"/>
      <c r="E3" s="132"/>
      <c r="F3" s="163" t="s">
        <v>150</v>
      </c>
      <c r="G3" s="163"/>
      <c r="H3" s="132"/>
      <c r="I3" s="132"/>
      <c r="J3" s="132"/>
    </row>
    <row r="4" spans="1:10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69" t="s">
        <v>120</v>
      </c>
      <c r="H4" s="70" t="s">
        <v>6</v>
      </c>
      <c r="I4" s="70" t="s">
        <v>6</v>
      </c>
      <c r="J4" s="71" t="s">
        <v>6</v>
      </c>
    </row>
    <row r="5" spans="1:10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5" t="s">
        <v>121</v>
      </c>
      <c r="H5" s="76" t="s">
        <v>9</v>
      </c>
      <c r="I5" s="76" t="s">
        <v>11</v>
      </c>
      <c r="J5" s="77" t="s">
        <v>10</v>
      </c>
    </row>
    <row r="6" spans="1:10" ht="12.75">
      <c r="A6" s="78"/>
      <c r="B6" s="79"/>
      <c r="C6" s="80"/>
      <c r="D6" s="80"/>
      <c r="E6" s="80"/>
      <c r="F6" s="81"/>
      <c r="G6" s="136" t="s">
        <v>151</v>
      </c>
      <c r="H6" s="136" t="s">
        <v>123</v>
      </c>
      <c r="I6" s="82" t="s">
        <v>13</v>
      </c>
      <c r="J6" s="83" t="s">
        <v>12</v>
      </c>
    </row>
    <row r="7" spans="1:10" ht="12.75">
      <c r="A7" s="345">
        <v>38990</v>
      </c>
      <c r="B7" s="73"/>
      <c r="C7" s="74"/>
      <c r="D7" s="74"/>
      <c r="E7" s="74"/>
      <c r="F7" s="340"/>
      <c r="G7" s="342">
        <v>0</v>
      </c>
      <c r="H7" s="341"/>
      <c r="I7" s="76"/>
      <c r="J7" s="77"/>
    </row>
    <row r="8" spans="1:10" ht="12.75">
      <c r="A8" s="343">
        <v>39070</v>
      </c>
      <c r="B8" s="344"/>
      <c r="C8" s="241">
        <v>226086300</v>
      </c>
      <c r="D8" s="41"/>
      <c r="E8" s="302"/>
      <c r="F8" s="41"/>
      <c r="G8" s="41"/>
      <c r="H8" s="91"/>
      <c r="I8" s="91"/>
      <c r="J8" s="231"/>
    </row>
    <row r="9" spans="1:10" ht="12.75">
      <c r="A9" s="97">
        <v>39080</v>
      </c>
      <c r="B9" s="308">
        <f aca="true" t="shared" si="0" ref="B9:B40">A9-A8</f>
        <v>10</v>
      </c>
      <c r="C9" s="99">
        <f aca="true" t="shared" si="1" ref="C9:C40">C8-D9</f>
        <v>226086300</v>
      </c>
      <c r="D9" s="99"/>
      <c r="E9" s="303">
        <v>0.04766</v>
      </c>
      <c r="F9" s="99">
        <v>299313</v>
      </c>
      <c r="G9" s="99">
        <v>0</v>
      </c>
      <c r="H9" s="300">
        <f>SUM(F7:G9)</f>
        <v>299313</v>
      </c>
      <c r="I9" s="300">
        <f>SUM(D8:D9)</f>
        <v>0</v>
      </c>
      <c r="J9" s="301">
        <f>SUM(H9:I9)</f>
        <v>299313</v>
      </c>
    </row>
    <row r="10" spans="1:10" ht="12.75">
      <c r="A10" s="90">
        <v>39171</v>
      </c>
      <c r="B10" s="306">
        <f t="shared" si="0"/>
        <v>91</v>
      </c>
      <c r="C10" s="41">
        <f t="shared" si="1"/>
        <v>226086300</v>
      </c>
      <c r="D10" s="41"/>
      <c r="E10" s="302">
        <v>0.05112</v>
      </c>
      <c r="F10" s="41">
        <v>2914968</v>
      </c>
      <c r="G10" s="41">
        <v>42390</v>
      </c>
      <c r="H10" s="91"/>
      <c r="I10" s="91"/>
      <c r="J10" s="231"/>
    </row>
    <row r="11" spans="1:10" ht="12.75">
      <c r="A11" s="90">
        <v>39262</v>
      </c>
      <c r="B11" s="307">
        <f>A11-A10</f>
        <v>91</v>
      </c>
      <c r="C11" s="41">
        <f>C10-D11</f>
        <v>226086300</v>
      </c>
      <c r="D11" s="41"/>
      <c r="E11" s="302">
        <v>0.05304</v>
      </c>
      <c r="F11" s="41">
        <v>3028803</v>
      </c>
      <c r="G11" s="41">
        <f>G10</f>
        <v>42390</v>
      </c>
      <c r="H11" s="91"/>
      <c r="I11" s="91"/>
      <c r="J11" s="231"/>
    </row>
    <row r="12" spans="1:10" ht="12.75">
      <c r="A12" s="90">
        <v>39353</v>
      </c>
      <c r="B12" s="307">
        <f t="shared" si="0"/>
        <v>91</v>
      </c>
      <c r="C12" s="41">
        <f t="shared" si="1"/>
        <v>226086300</v>
      </c>
      <c r="D12" s="41"/>
      <c r="E12" s="302">
        <v>0.05554</v>
      </c>
      <c r="F12" s="41">
        <v>3170948</v>
      </c>
      <c r="G12" s="41">
        <f aca="true" t="shared" si="2" ref="G12:G18">G11</f>
        <v>42390</v>
      </c>
      <c r="H12" s="91"/>
      <c r="I12" s="91"/>
      <c r="J12" s="231"/>
    </row>
    <row r="13" spans="1:10" ht="12.75">
      <c r="A13" s="97">
        <v>39445</v>
      </c>
      <c r="B13" s="308">
        <f t="shared" si="0"/>
        <v>92</v>
      </c>
      <c r="C13" s="99">
        <f t="shared" si="1"/>
        <v>226086300</v>
      </c>
      <c r="D13" s="99"/>
      <c r="E13" s="303">
        <v>0.06176</v>
      </c>
      <c r="F13" s="99">
        <v>3556626</v>
      </c>
      <c r="G13" s="99">
        <f t="shared" si="2"/>
        <v>42390</v>
      </c>
      <c r="H13" s="300">
        <f>SUM(F10:G13)</f>
        <v>12840905</v>
      </c>
      <c r="I13" s="300">
        <f>SUM(D10:D13)</f>
        <v>0</v>
      </c>
      <c r="J13" s="301">
        <f>SUM(H13:I13)</f>
        <v>12840905</v>
      </c>
    </row>
    <row r="14" spans="1:10" ht="12.75">
      <c r="A14" s="103">
        <v>39538</v>
      </c>
      <c r="B14" s="306">
        <f t="shared" si="0"/>
        <v>93</v>
      </c>
      <c r="C14" s="42">
        <f t="shared" si="1"/>
        <v>226086300</v>
      </c>
      <c r="D14" s="42"/>
      <c r="E14" s="304">
        <v>0.06155</v>
      </c>
      <c r="F14" s="42">
        <v>3595262</v>
      </c>
      <c r="G14" s="42">
        <f t="shared" si="2"/>
        <v>42390</v>
      </c>
      <c r="H14" s="104"/>
      <c r="I14" s="104"/>
      <c r="J14" s="242"/>
    </row>
    <row r="15" spans="1:10" ht="12.75">
      <c r="A15" s="90">
        <v>39629</v>
      </c>
      <c r="B15" s="307">
        <f t="shared" si="0"/>
        <v>91</v>
      </c>
      <c r="C15" s="41">
        <f t="shared" si="1"/>
        <v>226086300</v>
      </c>
      <c r="D15" s="41"/>
      <c r="E15" s="302">
        <v>0.06121</v>
      </c>
      <c r="F15" s="41">
        <v>3498340</v>
      </c>
      <c r="G15" s="41">
        <f t="shared" si="2"/>
        <v>42390</v>
      </c>
      <c r="H15" s="91"/>
      <c r="I15" s="91"/>
      <c r="J15" s="231"/>
    </row>
    <row r="16" spans="1:10" ht="12.75">
      <c r="A16" s="90">
        <v>39721</v>
      </c>
      <c r="B16" s="307">
        <f t="shared" si="0"/>
        <v>92</v>
      </c>
      <c r="C16" s="41">
        <f t="shared" si="1"/>
        <v>226086300</v>
      </c>
      <c r="D16" s="41"/>
      <c r="E16" s="302">
        <f>E15</f>
        <v>0.06121</v>
      </c>
      <c r="F16" s="41">
        <v>3660011</v>
      </c>
      <c r="G16" s="41">
        <f t="shared" si="2"/>
        <v>42390</v>
      </c>
      <c r="H16" s="91"/>
      <c r="I16" s="91"/>
      <c r="J16" s="231"/>
    </row>
    <row r="17" spans="1:10" ht="12.75">
      <c r="A17" s="97">
        <v>39813</v>
      </c>
      <c r="B17" s="308">
        <f t="shared" si="0"/>
        <v>92</v>
      </c>
      <c r="C17" s="99">
        <f t="shared" si="1"/>
        <v>226086300</v>
      </c>
      <c r="D17" s="99"/>
      <c r="E17" s="303">
        <v>0.06627</v>
      </c>
      <c r="F17" s="99">
        <f>((C17+D17)*E17/360*B17)</f>
        <v>3828922.2147000004</v>
      </c>
      <c r="G17" s="99">
        <f t="shared" si="2"/>
        <v>42390</v>
      </c>
      <c r="H17" s="300">
        <f>SUM(F14:G17)</f>
        <v>14752095.2147</v>
      </c>
      <c r="I17" s="300">
        <f>SUM(D14:D17)</f>
        <v>0</v>
      </c>
      <c r="J17" s="301">
        <f>SUM(H17:I17)</f>
        <v>14752095.2147</v>
      </c>
    </row>
    <row r="18" spans="1:10" ht="12.75">
      <c r="A18" s="90">
        <v>39903</v>
      </c>
      <c r="B18" s="310">
        <f t="shared" si="0"/>
        <v>90</v>
      </c>
      <c r="C18" s="42">
        <f t="shared" si="1"/>
        <v>226086300</v>
      </c>
      <c r="D18" s="41"/>
      <c r="E18" s="302">
        <f>E17</f>
        <v>0.06627</v>
      </c>
      <c r="F18" s="42">
        <f>((C18+D18)*E18/360*B18)</f>
        <v>3745684.7752500004</v>
      </c>
      <c r="G18" s="41">
        <f t="shared" si="2"/>
        <v>42390</v>
      </c>
      <c r="H18" s="91"/>
      <c r="I18" s="91"/>
      <c r="J18" s="231"/>
    </row>
    <row r="19" spans="1:10" ht="12.75">
      <c r="A19" s="90">
        <v>39969</v>
      </c>
      <c r="B19" s="307">
        <f t="shared" si="0"/>
        <v>66</v>
      </c>
      <c r="C19" s="41">
        <f t="shared" si="1"/>
        <v>222809600</v>
      </c>
      <c r="D19" s="41">
        <v>3276700</v>
      </c>
      <c r="E19" s="302"/>
      <c r="F19" s="41"/>
      <c r="G19" s="41"/>
      <c r="H19" s="91"/>
      <c r="I19" s="91"/>
      <c r="J19" s="231"/>
    </row>
    <row r="20" spans="1:10" ht="12.75">
      <c r="A20" s="90">
        <v>39994</v>
      </c>
      <c r="B20" s="307">
        <f t="shared" si="0"/>
        <v>25</v>
      </c>
      <c r="C20" s="41">
        <f t="shared" si="1"/>
        <v>222809600</v>
      </c>
      <c r="D20" s="41"/>
      <c r="E20" s="302">
        <f>E18</f>
        <v>0.06627</v>
      </c>
      <c r="F20" s="41">
        <f>((C19+D19)*E20/360*B19)+((C20+D20)*E20/360*B20)</f>
        <v>3772223.848516667</v>
      </c>
      <c r="G20" s="41">
        <f>G18</f>
        <v>42390</v>
      </c>
      <c r="H20" s="91"/>
      <c r="I20" s="91"/>
      <c r="J20" s="231"/>
    </row>
    <row r="21" spans="1:10" ht="12.75">
      <c r="A21" s="90">
        <v>40061</v>
      </c>
      <c r="B21" s="307">
        <f t="shared" si="0"/>
        <v>67</v>
      </c>
      <c r="C21" s="41">
        <f t="shared" si="1"/>
        <v>219532900</v>
      </c>
      <c r="D21" s="41">
        <f>D19</f>
        <v>3276700</v>
      </c>
      <c r="E21" s="302"/>
      <c r="F21" s="41"/>
      <c r="G21" s="41"/>
      <c r="H21" s="91"/>
      <c r="I21" s="91"/>
      <c r="J21" s="231"/>
    </row>
    <row r="22" spans="1:10" ht="12.75">
      <c r="A22" s="90">
        <v>40086</v>
      </c>
      <c r="B22" s="307">
        <f t="shared" si="0"/>
        <v>25</v>
      </c>
      <c r="C22" s="41">
        <f t="shared" si="1"/>
        <v>219532900</v>
      </c>
      <c r="D22" s="41"/>
      <c r="E22" s="302">
        <f>E20</f>
        <v>0.06627</v>
      </c>
      <c r="F22" s="41">
        <f>((C21+D21)*E22/360*B21)+((C22+D22)*E22/360*B22)</f>
        <v>3758349.469275</v>
      </c>
      <c r="G22" s="41">
        <f>G20</f>
        <v>42390</v>
      </c>
      <c r="H22" s="91"/>
      <c r="I22" s="91"/>
      <c r="J22" s="231"/>
    </row>
    <row r="23" spans="1:10" ht="12.75">
      <c r="A23" s="90">
        <v>40152</v>
      </c>
      <c r="B23" s="307">
        <f t="shared" si="0"/>
        <v>66</v>
      </c>
      <c r="C23" s="41">
        <f t="shared" si="1"/>
        <v>216256200</v>
      </c>
      <c r="D23" s="41">
        <f>D21</f>
        <v>3276700</v>
      </c>
      <c r="E23" s="302"/>
      <c r="F23" s="41"/>
      <c r="G23" s="41"/>
      <c r="H23" s="91"/>
      <c r="I23" s="91"/>
      <c r="J23" s="231"/>
    </row>
    <row r="24" spans="1:10" ht="12.75">
      <c r="A24" s="97">
        <v>40178</v>
      </c>
      <c r="B24" s="308">
        <f t="shared" si="0"/>
        <v>26</v>
      </c>
      <c r="C24" s="99">
        <f t="shared" si="1"/>
        <v>216256200</v>
      </c>
      <c r="D24" s="99"/>
      <c r="E24" s="303">
        <f>E22</f>
        <v>0.06627</v>
      </c>
      <c r="F24" s="99">
        <f>((C23+D23)*E24/360*B23)+((C24+D24)*E24/360*B24)</f>
        <v>3702253.1844499996</v>
      </c>
      <c r="G24" s="99">
        <f>G22</f>
        <v>42390</v>
      </c>
      <c r="H24" s="300">
        <f>SUM(F18:G24)</f>
        <v>15148071.277491666</v>
      </c>
      <c r="I24" s="300">
        <f>SUM(D18:D24)</f>
        <v>9830100</v>
      </c>
      <c r="J24" s="301">
        <f>SUM(H24:I24)</f>
        <v>24978171.277491666</v>
      </c>
    </row>
    <row r="25" spans="1:10" ht="12.75">
      <c r="A25" s="103">
        <v>40242</v>
      </c>
      <c r="B25" s="306">
        <f t="shared" si="0"/>
        <v>64</v>
      </c>
      <c r="C25" s="42">
        <f t="shared" si="1"/>
        <v>212979500</v>
      </c>
      <c r="D25" s="42">
        <f>D23</f>
        <v>3276700</v>
      </c>
      <c r="E25" s="104"/>
      <c r="F25" s="104"/>
      <c r="G25" s="104"/>
      <c r="H25" s="104"/>
      <c r="I25" s="104"/>
      <c r="J25" s="242"/>
    </row>
    <row r="26" spans="1:10" ht="12.75">
      <c r="A26" s="90">
        <v>40268</v>
      </c>
      <c r="B26" s="307">
        <f t="shared" si="0"/>
        <v>26</v>
      </c>
      <c r="C26" s="41">
        <f t="shared" si="1"/>
        <v>212979500</v>
      </c>
      <c r="D26" s="41"/>
      <c r="E26" s="302">
        <f>E24</f>
        <v>0.06627</v>
      </c>
      <c r="F26" s="41">
        <f>((C25+D25)*E26/360*B25)+((C26+D26)*E26/360*B26)</f>
        <v>3567141.761183333</v>
      </c>
      <c r="G26" s="41">
        <f>G24</f>
        <v>42390</v>
      </c>
      <c r="H26" s="91"/>
      <c r="I26" s="91"/>
      <c r="J26" s="231"/>
    </row>
    <row r="27" spans="1:10" ht="12.75">
      <c r="A27" s="90">
        <v>40334</v>
      </c>
      <c r="B27" s="307">
        <f t="shared" si="0"/>
        <v>66</v>
      </c>
      <c r="C27" s="41">
        <f t="shared" si="1"/>
        <v>209702800</v>
      </c>
      <c r="D27" s="41">
        <f>D25</f>
        <v>3276700</v>
      </c>
      <c r="E27" s="302"/>
      <c r="F27" s="41"/>
      <c r="G27" s="41"/>
      <c r="H27" s="91"/>
      <c r="I27" s="91"/>
      <c r="J27" s="231"/>
    </row>
    <row r="28" spans="1:10" ht="12.75">
      <c r="A28" s="90">
        <v>40359</v>
      </c>
      <c r="B28" s="307">
        <f t="shared" si="0"/>
        <v>25</v>
      </c>
      <c r="C28" s="41">
        <f t="shared" si="1"/>
        <v>209702800</v>
      </c>
      <c r="D28" s="41"/>
      <c r="E28" s="302">
        <f>E26</f>
        <v>0.06627</v>
      </c>
      <c r="F28" s="41">
        <f>((C27+D27)*E28/360*B27)+((C28+D28)*E28/360*B28)</f>
        <v>3552664.1960833333</v>
      </c>
      <c r="G28" s="41">
        <f>G26</f>
        <v>42390</v>
      </c>
      <c r="H28" s="91"/>
      <c r="I28" s="91"/>
      <c r="J28" s="231"/>
    </row>
    <row r="29" spans="1:10" ht="12.75">
      <c r="A29" s="90">
        <v>40426</v>
      </c>
      <c r="B29" s="307">
        <f t="shared" si="0"/>
        <v>67</v>
      </c>
      <c r="C29" s="41">
        <f t="shared" si="1"/>
        <v>206426100</v>
      </c>
      <c r="D29" s="41">
        <f>D27</f>
        <v>3276700</v>
      </c>
      <c r="E29" s="302"/>
      <c r="F29" s="41"/>
      <c r="G29" s="41"/>
      <c r="H29" s="91"/>
      <c r="I29" s="91"/>
      <c r="J29" s="231"/>
    </row>
    <row r="30" spans="1:10" ht="12.75">
      <c r="A30" s="90">
        <v>40451</v>
      </c>
      <c r="B30" s="307">
        <f t="shared" si="0"/>
        <v>25</v>
      </c>
      <c r="C30" s="41">
        <f t="shared" si="1"/>
        <v>206426100</v>
      </c>
      <c r="D30" s="41"/>
      <c r="E30" s="302">
        <f>E28</f>
        <v>0.06627</v>
      </c>
      <c r="F30" s="41">
        <f>((C29+D29)*E30/360*B29)+((C30+D30)*E30/360*B30)</f>
        <v>3536377.0734083336</v>
      </c>
      <c r="G30" s="41">
        <f>G28</f>
        <v>42390</v>
      </c>
      <c r="H30" s="91"/>
      <c r="I30" s="91"/>
      <c r="J30" s="231"/>
    </row>
    <row r="31" spans="1:10" ht="12.75">
      <c r="A31" s="90">
        <v>40517</v>
      </c>
      <c r="B31" s="307">
        <f t="shared" si="0"/>
        <v>66</v>
      </c>
      <c r="C31" s="41">
        <f t="shared" si="1"/>
        <v>203149400</v>
      </c>
      <c r="D31" s="41">
        <f>D29</f>
        <v>3276700</v>
      </c>
      <c r="E31" s="302"/>
      <c r="F31" s="41"/>
      <c r="G31" s="41"/>
      <c r="H31" s="91"/>
      <c r="I31" s="91"/>
      <c r="J31" s="231"/>
    </row>
    <row r="32" spans="1:10" ht="12.75">
      <c r="A32" s="97">
        <v>40543</v>
      </c>
      <c r="B32" s="308">
        <f t="shared" si="0"/>
        <v>26</v>
      </c>
      <c r="C32" s="99">
        <f t="shared" si="1"/>
        <v>203149400</v>
      </c>
      <c r="D32" s="99"/>
      <c r="E32" s="303">
        <f>E30</f>
        <v>0.06627</v>
      </c>
      <c r="F32" s="99">
        <f>((C31+D31)*E32/360*B31)+((C32+D32)*E32/360*B32)</f>
        <v>3480280.788583333</v>
      </c>
      <c r="G32" s="99">
        <f>G30</f>
        <v>42390</v>
      </c>
      <c r="H32" s="300">
        <f>SUM(F26:G32)</f>
        <v>14306023.819258332</v>
      </c>
      <c r="I32" s="300">
        <f>SUM(D25:D32)</f>
        <v>13106800</v>
      </c>
      <c r="J32" s="301">
        <f>SUM(H32:I32)</f>
        <v>27412823.819258332</v>
      </c>
    </row>
    <row r="33" spans="1:10" ht="12.75">
      <c r="A33" s="103">
        <v>40607</v>
      </c>
      <c r="B33" s="306">
        <f t="shared" si="0"/>
        <v>64</v>
      </c>
      <c r="C33" s="42">
        <f t="shared" si="1"/>
        <v>199872700</v>
      </c>
      <c r="D33" s="42">
        <f>D31</f>
        <v>3276700</v>
      </c>
      <c r="E33" s="104"/>
      <c r="F33" s="104"/>
      <c r="G33" s="104"/>
      <c r="H33" s="104"/>
      <c r="I33" s="104"/>
      <c r="J33" s="242"/>
    </row>
    <row r="34" spans="1:10" ht="12.75">
      <c r="A34" s="90">
        <v>40633</v>
      </c>
      <c r="B34" s="307">
        <f t="shared" si="0"/>
        <v>26</v>
      </c>
      <c r="C34" s="41">
        <f t="shared" si="1"/>
        <v>199872700</v>
      </c>
      <c r="D34" s="41"/>
      <c r="E34" s="302">
        <f>E32</f>
        <v>0.06627</v>
      </c>
      <c r="F34" s="41">
        <f>((C33+D33)*E34/360*B33)+((C34+D34)*E34/360*B34)</f>
        <v>3349994.8521833336</v>
      </c>
      <c r="G34" s="41">
        <f>G32</f>
        <v>42390</v>
      </c>
      <c r="H34" s="91"/>
      <c r="I34" s="91"/>
      <c r="J34" s="231"/>
    </row>
    <row r="35" spans="1:10" ht="12.75">
      <c r="A35" s="90">
        <v>40699</v>
      </c>
      <c r="B35" s="307">
        <f t="shared" si="0"/>
        <v>66</v>
      </c>
      <c r="C35" s="41">
        <f t="shared" si="1"/>
        <v>196596000</v>
      </c>
      <c r="D35" s="41">
        <f>D33</f>
        <v>3276700</v>
      </c>
      <c r="E35" s="302"/>
      <c r="F35" s="41"/>
      <c r="G35" s="41"/>
      <c r="H35" s="91"/>
      <c r="I35" s="91"/>
      <c r="J35" s="231"/>
    </row>
    <row r="36" spans="1:10" ht="12.75">
      <c r="A36" s="90">
        <v>40724</v>
      </c>
      <c r="B36" s="307">
        <f t="shared" si="0"/>
        <v>25</v>
      </c>
      <c r="C36" s="41">
        <f t="shared" si="1"/>
        <v>196596000</v>
      </c>
      <c r="D36" s="41"/>
      <c r="E36" s="302">
        <f>E34</f>
        <v>0.06627</v>
      </c>
      <c r="F36" s="41">
        <f>((C35+D35)*E36/360*B35)+((C36+D36)*E36/360*B36)</f>
        <v>3333104.54365</v>
      </c>
      <c r="G36" s="41">
        <f>G34</f>
        <v>42390</v>
      </c>
      <c r="H36" s="91"/>
      <c r="I36" s="91"/>
      <c r="J36" s="231"/>
    </row>
    <row r="37" spans="1:10" ht="12.75">
      <c r="A37" s="90">
        <v>40791</v>
      </c>
      <c r="B37" s="307">
        <f t="shared" si="0"/>
        <v>67</v>
      </c>
      <c r="C37" s="41">
        <f t="shared" si="1"/>
        <v>193319300</v>
      </c>
      <c r="D37" s="41">
        <f>D35</f>
        <v>3276700</v>
      </c>
      <c r="E37" s="302"/>
      <c r="F37" s="41"/>
      <c r="G37" s="41"/>
      <c r="H37" s="91"/>
      <c r="I37" s="91"/>
      <c r="J37" s="231"/>
    </row>
    <row r="38" spans="1:10" ht="12.75">
      <c r="A38" s="90">
        <v>40816</v>
      </c>
      <c r="B38" s="307">
        <f t="shared" si="0"/>
        <v>25</v>
      </c>
      <c r="C38" s="41">
        <f t="shared" si="1"/>
        <v>193319300</v>
      </c>
      <c r="D38" s="41"/>
      <c r="E38" s="302">
        <f>E36</f>
        <v>0.06627</v>
      </c>
      <c r="F38" s="41">
        <f>((C37+D37)*E38/360*B37)+((C38+D38)*E38/360*B38)</f>
        <v>3314404.6775416667</v>
      </c>
      <c r="G38" s="41">
        <f>G36</f>
        <v>42390</v>
      </c>
      <c r="H38" s="91"/>
      <c r="I38" s="91"/>
      <c r="J38" s="231"/>
    </row>
    <row r="39" spans="1:10" ht="12.75">
      <c r="A39" s="90">
        <v>40882</v>
      </c>
      <c r="B39" s="307">
        <f t="shared" si="0"/>
        <v>66</v>
      </c>
      <c r="C39" s="41">
        <f t="shared" si="1"/>
        <v>190042600</v>
      </c>
      <c r="D39" s="41">
        <f>D37</f>
        <v>3276700</v>
      </c>
      <c r="E39" s="302"/>
      <c r="F39" s="41"/>
      <c r="G39" s="41"/>
      <c r="H39" s="91"/>
      <c r="I39" s="91"/>
      <c r="J39" s="231"/>
    </row>
    <row r="40" spans="1:10" ht="12.75">
      <c r="A40" s="97">
        <v>40908</v>
      </c>
      <c r="B40" s="308">
        <f t="shared" si="0"/>
        <v>26</v>
      </c>
      <c r="C40" s="99">
        <f t="shared" si="1"/>
        <v>190042600</v>
      </c>
      <c r="D40" s="99"/>
      <c r="E40" s="303">
        <f>E38</f>
        <v>0.06627</v>
      </c>
      <c r="F40" s="99">
        <f>((C39+D39)*E40/360*B39)+((C40+D40)*E40/360*B40)</f>
        <v>3258308.3927166667</v>
      </c>
      <c r="G40" s="99">
        <f>G38</f>
        <v>42390</v>
      </c>
      <c r="H40" s="300">
        <f>SUM(F34:G40)</f>
        <v>13425372.466091668</v>
      </c>
      <c r="I40" s="300">
        <f>SUM(D33:D40)</f>
        <v>13106800</v>
      </c>
      <c r="J40" s="301">
        <f>SUM(H40:I40)</f>
        <v>26532172.46609167</v>
      </c>
    </row>
    <row r="41" spans="1:10" ht="12.75">
      <c r="A41" s="103">
        <v>40973</v>
      </c>
      <c r="B41" s="306">
        <f aca="true" t="shared" si="3" ref="B41:B72">A41-A40</f>
        <v>65</v>
      </c>
      <c r="C41" s="42">
        <f aca="true" t="shared" si="4" ref="C41:C72">C40-D41</f>
        <v>186765900</v>
      </c>
      <c r="D41" s="42">
        <f>D39</f>
        <v>3276700</v>
      </c>
      <c r="E41" s="104"/>
      <c r="F41" s="104"/>
      <c r="G41" s="104"/>
      <c r="H41" s="104"/>
      <c r="I41" s="104"/>
      <c r="J41" s="242"/>
    </row>
    <row r="42" spans="1:10" ht="12.75">
      <c r="A42" s="90">
        <v>40999</v>
      </c>
      <c r="B42" s="307">
        <f t="shared" si="3"/>
        <v>26</v>
      </c>
      <c r="C42" s="41">
        <f t="shared" si="4"/>
        <v>186765900</v>
      </c>
      <c r="D42" s="41"/>
      <c r="E42" s="302">
        <f>E40</f>
        <v>0.06627</v>
      </c>
      <c r="F42" s="41">
        <f>((C41+D41)*E42/360*B41)+((C42+D42)*E42/360*B42)</f>
        <v>3167831.6184666664</v>
      </c>
      <c r="G42" s="41">
        <f>G40</f>
        <v>42390</v>
      </c>
      <c r="H42" s="91"/>
      <c r="I42" s="91"/>
      <c r="J42" s="231"/>
    </row>
    <row r="43" spans="1:10" ht="12.75">
      <c r="A43" s="90">
        <v>41065</v>
      </c>
      <c r="B43" s="307">
        <f t="shared" si="3"/>
        <v>66</v>
      </c>
      <c r="C43" s="41">
        <f t="shared" si="4"/>
        <v>183489200</v>
      </c>
      <c r="D43" s="41">
        <f>D41</f>
        <v>3276700</v>
      </c>
      <c r="E43" s="302"/>
      <c r="F43" s="41"/>
      <c r="G43" s="41"/>
      <c r="H43" s="91"/>
      <c r="I43" s="91"/>
      <c r="J43" s="231"/>
    </row>
    <row r="44" spans="1:10" ht="12.75">
      <c r="A44" s="90">
        <v>41090</v>
      </c>
      <c r="B44" s="307">
        <f t="shared" si="3"/>
        <v>25</v>
      </c>
      <c r="C44" s="41">
        <f t="shared" si="4"/>
        <v>183489200</v>
      </c>
      <c r="D44" s="41"/>
      <c r="E44" s="302">
        <f>E42</f>
        <v>0.06627</v>
      </c>
      <c r="F44" s="41">
        <f>((C43+D43)*E44/360*B43)+((C44+D44)*E44/360*B44)</f>
        <v>3113544.891216667</v>
      </c>
      <c r="G44" s="41">
        <f>G42</f>
        <v>42390</v>
      </c>
      <c r="H44" s="91"/>
      <c r="I44" s="91"/>
      <c r="J44" s="231"/>
    </row>
    <row r="45" spans="1:10" ht="12.75">
      <c r="A45" s="90">
        <v>41157</v>
      </c>
      <c r="B45" s="307">
        <f t="shared" si="3"/>
        <v>67</v>
      </c>
      <c r="C45" s="41">
        <f t="shared" si="4"/>
        <v>180212500</v>
      </c>
      <c r="D45" s="41">
        <f>D43</f>
        <v>3276700</v>
      </c>
      <c r="E45" s="302"/>
      <c r="F45" s="41"/>
      <c r="G45" s="41"/>
      <c r="H45" s="91"/>
      <c r="I45" s="91"/>
      <c r="J45" s="231"/>
    </row>
    <row r="46" spans="1:10" ht="12.75">
      <c r="A46" s="90">
        <v>41182</v>
      </c>
      <c r="B46" s="307">
        <f t="shared" si="3"/>
        <v>25</v>
      </c>
      <c r="C46" s="41">
        <f t="shared" si="4"/>
        <v>180212500</v>
      </c>
      <c r="D46" s="41"/>
      <c r="E46" s="302">
        <f>E44</f>
        <v>0.06627</v>
      </c>
      <c r="F46" s="41">
        <f>((C45+D45)*E46/360*B45)+((C46+D46)*E46/360*B46)</f>
        <v>3092432.2816749997</v>
      </c>
      <c r="G46" s="41">
        <f>G44</f>
        <v>42390</v>
      </c>
      <c r="H46" s="91"/>
      <c r="I46" s="91"/>
      <c r="J46" s="231"/>
    </row>
    <row r="47" spans="1:10" ht="12.75">
      <c r="A47" s="90">
        <v>41248</v>
      </c>
      <c r="B47" s="307">
        <f t="shared" si="3"/>
        <v>66</v>
      </c>
      <c r="C47" s="41">
        <f t="shared" si="4"/>
        <v>176935800</v>
      </c>
      <c r="D47" s="41">
        <f>D45</f>
        <v>3276700</v>
      </c>
      <c r="E47" s="302"/>
      <c r="F47" s="41"/>
      <c r="G47" s="41"/>
      <c r="H47" s="91"/>
      <c r="I47" s="91"/>
      <c r="J47" s="231"/>
    </row>
    <row r="48" spans="1:10" ht="12.75">
      <c r="A48" s="97">
        <v>41274</v>
      </c>
      <c r="B48" s="308">
        <f t="shared" si="3"/>
        <v>26</v>
      </c>
      <c r="C48" s="99">
        <f t="shared" si="4"/>
        <v>176935800</v>
      </c>
      <c r="D48" s="99"/>
      <c r="E48" s="303">
        <f>E46</f>
        <v>0.06627</v>
      </c>
      <c r="F48" s="99">
        <f>((C47+D47)*E48/360*B47)+((C48+D48)*E48/360*B48)</f>
        <v>3036335.9968499998</v>
      </c>
      <c r="G48" s="99">
        <f>G46</f>
        <v>42390</v>
      </c>
      <c r="H48" s="300">
        <f>SUM(F42:G48)</f>
        <v>12579704.788208332</v>
      </c>
      <c r="I48" s="300">
        <f>SUM(D41:D48)</f>
        <v>13106800</v>
      </c>
      <c r="J48" s="301">
        <f>SUM(H48:I48)</f>
        <v>25686504.788208332</v>
      </c>
    </row>
    <row r="49" spans="1:10" ht="12.75">
      <c r="A49" s="103">
        <v>41338</v>
      </c>
      <c r="B49" s="306">
        <f t="shared" si="3"/>
        <v>64</v>
      </c>
      <c r="C49" s="42">
        <f t="shared" si="4"/>
        <v>173659100</v>
      </c>
      <c r="D49" s="42">
        <f>D47</f>
        <v>3276700</v>
      </c>
      <c r="E49" s="104"/>
      <c r="F49" s="104"/>
      <c r="G49" s="104"/>
      <c r="H49" s="104"/>
      <c r="I49" s="104"/>
      <c r="J49" s="242"/>
    </row>
    <row r="50" spans="1:10" ht="12.75">
      <c r="A50" s="90">
        <v>41364</v>
      </c>
      <c r="B50" s="307">
        <f t="shared" si="3"/>
        <v>26</v>
      </c>
      <c r="C50" s="41">
        <f t="shared" si="4"/>
        <v>173659100</v>
      </c>
      <c r="D50" s="41"/>
      <c r="E50" s="302">
        <f>E48</f>
        <v>0.06627</v>
      </c>
      <c r="F50" s="41">
        <f>((C49+D49)*E50/360*B49)+((C50+D50)*E50/360*B50)</f>
        <v>2915701.0341833336</v>
      </c>
      <c r="G50" s="41">
        <f>G48</f>
        <v>42390</v>
      </c>
      <c r="H50" s="91"/>
      <c r="I50" s="91"/>
      <c r="J50" s="231"/>
    </row>
    <row r="51" spans="1:10" ht="12.75">
      <c r="A51" s="90">
        <v>41430</v>
      </c>
      <c r="B51" s="307">
        <f t="shared" si="3"/>
        <v>66</v>
      </c>
      <c r="C51" s="41">
        <f t="shared" si="4"/>
        <v>170382400</v>
      </c>
      <c r="D51" s="41">
        <f>D49</f>
        <v>3276700</v>
      </c>
      <c r="E51" s="302"/>
      <c r="F51" s="41"/>
      <c r="G51" s="41"/>
      <c r="H51" s="91"/>
      <c r="I51" s="91"/>
      <c r="J51" s="231"/>
    </row>
    <row r="52" spans="1:10" ht="12.75">
      <c r="A52" s="90">
        <v>41455</v>
      </c>
      <c r="B52" s="307">
        <f t="shared" si="3"/>
        <v>25</v>
      </c>
      <c r="C52" s="41">
        <f t="shared" si="4"/>
        <v>170382400</v>
      </c>
      <c r="D52" s="41"/>
      <c r="E52" s="302">
        <f>E50</f>
        <v>0.06627</v>
      </c>
      <c r="F52" s="41">
        <f>((C51+D51)*E52/360*B51)+((C52+D52)*E52/360*B52)</f>
        <v>2893985.2387833335</v>
      </c>
      <c r="G52" s="41">
        <f>G50</f>
        <v>42390</v>
      </c>
      <c r="H52" s="91"/>
      <c r="I52" s="91"/>
      <c r="J52" s="231"/>
    </row>
    <row r="53" spans="1:10" ht="12.75">
      <c r="A53" s="90">
        <v>41522</v>
      </c>
      <c r="B53" s="307">
        <f t="shared" si="3"/>
        <v>67</v>
      </c>
      <c r="C53" s="41">
        <f t="shared" si="4"/>
        <v>167105700</v>
      </c>
      <c r="D53" s="41">
        <f>D51</f>
        <v>3276700</v>
      </c>
      <c r="E53" s="302"/>
      <c r="F53" s="41"/>
      <c r="G53" s="41"/>
      <c r="H53" s="91"/>
      <c r="I53" s="91"/>
      <c r="J53" s="231"/>
    </row>
    <row r="54" spans="1:10" ht="12.75">
      <c r="A54" s="90">
        <v>41547</v>
      </c>
      <c r="B54" s="307">
        <f t="shared" si="3"/>
        <v>25</v>
      </c>
      <c r="C54" s="41">
        <f t="shared" si="4"/>
        <v>167105700</v>
      </c>
      <c r="D54" s="41"/>
      <c r="E54" s="302">
        <f>E52</f>
        <v>0.06627</v>
      </c>
      <c r="F54" s="41">
        <f>((C53+D53)*E54/360*B53)+((C54+D54)*E54/360*B54)</f>
        <v>2870459.8858083333</v>
      </c>
      <c r="G54" s="41">
        <f>G52</f>
        <v>42390</v>
      </c>
      <c r="H54" s="91"/>
      <c r="I54" s="91"/>
      <c r="J54" s="231"/>
    </row>
    <row r="55" spans="1:10" ht="12.75">
      <c r="A55" s="90">
        <v>41613</v>
      </c>
      <c r="B55" s="307">
        <f t="shared" si="3"/>
        <v>66</v>
      </c>
      <c r="C55" s="41">
        <f t="shared" si="4"/>
        <v>163829000</v>
      </c>
      <c r="D55" s="41">
        <f>D53</f>
        <v>3276700</v>
      </c>
      <c r="E55" s="302"/>
      <c r="F55" s="41"/>
      <c r="G55" s="41"/>
      <c r="H55" s="91"/>
      <c r="I55" s="91"/>
      <c r="J55" s="231"/>
    </row>
    <row r="56" spans="1:10" ht="12.75">
      <c r="A56" s="97">
        <v>41639</v>
      </c>
      <c r="B56" s="308">
        <f t="shared" si="3"/>
        <v>26</v>
      </c>
      <c r="C56" s="99">
        <f t="shared" si="4"/>
        <v>163829000</v>
      </c>
      <c r="D56" s="99"/>
      <c r="E56" s="303">
        <f>E54</f>
        <v>0.06627</v>
      </c>
      <c r="F56" s="99">
        <f>((C55+D55)*E56/360*B55)+((C56+D56)*E56/360*B56)</f>
        <v>2814363.6009833333</v>
      </c>
      <c r="G56" s="99">
        <f>G54</f>
        <v>42390</v>
      </c>
      <c r="H56" s="300">
        <f>SUM(F50:G56)</f>
        <v>11664069.759758333</v>
      </c>
      <c r="I56" s="300">
        <f>SUM(D49:D56)</f>
        <v>13106800</v>
      </c>
      <c r="J56" s="301">
        <f>SUM(H56:I56)</f>
        <v>24770869.75975833</v>
      </c>
    </row>
    <row r="57" spans="1:10" ht="12.75">
      <c r="A57" s="103">
        <v>41703</v>
      </c>
      <c r="B57" s="306">
        <f t="shared" si="3"/>
        <v>64</v>
      </c>
      <c r="C57" s="42">
        <f t="shared" si="4"/>
        <v>160552300</v>
      </c>
      <c r="D57" s="42">
        <f>D55</f>
        <v>3276700</v>
      </c>
      <c r="E57" s="104"/>
      <c r="F57" s="104"/>
      <c r="G57" s="104"/>
      <c r="H57" s="104"/>
      <c r="I57" s="104"/>
      <c r="J57" s="242"/>
    </row>
    <row r="58" spans="1:10" ht="12.75">
      <c r="A58" s="90">
        <v>41729</v>
      </c>
      <c r="B58" s="307">
        <f t="shared" si="3"/>
        <v>26</v>
      </c>
      <c r="C58" s="41">
        <f t="shared" si="4"/>
        <v>160552300</v>
      </c>
      <c r="D58" s="41"/>
      <c r="E58" s="302">
        <f>E56</f>
        <v>0.06627</v>
      </c>
      <c r="F58" s="41">
        <f>((C57+D57)*E58/360*B57)+((C58+D58)*E58/360*B58)</f>
        <v>2698554.1251833336</v>
      </c>
      <c r="G58" s="41">
        <f>G56</f>
        <v>42390</v>
      </c>
      <c r="H58" s="91"/>
      <c r="I58" s="91"/>
      <c r="J58" s="231"/>
    </row>
    <row r="59" spans="1:10" ht="12.75">
      <c r="A59" s="90">
        <v>41795</v>
      </c>
      <c r="B59" s="307">
        <f t="shared" si="3"/>
        <v>66</v>
      </c>
      <c r="C59" s="41">
        <f t="shared" si="4"/>
        <v>157275600</v>
      </c>
      <c r="D59" s="41">
        <f>D57</f>
        <v>3276700</v>
      </c>
      <c r="E59" s="302"/>
      <c r="F59" s="41"/>
      <c r="G59" s="41"/>
      <c r="H59" s="91"/>
      <c r="I59" s="91"/>
      <c r="J59" s="231"/>
    </row>
    <row r="60" spans="1:10" ht="12.75">
      <c r="A60" s="90">
        <v>41820</v>
      </c>
      <c r="B60" s="307">
        <f t="shared" si="3"/>
        <v>25</v>
      </c>
      <c r="C60" s="41">
        <f t="shared" si="4"/>
        <v>157275600</v>
      </c>
      <c r="D60" s="41"/>
      <c r="E60" s="302">
        <f>E58</f>
        <v>0.06627</v>
      </c>
      <c r="F60" s="41">
        <f>((C59+D59)*E60/360*B59)+((C60+D60)*E60/360*B60)</f>
        <v>2674425.58635</v>
      </c>
      <c r="G60" s="41">
        <f>G58</f>
        <v>42390</v>
      </c>
      <c r="H60" s="91"/>
      <c r="I60" s="91"/>
      <c r="J60" s="231"/>
    </row>
    <row r="61" spans="1:10" ht="12.75">
      <c r="A61" s="90">
        <v>41887</v>
      </c>
      <c r="B61" s="307">
        <f t="shared" si="3"/>
        <v>67</v>
      </c>
      <c r="C61" s="41">
        <f t="shared" si="4"/>
        <v>153998900</v>
      </c>
      <c r="D61" s="41">
        <f>D59</f>
        <v>3276700</v>
      </c>
      <c r="E61" s="302"/>
      <c r="F61" s="41"/>
      <c r="G61" s="41"/>
      <c r="H61" s="91"/>
      <c r="I61" s="91"/>
      <c r="J61" s="231"/>
    </row>
    <row r="62" spans="1:10" ht="12.75">
      <c r="A62" s="90">
        <v>41912</v>
      </c>
      <c r="B62" s="307">
        <f t="shared" si="3"/>
        <v>25</v>
      </c>
      <c r="C62" s="41">
        <f t="shared" si="4"/>
        <v>153998900</v>
      </c>
      <c r="D62" s="41"/>
      <c r="E62" s="302">
        <f>E60</f>
        <v>0.06627</v>
      </c>
      <c r="F62" s="41">
        <f>((C61+D61)*E62/360*B61)+((C62+D62)*E62/360*B62)</f>
        <v>2648487.489941667</v>
      </c>
      <c r="G62" s="41">
        <f>G60</f>
        <v>42390</v>
      </c>
      <c r="H62" s="91"/>
      <c r="I62" s="91"/>
      <c r="J62" s="231"/>
    </row>
    <row r="63" spans="1:10" ht="12.75">
      <c r="A63" s="90">
        <v>41978</v>
      </c>
      <c r="B63" s="307">
        <f t="shared" si="3"/>
        <v>66</v>
      </c>
      <c r="C63" s="41">
        <f t="shared" si="4"/>
        <v>150722200</v>
      </c>
      <c r="D63" s="41">
        <f>D61</f>
        <v>3276700</v>
      </c>
      <c r="E63" s="302"/>
      <c r="F63" s="41"/>
      <c r="G63" s="41"/>
      <c r="H63" s="91"/>
      <c r="I63" s="91"/>
      <c r="J63" s="231"/>
    </row>
    <row r="64" spans="1:10" ht="12.75">
      <c r="A64" s="97">
        <v>42004</v>
      </c>
      <c r="B64" s="308">
        <f t="shared" si="3"/>
        <v>26</v>
      </c>
      <c r="C64" s="99">
        <f t="shared" si="4"/>
        <v>150722200</v>
      </c>
      <c r="D64" s="99"/>
      <c r="E64" s="303">
        <f>E62</f>
        <v>0.06627</v>
      </c>
      <c r="F64" s="99">
        <f>((C63+D63)*E64/360*B63)+((C64+D64)*E64/360*B64)</f>
        <v>2592391.205116667</v>
      </c>
      <c r="G64" s="99">
        <f>G62</f>
        <v>42390</v>
      </c>
      <c r="H64" s="300">
        <f>SUM(F58:G64)</f>
        <v>10783418.406591669</v>
      </c>
      <c r="I64" s="300">
        <f>SUM(D57:D64)</f>
        <v>13106800</v>
      </c>
      <c r="J64" s="301">
        <f>SUM(H64:I64)</f>
        <v>23890218.40659167</v>
      </c>
    </row>
    <row r="65" spans="1:10" ht="12.75">
      <c r="A65" s="103">
        <v>42068</v>
      </c>
      <c r="B65" s="306">
        <f t="shared" si="3"/>
        <v>64</v>
      </c>
      <c r="C65" s="42">
        <f t="shared" si="4"/>
        <v>147445500</v>
      </c>
      <c r="D65" s="42">
        <f>D63</f>
        <v>3276700</v>
      </c>
      <c r="E65" s="104"/>
      <c r="F65" s="104"/>
      <c r="G65" s="104"/>
      <c r="H65" s="104"/>
      <c r="I65" s="104"/>
      <c r="J65" s="242"/>
    </row>
    <row r="66" spans="1:10" ht="12.75">
      <c r="A66" s="90">
        <v>42094</v>
      </c>
      <c r="B66" s="307">
        <f t="shared" si="3"/>
        <v>26</v>
      </c>
      <c r="C66" s="41">
        <f t="shared" si="4"/>
        <v>147445500</v>
      </c>
      <c r="D66" s="41"/>
      <c r="E66" s="302">
        <f>E64</f>
        <v>0.06627</v>
      </c>
      <c r="F66" s="41">
        <f>((C65+D65)*E66/360*B65)+((C66+D66)*E66/360*B66)</f>
        <v>2481407.2161833337</v>
      </c>
      <c r="G66" s="41">
        <f>G64</f>
        <v>42390</v>
      </c>
      <c r="H66" s="91"/>
      <c r="I66" s="91"/>
      <c r="J66" s="231"/>
    </row>
    <row r="67" spans="1:10" ht="12.75">
      <c r="A67" s="90">
        <v>42160</v>
      </c>
      <c r="B67" s="307">
        <f t="shared" si="3"/>
        <v>66</v>
      </c>
      <c r="C67" s="41">
        <f t="shared" si="4"/>
        <v>144168800</v>
      </c>
      <c r="D67" s="41">
        <f>D65</f>
        <v>3276700</v>
      </c>
      <c r="E67" s="302"/>
      <c r="F67" s="41"/>
      <c r="G67" s="41"/>
      <c r="H67" s="91"/>
      <c r="I67" s="91"/>
      <c r="J67" s="231"/>
    </row>
    <row r="68" spans="1:10" ht="12.75">
      <c r="A68" s="90">
        <v>42185</v>
      </c>
      <c r="B68" s="307">
        <f t="shared" si="3"/>
        <v>25</v>
      </c>
      <c r="C68" s="41">
        <f t="shared" si="4"/>
        <v>144168800</v>
      </c>
      <c r="D68" s="41"/>
      <c r="E68" s="302">
        <f>E66</f>
        <v>0.06627</v>
      </c>
      <c r="F68" s="41">
        <f>((C67+D67)*E68/360*B67)+((C68+D68)*E68/360*B68)</f>
        <v>2454865.9339166665</v>
      </c>
      <c r="G68" s="41">
        <f>G66</f>
        <v>42390</v>
      </c>
      <c r="H68" s="91"/>
      <c r="I68" s="91"/>
      <c r="J68" s="231"/>
    </row>
    <row r="69" spans="1:10" ht="12.75">
      <c r="A69" s="90">
        <v>42252</v>
      </c>
      <c r="B69" s="307">
        <f t="shared" si="3"/>
        <v>67</v>
      </c>
      <c r="C69" s="41">
        <f t="shared" si="4"/>
        <v>140892100</v>
      </c>
      <c r="D69" s="41">
        <f>D67</f>
        <v>3276700</v>
      </c>
      <c r="E69" s="302"/>
      <c r="F69" s="41"/>
      <c r="G69" s="41"/>
      <c r="H69" s="91"/>
      <c r="I69" s="91"/>
      <c r="J69" s="231"/>
    </row>
    <row r="70" spans="1:10" ht="12.75">
      <c r="A70" s="90">
        <v>42277</v>
      </c>
      <c r="B70" s="307">
        <f t="shared" si="3"/>
        <v>25</v>
      </c>
      <c r="C70" s="41">
        <f t="shared" si="4"/>
        <v>140892100</v>
      </c>
      <c r="D70" s="41"/>
      <c r="E70" s="302">
        <f>E68</f>
        <v>0.06627</v>
      </c>
      <c r="F70" s="41">
        <f>((C69+D69)*E70/360*B69)+((C70+D70)*E70/360*B70)</f>
        <v>2426515.094075</v>
      </c>
      <c r="G70" s="41">
        <f>G68</f>
        <v>42390</v>
      </c>
      <c r="H70" s="91"/>
      <c r="I70" s="91"/>
      <c r="J70" s="231"/>
    </row>
    <row r="71" spans="1:10" ht="12.75">
      <c r="A71" s="90">
        <v>42343</v>
      </c>
      <c r="B71" s="307">
        <f t="shared" si="3"/>
        <v>66</v>
      </c>
      <c r="C71" s="41">
        <f t="shared" si="4"/>
        <v>137615400</v>
      </c>
      <c r="D71" s="41">
        <f>D69</f>
        <v>3276700</v>
      </c>
      <c r="E71" s="302"/>
      <c r="F71" s="41"/>
      <c r="G71" s="41"/>
      <c r="H71" s="91"/>
      <c r="I71" s="91"/>
      <c r="J71" s="231"/>
    </row>
    <row r="72" spans="1:10" ht="12.75">
      <c r="A72" s="97">
        <v>42369</v>
      </c>
      <c r="B72" s="308">
        <f t="shared" si="3"/>
        <v>26</v>
      </c>
      <c r="C72" s="99">
        <f t="shared" si="4"/>
        <v>137615400</v>
      </c>
      <c r="D72" s="99"/>
      <c r="E72" s="303">
        <f>E70</f>
        <v>0.06627</v>
      </c>
      <c r="F72" s="99">
        <f>((C71+D71)*E72/360*B71)+((C72+D72)*E72/360*B72)</f>
        <v>2370418.80925</v>
      </c>
      <c r="G72" s="99">
        <f>G70</f>
        <v>42390</v>
      </c>
      <c r="H72" s="300">
        <f>SUM(F66:G72)</f>
        <v>9902767.053425</v>
      </c>
      <c r="I72" s="300">
        <f>SUM(D65:D72)</f>
        <v>13106800</v>
      </c>
      <c r="J72" s="301">
        <f>SUM(H72:I72)</f>
        <v>23009567.053425</v>
      </c>
    </row>
    <row r="73" spans="1:10" ht="12.75">
      <c r="A73" s="103">
        <v>42434</v>
      </c>
      <c r="B73" s="306">
        <f aca="true" t="shared" si="5" ref="B73:B104">A73-A72</f>
        <v>65</v>
      </c>
      <c r="C73" s="42">
        <f aca="true" t="shared" si="6" ref="C73:C104">C72-D73</f>
        <v>134338700</v>
      </c>
      <c r="D73" s="42">
        <f>D71</f>
        <v>3276700</v>
      </c>
      <c r="E73" s="104"/>
      <c r="F73" s="104"/>
      <c r="G73" s="104"/>
      <c r="H73" s="104"/>
      <c r="I73" s="104"/>
      <c r="J73" s="242"/>
    </row>
    <row r="74" spans="1:10" ht="12.75">
      <c r="A74" s="90">
        <v>42460</v>
      </c>
      <c r="B74" s="307">
        <f t="shared" si="5"/>
        <v>26</v>
      </c>
      <c r="C74" s="41">
        <f t="shared" si="6"/>
        <v>134338700</v>
      </c>
      <c r="D74" s="41"/>
      <c r="E74" s="302">
        <f>E72</f>
        <v>0.06627</v>
      </c>
      <c r="F74" s="41">
        <f>((C73+D73)*E74/360*B73)+((C74+D74)*E74/360*B74)</f>
        <v>2289593.0087333336</v>
      </c>
      <c r="G74" s="41">
        <f>G72</f>
        <v>42390</v>
      </c>
      <c r="H74" s="91"/>
      <c r="I74" s="91"/>
      <c r="J74" s="231"/>
    </row>
    <row r="75" spans="1:10" ht="12.75">
      <c r="A75" s="90">
        <v>42526</v>
      </c>
      <c r="B75" s="307">
        <f t="shared" si="5"/>
        <v>66</v>
      </c>
      <c r="C75" s="41">
        <f t="shared" si="6"/>
        <v>131062000</v>
      </c>
      <c r="D75" s="41">
        <f>D73</f>
        <v>3276700</v>
      </c>
      <c r="E75" s="302"/>
      <c r="F75" s="41"/>
      <c r="G75" s="41"/>
      <c r="H75" s="91"/>
      <c r="I75" s="91"/>
      <c r="J75" s="231"/>
    </row>
    <row r="76" spans="1:10" ht="12.75">
      <c r="A76" s="90">
        <v>42551</v>
      </c>
      <c r="B76" s="307">
        <f t="shared" si="5"/>
        <v>25</v>
      </c>
      <c r="C76" s="41">
        <f t="shared" si="6"/>
        <v>131062000</v>
      </c>
      <c r="D76" s="41"/>
      <c r="E76" s="302">
        <f>E74</f>
        <v>0.06627</v>
      </c>
      <c r="F76" s="41">
        <f>((C75+D75)*E76/360*B75)+((C76+D76)*E76/360*B76)</f>
        <v>2235306.2814833336</v>
      </c>
      <c r="G76" s="41">
        <f>G74</f>
        <v>42390</v>
      </c>
      <c r="H76" s="91"/>
      <c r="I76" s="91"/>
      <c r="J76" s="231"/>
    </row>
    <row r="77" spans="1:10" ht="12.75">
      <c r="A77" s="90">
        <v>42618</v>
      </c>
      <c r="B77" s="307">
        <f t="shared" si="5"/>
        <v>67</v>
      </c>
      <c r="C77" s="41">
        <f t="shared" si="6"/>
        <v>127785300</v>
      </c>
      <c r="D77" s="41">
        <f>D75</f>
        <v>3276700</v>
      </c>
      <c r="E77" s="302"/>
      <c r="F77" s="41"/>
      <c r="G77" s="41"/>
      <c r="H77" s="91"/>
      <c r="I77" s="91"/>
      <c r="J77" s="231"/>
    </row>
    <row r="78" spans="1:10" ht="12.75">
      <c r="A78" s="90">
        <v>42643</v>
      </c>
      <c r="B78" s="307">
        <f t="shared" si="5"/>
        <v>25</v>
      </c>
      <c r="C78" s="41">
        <f t="shared" si="6"/>
        <v>127785300</v>
      </c>
      <c r="D78" s="41"/>
      <c r="E78" s="302">
        <f>E76</f>
        <v>0.06627</v>
      </c>
      <c r="F78" s="41">
        <f>((C77+D77)*E78/360*B77)+((C78+D78)*E78/360*B78)</f>
        <v>2204542.698208333</v>
      </c>
      <c r="G78" s="41">
        <f>G76</f>
        <v>42390</v>
      </c>
      <c r="H78" s="91"/>
      <c r="I78" s="91"/>
      <c r="J78" s="231"/>
    </row>
    <row r="79" spans="1:10" ht="12.75">
      <c r="A79" s="90">
        <v>42709</v>
      </c>
      <c r="B79" s="307">
        <f t="shared" si="5"/>
        <v>66</v>
      </c>
      <c r="C79" s="41">
        <f t="shared" si="6"/>
        <v>124508600</v>
      </c>
      <c r="D79" s="41">
        <f>D77</f>
        <v>3276700</v>
      </c>
      <c r="E79" s="302"/>
      <c r="F79" s="41"/>
      <c r="G79" s="41"/>
      <c r="H79" s="91"/>
      <c r="I79" s="91"/>
      <c r="J79" s="231"/>
    </row>
    <row r="80" spans="1:10" ht="12.75">
      <c r="A80" s="97">
        <v>42735</v>
      </c>
      <c r="B80" s="308">
        <f t="shared" si="5"/>
        <v>26</v>
      </c>
      <c r="C80" s="99">
        <f t="shared" si="6"/>
        <v>124508600</v>
      </c>
      <c r="D80" s="99"/>
      <c r="E80" s="303">
        <f>E78</f>
        <v>0.06627</v>
      </c>
      <c r="F80" s="99">
        <f>((C79+D79)*E80/360*B79)+((C80+D80)*E80/360*B80)</f>
        <v>2148446.413383333</v>
      </c>
      <c r="G80" s="99">
        <f>G78</f>
        <v>42390</v>
      </c>
      <c r="H80" s="300">
        <f>SUM(F74:G80)</f>
        <v>9047448.401808333</v>
      </c>
      <c r="I80" s="300">
        <f>SUM(D73:D80)</f>
        <v>13106800</v>
      </c>
      <c r="J80" s="301">
        <f>SUM(H80:I80)</f>
        <v>22154248.401808333</v>
      </c>
    </row>
    <row r="81" spans="1:10" ht="12.75">
      <c r="A81" s="103">
        <v>42799</v>
      </c>
      <c r="B81" s="306">
        <f t="shared" si="5"/>
        <v>64</v>
      </c>
      <c r="C81" s="42">
        <f t="shared" si="6"/>
        <v>121231900</v>
      </c>
      <c r="D81" s="42">
        <f>D79</f>
        <v>3276700</v>
      </c>
      <c r="E81" s="104"/>
      <c r="F81" s="104"/>
      <c r="G81" s="104"/>
      <c r="H81" s="104"/>
      <c r="I81" s="104"/>
      <c r="J81" s="242"/>
    </row>
    <row r="82" spans="1:10" ht="12.75">
      <c r="A82" s="90">
        <v>42825</v>
      </c>
      <c r="B82" s="307">
        <f t="shared" si="5"/>
        <v>26</v>
      </c>
      <c r="C82" s="41">
        <f t="shared" si="6"/>
        <v>121231900</v>
      </c>
      <c r="D82" s="41"/>
      <c r="E82" s="302">
        <f>E80</f>
        <v>0.06627</v>
      </c>
      <c r="F82" s="41">
        <f>((C81+D81)*E82/360*B81)+((C82+D82)*E82/360*B82)</f>
        <v>2047113.3981833332</v>
      </c>
      <c r="G82" s="41">
        <f>G80</f>
        <v>42390</v>
      </c>
      <c r="H82" s="91"/>
      <c r="I82" s="91"/>
      <c r="J82" s="231"/>
    </row>
    <row r="83" spans="1:10" ht="12.75">
      <c r="A83" s="90">
        <v>42891</v>
      </c>
      <c r="B83" s="307">
        <f t="shared" si="5"/>
        <v>66</v>
      </c>
      <c r="C83" s="41">
        <f t="shared" si="6"/>
        <v>117955200</v>
      </c>
      <c r="D83" s="41">
        <f>D81</f>
        <v>3276700</v>
      </c>
      <c r="E83" s="302"/>
      <c r="F83" s="41"/>
      <c r="G83" s="41"/>
      <c r="H83" s="91"/>
      <c r="I83" s="91"/>
      <c r="J83" s="231"/>
    </row>
    <row r="84" spans="1:10" ht="12.75">
      <c r="A84" s="90">
        <v>42916</v>
      </c>
      <c r="B84" s="307">
        <f t="shared" si="5"/>
        <v>25</v>
      </c>
      <c r="C84" s="41">
        <f t="shared" si="6"/>
        <v>117955200</v>
      </c>
      <c r="D84" s="41"/>
      <c r="E84" s="302">
        <f>E82</f>
        <v>0.06627</v>
      </c>
      <c r="F84" s="41">
        <f>((C83+D83)*E84/360*B83)+((C84+D84)*E84/360*B84)</f>
        <v>2015746.6290499996</v>
      </c>
      <c r="G84" s="41">
        <f>G82</f>
        <v>42390</v>
      </c>
      <c r="H84" s="91"/>
      <c r="I84" s="91"/>
      <c r="J84" s="231"/>
    </row>
    <row r="85" spans="1:10" ht="12.75">
      <c r="A85" s="90">
        <v>42983</v>
      </c>
      <c r="B85" s="307">
        <f t="shared" si="5"/>
        <v>67</v>
      </c>
      <c r="C85" s="41">
        <f t="shared" si="6"/>
        <v>114678500</v>
      </c>
      <c r="D85" s="41">
        <f>D83</f>
        <v>3276700</v>
      </c>
      <c r="E85" s="302"/>
      <c r="F85" s="41"/>
      <c r="G85" s="41"/>
      <c r="H85" s="91"/>
      <c r="I85" s="91"/>
      <c r="J85" s="231"/>
    </row>
    <row r="86" spans="1:10" ht="12.75">
      <c r="A86" s="90">
        <v>43008</v>
      </c>
      <c r="B86" s="307">
        <f t="shared" si="5"/>
        <v>25</v>
      </c>
      <c r="C86" s="41">
        <f t="shared" si="6"/>
        <v>114678500</v>
      </c>
      <c r="D86" s="41"/>
      <c r="E86" s="302">
        <f>E84</f>
        <v>0.06627</v>
      </c>
      <c r="F86" s="41">
        <f>((C85+D85)*E86/360*B85)+((C86+D86)*E86/360*B86)</f>
        <v>1982570.3023416665</v>
      </c>
      <c r="G86" s="41">
        <f>G84</f>
        <v>42390</v>
      </c>
      <c r="H86" s="91"/>
      <c r="I86" s="91"/>
      <c r="J86" s="231"/>
    </row>
    <row r="87" spans="1:10" ht="12.75">
      <c r="A87" s="90">
        <v>43074</v>
      </c>
      <c r="B87" s="307">
        <f t="shared" si="5"/>
        <v>66</v>
      </c>
      <c r="C87" s="41">
        <f t="shared" si="6"/>
        <v>111401800</v>
      </c>
      <c r="D87" s="41">
        <f>D85</f>
        <v>3276700</v>
      </c>
      <c r="E87" s="302"/>
      <c r="F87" s="41"/>
      <c r="G87" s="41"/>
      <c r="H87" s="91"/>
      <c r="I87" s="91"/>
      <c r="J87" s="231"/>
    </row>
    <row r="88" spans="1:10" ht="12.75">
      <c r="A88" s="97">
        <v>43100</v>
      </c>
      <c r="B88" s="308">
        <f t="shared" si="5"/>
        <v>26</v>
      </c>
      <c r="C88" s="99">
        <f t="shared" si="6"/>
        <v>111401800</v>
      </c>
      <c r="D88" s="99"/>
      <c r="E88" s="303">
        <f>E86</f>
        <v>0.06627</v>
      </c>
      <c r="F88" s="99">
        <f>((C87+D87)*E88/360*B87)+((C88+D88)*E88/360*B88)</f>
        <v>1926474.0175166666</v>
      </c>
      <c r="G88" s="99">
        <f>G86</f>
        <v>42390</v>
      </c>
      <c r="H88" s="300">
        <f>SUM(F82:G88)</f>
        <v>8141464.3470916655</v>
      </c>
      <c r="I88" s="300">
        <f>SUM(D81:D88)</f>
        <v>13106800</v>
      </c>
      <c r="J88" s="301">
        <f>SUM(H88:I88)</f>
        <v>21248264.347091667</v>
      </c>
    </row>
    <row r="89" spans="1:10" ht="12.75">
      <c r="A89" s="103">
        <v>43164</v>
      </c>
      <c r="B89" s="306">
        <f t="shared" si="5"/>
        <v>64</v>
      </c>
      <c r="C89" s="42">
        <f t="shared" si="6"/>
        <v>108125100</v>
      </c>
      <c r="D89" s="42">
        <f>D87</f>
        <v>3276700</v>
      </c>
      <c r="E89" s="104"/>
      <c r="F89" s="104"/>
      <c r="G89" s="104"/>
      <c r="H89" s="104"/>
      <c r="I89" s="104"/>
      <c r="J89" s="242"/>
    </row>
    <row r="90" spans="1:10" ht="12.75">
      <c r="A90" s="90">
        <v>43190</v>
      </c>
      <c r="B90" s="307">
        <f t="shared" si="5"/>
        <v>26</v>
      </c>
      <c r="C90" s="41">
        <f t="shared" si="6"/>
        <v>108125100</v>
      </c>
      <c r="D90" s="41"/>
      <c r="E90" s="302">
        <f>E88</f>
        <v>0.06627</v>
      </c>
      <c r="F90" s="41">
        <f>((C89+D89)*E90/360*B89)+((C90+D90)*E90/360*B90)</f>
        <v>1829966.4891833332</v>
      </c>
      <c r="G90" s="41">
        <f>G88</f>
        <v>42390</v>
      </c>
      <c r="H90" s="91"/>
      <c r="I90" s="91"/>
      <c r="J90" s="231"/>
    </row>
    <row r="91" spans="1:10" ht="12.75">
      <c r="A91" s="90">
        <v>43256</v>
      </c>
      <c r="B91" s="307">
        <f t="shared" si="5"/>
        <v>66</v>
      </c>
      <c r="C91" s="41">
        <f t="shared" si="6"/>
        <v>104848400</v>
      </c>
      <c r="D91" s="41">
        <f>D89</f>
        <v>3276700</v>
      </c>
      <c r="E91" s="302"/>
      <c r="F91" s="41"/>
      <c r="G91" s="41"/>
      <c r="H91" s="91"/>
      <c r="I91" s="91"/>
      <c r="J91" s="231"/>
    </row>
    <row r="92" spans="1:10" ht="12.75">
      <c r="A92" s="90">
        <v>43281</v>
      </c>
      <c r="B92" s="307">
        <f t="shared" si="5"/>
        <v>25</v>
      </c>
      <c r="C92" s="41">
        <f t="shared" si="6"/>
        <v>104848400</v>
      </c>
      <c r="D92" s="41"/>
      <c r="E92" s="302">
        <f>E90</f>
        <v>0.06627</v>
      </c>
      <c r="F92" s="41">
        <f>((C91+D91)*E92/360*B91)+((C92+D92)*E92/360*B92)</f>
        <v>1796186.9766166667</v>
      </c>
      <c r="G92" s="41">
        <f>G90</f>
        <v>42390</v>
      </c>
      <c r="H92" s="91"/>
      <c r="I92" s="91"/>
      <c r="J92" s="231"/>
    </row>
    <row r="93" spans="1:10" ht="12.75">
      <c r="A93" s="90">
        <v>43348</v>
      </c>
      <c r="B93" s="307">
        <f t="shared" si="5"/>
        <v>67</v>
      </c>
      <c r="C93" s="41">
        <f t="shared" si="6"/>
        <v>101571700</v>
      </c>
      <c r="D93" s="41">
        <f>D91</f>
        <v>3276700</v>
      </c>
      <c r="E93" s="302"/>
      <c r="F93" s="41"/>
      <c r="G93" s="41"/>
      <c r="H93" s="91"/>
      <c r="I93" s="91"/>
      <c r="J93" s="231"/>
    </row>
    <row r="94" spans="1:10" ht="12.75">
      <c r="A94" s="90">
        <v>43373</v>
      </c>
      <c r="B94" s="307">
        <f t="shared" si="5"/>
        <v>25</v>
      </c>
      <c r="C94" s="41">
        <f t="shared" si="6"/>
        <v>101571700</v>
      </c>
      <c r="D94" s="41"/>
      <c r="E94" s="302">
        <f>E92</f>
        <v>0.06627</v>
      </c>
      <c r="F94" s="41">
        <f>((C93+D93)*E94/360*B93)+((C94+D94)*E94/360*B94)</f>
        <v>1760597.9064749999</v>
      </c>
      <c r="G94" s="41">
        <f>G92</f>
        <v>42390</v>
      </c>
      <c r="H94" s="91"/>
      <c r="I94" s="91"/>
      <c r="J94" s="231"/>
    </row>
    <row r="95" spans="1:10" ht="12.75">
      <c r="A95" s="90">
        <v>43439</v>
      </c>
      <c r="B95" s="307">
        <f t="shared" si="5"/>
        <v>66</v>
      </c>
      <c r="C95" s="41">
        <f t="shared" si="6"/>
        <v>98295000</v>
      </c>
      <c r="D95" s="41">
        <f>D93</f>
        <v>3276700</v>
      </c>
      <c r="E95" s="302"/>
      <c r="F95" s="41"/>
      <c r="G95" s="41"/>
      <c r="H95" s="91"/>
      <c r="I95" s="91"/>
      <c r="J95" s="231"/>
    </row>
    <row r="96" spans="1:10" ht="12.75">
      <c r="A96" s="97">
        <v>43465</v>
      </c>
      <c r="B96" s="308">
        <f t="shared" si="5"/>
        <v>26</v>
      </c>
      <c r="C96" s="99">
        <f t="shared" si="6"/>
        <v>98295000</v>
      </c>
      <c r="D96" s="99"/>
      <c r="E96" s="303">
        <f>E94</f>
        <v>0.06627</v>
      </c>
      <c r="F96" s="99">
        <f>((C95+D95)*E96/360*B95)+((C96+D96)*E96/360*B96)</f>
        <v>1704501.6216499999</v>
      </c>
      <c r="G96" s="99">
        <f>G94</f>
        <v>42390</v>
      </c>
      <c r="H96" s="300">
        <f>SUM(F90:G96)</f>
        <v>7260812.993925</v>
      </c>
      <c r="I96" s="300">
        <f>SUM(D89:D96)</f>
        <v>13106800</v>
      </c>
      <c r="J96" s="301">
        <f>SUM(H96:I96)</f>
        <v>20367612.993924998</v>
      </c>
    </row>
    <row r="97" spans="1:10" ht="12.75">
      <c r="A97" s="103">
        <v>43529</v>
      </c>
      <c r="B97" s="306">
        <f t="shared" si="5"/>
        <v>64</v>
      </c>
      <c r="C97" s="42">
        <f t="shared" si="6"/>
        <v>95018300</v>
      </c>
      <c r="D97" s="42">
        <f>D95</f>
        <v>3276700</v>
      </c>
      <c r="E97" s="104"/>
      <c r="F97" s="104"/>
      <c r="G97" s="104"/>
      <c r="H97" s="104"/>
      <c r="I97" s="104"/>
      <c r="J97" s="242"/>
    </row>
    <row r="98" spans="1:10" ht="12.75">
      <c r="A98" s="90">
        <v>43555</v>
      </c>
      <c r="B98" s="307">
        <f t="shared" si="5"/>
        <v>26</v>
      </c>
      <c r="C98" s="41">
        <f t="shared" si="6"/>
        <v>95018300</v>
      </c>
      <c r="D98" s="41"/>
      <c r="E98" s="302">
        <f>E96</f>
        <v>0.06627</v>
      </c>
      <c r="F98" s="41">
        <f>((C97+D97)*E98/360*B97)+((C98+D98)*E98/360*B98)</f>
        <v>1612819.5801833333</v>
      </c>
      <c r="G98" s="41">
        <f>G96</f>
        <v>42390</v>
      </c>
      <c r="H98" s="91"/>
      <c r="I98" s="91"/>
      <c r="J98" s="231"/>
    </row>
    <row r="99" spans="1:10" ht="12.75">
      <c r="A99" s="90">
        <v>43621</v>
      </c>
      <c r="B99" s="307">
        <f t="shared" si="5"/>
        <v>66</v>
      </c>
      <c r="C99" s="41">
        <f t="shared" si="6"/>
        <v>91741600</v>
      </c>
      <c r="D99" s="41">
        <f>D97</f>
        <v>3276700</v>
      </c>
      <c r="E99" s="302"/>
      <c r="F99" s="41"/>
      <c r="G99" s="41"/>
      <c r="H99" s="91"/>
      <c r="I99" s="91"/>
      <c r="J99" s="231"/>
    </row>
    <row r="100" spans="1:10" ht="12.75">
      <c r="A100" s="90">
        <v>43646</v>
      </c>
      <c r="B100" s="307">
        <f t="shared" si="5"/>
        <v>25</v>
      </c>
      <c r="C100" s="41">
        <f t="shared" si="6"/>
        <v>91741600</v>
      </c>
      <c r="D100" s="41"/>
      <c r="E100" s="302">
        <f>E98</f>
        <v>0.06627</v>
      </c>
      <c r="F100" s="41">
        <f>((C99+D99)*E100/360*B99)+((C100+D100)*E100/360*B100)</f>
        <v>1576627.3241833332</v>
      </c>
      <c r="G100" s="41">
        <f>G98</f>
        <v>42390</v>
      </c>
      <c r="H100" s="91"/>
      <c r="I100" s="91"/>
      <c r="J100" s="231"/>
    </row>
    <row r="101" spans="1:10" ht="12.75">
      <c r="A101" s="90">
        <v>43713</v>
      </c>
      <c r="B101" s="307">
        <f t="shared" si="5"/>
        <v>67</v>
      </c>
      <c r="C101" s="41">
        <f t="shared" si="6"/>
        <v>88464900</v>
      </c>
      <c r="D101" s="41">
        <f>D99</f>
        <v>3276700</v>
      </c>
      <c r="E101" s="302"/>
      <c r="F101" s="41"/>
      <c r="G101" s="41"/>
      <c r="H101" s="91"/>
      <c r="I101" s="91"/>
      <c r="J101" s="231"/>
    </row>
    <row r="102" spans="1:10" ht="12.75">
      <c r="A102" s="90">
        <v>43738</v>
      </c>
      <c r="B102" s="307">
        <f t="shared" si="5"/>
        <v>25</v>
      </c>
      <c r="C102" s="41">
        <f t="shared" si="6"/>
        <v>88464900</v>
      </c>
      <c r="D102" s="41"/>
      <c r="E102" s="302">
        <f>E100</f>
        <v>0.06627</v>
      </c>
      <c r="F102" s="41">
        <f>((C101+D101)*E102/360*B101)+((C102+D102)*E102/360*B102)</f>
        <v>1538625.5106083332</v>
      </c>
      <c r="G102" s="41">
        <f>G100</f>
        <v>42390</v>
      </c>
      <c r="H102" s="91"/>
      <c r="I102" s="91"/>
      <c r="J102" s="231"/>
    </row>
    <row r="103" spans="1:10" ht="12.75">
      <c r="A103" s="90">
        <v>43804</v>
      </c>
      <c r="B103" s="307">
        <f t="shared" si="5"/>
        <v>66</v>
      </c>
      <c r="C103" s="41">
        <f t="shared" si="6"/>
        <v>85188200</v>
      </c>
      <c r="D103" s="41">
        <f>D101</f>
        <v>3276700</v>
      </c>
      <c r="E103" s="302"/>
      <c r="F103" s="41"/>
      <c r="G103" s="41"/>
      <c r="H103" s="91"/>
      <c r="I103" s="91"/>
      <c r="J103" s="231"/>
    </row>
    <row r="104" spans="1:10" ht="12.75">
      <c r="A104" s="97">
        <v>43830</v>
      </c>
      <c r="B104" s="308">
        <f t="shared" si="5"/>
        <v>26</v>
      </c>
      <c r="C104" s="99">
        <f t="shared" si="6"/>
        <v>85188200</v>
      </c>
      <c r="D104" s="99"/>
      <c r="E104" s="303">
        <f>E102</f>
        <v>0.06627</v>
      </c>
      <c r="F104" s="99">
        <f>((C103+D103)*E104/360*B103)+((C104+D104)*E104/360*B104)</f>
        <v>1482529.2257833332</v>
      </c>
      <c r="G104" s="99">
        <f>G102</f>
        <v>42390</v>
      </c>
      <c r="H104" s="300">
        <f>SUM(F98:G104)</f>
        <v>6380161.640758333</v>
      </c>
      <c r="I104" s="300">
        <f>SUM(D97:D104)</f>
        <v>13106800</v>
      </c>
      <c r="J104" s="301">
        <f>SUM(H104:I104)</f>
        <v>19486961.640758332</v>
      </c>
    </row>
    <row r="105" spans="1:10" ht="12.75">
      <c r="A105" s="103">
        <v>43895</v>
      </c>
      <c r="B105" s="306">
        <f aca="true" t="shared" si="7" ref="B105:B136">A105-A104</f>
        <v>65</v>
      </c>
      <c r="C105" s="42">
        <f aca="true" t="shared" si="8" ref="C105:C136">C104-D105</f>
        <v>81911500</v>
      </c>
      <c r="D105" s="42">
        <f>D103</f>
        <v>3276700</v>
      </c>
      <c r="E105" s="104"/>
      <c r="F105" s="104"/>
      <c r="G105" s="104"/>
      <c r="H105" s="104"/>
      <c r="I105" s="104"/>
      <c r="J105" s="242"/>
    </row>
    <row r="106" spans="1:10" ht="12.75">
      <c r="A106" s="90">
        <v>43921</v>
      </c>
      <c r="B106" s="307">
        <f t="shared" si="7"/>
        <v>26</v>
      </c>
      <c r="C106" s="41">
        <f t="shared" si="8"/>
        <v>81911500</v>
      </c>
      <c r="D106" s="41"/>
      <c r="E106" s="302">
        <f>E104</f>
        <v>0.06627</v>
      </c>
      <c r="F106" s="41">
        <f>((C105+D105)*E106/360*B105)+((C106+D106)*E106/360*B106)</f>
        <v>1411354.399</v>
      </c>
      <c r="G106" s="41">
        <f>G104</f>
        <v>42390</v>
      </c>
      <c r="H106" s="91"/>
      <c r="I106" s="91"/>
      <c r="J106" s="231"/>
    </row>
    <row r="107" spans="1:10" ht="12.75">
      <c r="A107" s="90">
        <v>43987</v>
      </c>
      <c r="B107" s="307">
        <f t="shared" si="7"/>
        <v>66</v>
      </c>
      <c r="C107" s="41">
        <f t="shared" si="8"/>
        <v>78634800</v>
      </c>
      <c r="D107" s="41">
        <f>D105</f>
        <v>3276700</v>
      </c>
      <c r="E107" s="302"/>
      <c r="F107" s="41"/>
      <c r="G107" s="41"/>
      <c r="H107" s="91"/>
      <c r="I107" s="91"/>
      <c r="J107" s="231"/>
    </row>
    <row r="108" spans="1:10" ht="12.75">
      <c r="A108" s="90">
        <v>44012</v>
      </c>
      <c r="B108" s="307">
        <f t="shared" si="7"/>
        <v>25</v>
      </c>
      <c r="C108" s="41">
        <f t="shared" si="8"/>
        <v>78634800</v>
      </c>
      <c r="D108" s="41"/>
      <c r="E108" s="302">
        <f>E106</f>
        <v>0.06627</v>
      </c>
      <c r="F108" s="41">
        <f>((C107+D107)*E108/360*B107)+((C108+D108)*E108/360*B108)</f>
        <v>1357067.6717499997</v>
      </c>
      <c r="G108" s="41">
        <f>G106</f>
        <v>42390</v>
      </c>
      <c r="H108" s="91"/>
      <c r="I108" s="91"/>
      <c r="J108" s="231"/>
    </row>
    <row r="109" spans="1:10" ht="12.75">
      <c r="A109" s="90">
        <v>44079</v>
      </c>
      <c r="B109" s="307">
        <f t="shared" si="7"/>
        <v>67</v>
      </c>
      <c r="C109" s="41">
        <f t="shared" si="8"/>
        <v>75358100</v>
      </c>
      <c r="D109" s="41">
        <f>D107</f>
        <v>3276700</v>
      </c>
      <c r="E109" s="302"/>
      <c r="F109" s="41"/>
      <c r="G109" s="41"/>
      <c r="H109" s="91"/>
      <c r="I109" s="91"/>
      <c r="J109" s="231"/>
    </row>
    <row r="110" spans="1:10" ht="12.75">
      <c r="A110" s="90">
        <v>44104</v>
      </c>
      <c r="B110" s="307">
        <f t="shared" si="7"/>
        <v>25</v>
      </c>
      <c r="C110" s="41">
        <f t="shared" si="8"/>
        <v>75358100</v>
      </c>
      <c r="D110" s="41"/>
      <c r="E110" s="302">
        <f>E108</f>
        <v>0.06627</v>
      </c>
      <c r="F110" s="41">
        <f>((C109+D109)*E110/360*B109)+((C110+D110)*E110/360*B110)</f>
        <v>1316653.1147416667</v>
      </c>
      <c r="G110" s="41">
        <f>G108</f>
        <v>42390</v>
      </c>
      <c r="H110" s="91"/>
      <c r="I110" s="91"/>
      <c r="J110" s="231"/>
    </row>
    <row r="111" spans="1:10" ht="12.75">
      <c r="A111" s="90">
        <v>44170</v>
      </c>
      <c r="B111" s="307">
        <f t="shared" si="7"/>
        <v>66</v>
      </c>
      <c r="C111" s="41">
        <f t="shared" si="8"/>
        <v>72081400</v>
      </c>
      <c r="D111" s="41">
        <f>D109</f>
        <v>3276700</v>
      </c>
      <c r="E111" s="302"/>
      <c r="F111" s="41"/>
      <c r="G111" s="41"/>
      <c r="H111" s="91"/>
      <c r="I111" s="91"/>
      <c r="J111" s="231"/>
    </row>
    <row r="112" spans="1:10" ht="12.75">
      <c r="A112" s="97">
        <v>44196</v>
      </c>
      <c r="B112" s="308">
        <f t="shared" si="7"/>
        <v>26</v>
      </c>
      <c r="C112" s="99">
        <f t="shared" si="8"/>
        <v>72081400</v>
      </c>
      <c r="D112" s="99"/>
      <c r="E112" s="303">
        <f>E110</f>
        <v>0.06627</v>
      </c>
      <c r="F112" s="99">
        <f>((C111+D111)*E112/360*B111)+((C112+D112)*E112/360*B112)</f>
        <v>1260556.8299166665</v>
      </c>
      <c r="G112" s="99">
        <f>G110</f>
        <v>42390</v>
      </c>
      <c r="H112" s="300">
        <f>SUM(F106:G112)</f>
        <v>5515192.015408332</v>
      </c>
      <c r="I112" s="300">
        <f>SUM(D105:D112)</f>
        <v>13106800</v>
      </c>
      <c r="J112" s="301">
        <f>SUM(H112:I112)</f>
        <v>18621992.015408333</v>
      </c>
    </row>
    <row r="113" spans="1:10" ht="12.75">
      <c r="A113" s="103">
        <v>44260</v>
      </c>
      <c r="B113" s="306">
        <f t="shared" si="7"/>
        <v>64</v>
      </c>
      <c r="C113" s="42">
        <f t="shared" si="8"/>
        <v>68804700</v>
      </c>
      <c r="D113" s="42">
        <f>D111</f>
        <v>3276700</v>
      </c>
      <c r="E113" s="104"/>
      <c r="F113" s="104"/>
      <c r="G113" s="104"/>
      <c r="H113" s="104"/>
      <c r="I113" s="104"/>
      <c r="J113" s="242"/>
    </row>
    <row r="114" spans="1:10" ht="12.75">
      <c r="A114" s="90">
        <v>44286</v>
      </c>
      <c r="B114" s="307">
        <f t="shared" si="7"/>
        <v>26</v>
      </c>
      <c r="C114" s="41">
        <f t="shared" si="8"/>
        <v>68804700</v>
      </c>
      <c r="D114" s="41"/>
      <c r="E114" s="302">
        <f>E112</f>
        <v>0.06627</v>
      </c>
      <c r="F114" s="41">
        <f>((C113+D113)*E114/360*B113)+((C114+D114)*E114/360*B114)</f>
        <v>1178525.7621833333</v>
      </c>
      <c r="G114" s="41">
        <f>G112</f>
        <v>42390</v>
      </c>
      <c r="H114" s="91"/>
      <c r="I114" s="91"/>
      <c r="J114" s="231"/>
    </row>
    <row r="115" spans="1:10" ht="12.75">
      <c r="A115" s="90">
        <v>44352</v>
      </c>
      <c r="B115" s="307">
        <f t="shared" si="7"/>
        <v>66</v>
      </c>
      <c r="C115" s="41">
        <f t="shared" si="8"/>
        <v>65528000</v>
      </c>
      <c r="D115" s="41">
        <f>D113</f>
        <v>3276700</v>
      </c>
      <c r="E115" s="302"/>
      <c r="F115" s="41"/>
      <c r="G115" s="41"/>
      <c r="H115" s="91"/>
      <c r="I115" s="91"/>
      <c r="J115" s="231"/>
    </row>
    <row r="116" spans="1:10" ht="12.75">
      <c r="A116" s="90">
        <v>44377</v>
      </c>
      <c r="B116" s="307">
        <f t="shared" si="7"/>
        <v>25</v>
      </c>
      <c r="C116" s="41">
        <f t="shared" si="8"/>
        <v>65528000</v>
      </c>
      <c r="D116" s="41"/>
      <c r="E116" s="302">
        <f>E114</f>
        <v>0.06627</v>
      </c>
      <c r="F116" s="41">
        <f>((C115+D115)*E116/360*B115)+((C116+D116)*E116/360*B116)</f>
        <v>1137508.0193166665</v>
      </c>
      <c r="G116" s="41">
        <f>G114</f>
        <v>42390</v>
      </c>
      <c r="H116" s="91"/>
      <c r="I116" s="91"/>
      <c r="J116" s="231"/>
    </row>
    <row r="117" spans="1:10" ht="12.75">
      <c r="A117" s="90">
        <v>44444</v>
      </c>
      <c r="B117" s="307">
        <f t="shared" si="7"/>
        <v>67</v>
      </c>
      <c r="C117" s="41">
        <f t="shared" si="8"/>
        <v>62251300</v>
      </c>
      <c r="D117" s="41">
        <f>D115</f>
        <v>3276700</v>
      </c>
      <c r="E117" s="302"/>
      <c r="F117" s="41"/>
      <c r="G117" s="41"/>
      <c r="H117" s="91"/>
      <c r="I117" s="91"/>
      <c r="J117" s="231"/>
    </row>
    <row r="118" spans="1:10" ht="12.75">
      <c r="A118" s="90">
        <v>44469</v>
      </c>
      <c r="B118" s="307">
        <f t="shared" si="7"/>
        <v>25</v>
      </c>
      <c r="C118" s="41">
        <f t="shared" si="8"/>
        <v>62251300</v>
      </c>
      <c r="D118" s="41"/>
      <c r="E118" s="302">
        <f>E116</f>
        <v>0.06627</v>
      </c>
      <c r="F118" s="41">
        <f>((C117+D117)*E118/360*B117)+((C118+D118)*E118/360*B118)</f>
        <v>1094680.7188749998</v>
      </c>
      <c r="G118" s="41">
        <f>G116</f>
        <v>42390</v>
      </c>
      <c r="H118" s="91"/>
      <c r="I118" s="91"/>
      <c r="J118" s="231"/>
    </row>
    <row r="119" spans="1:10" ht="12.75">
      <c r="A119" s="90">
        <v>44535</v>
      </c>
      <c r="B119" s="307">
        <f t="shared" si="7"/>
        <v>66</v>
      </c>
      <c r="C119" s="41">
        <f t="shared" si="8"/>
        <v>58974600</v>
      </c>
      <c r="D119" s="41">
        <f>D117</f>
        <v>3276700</v>
      </c>
      <c r="E119" s="302"/>
      <c r="F119" s="41"/>
      <c r="G119" s="41"/>
      <c r="H119" s="91"/>
      <c r="I119" s="91"/>
      <c r="J119" s="231"/>
    </row>
    <row r="120" spans="1:10" ht="12.75">
      <c r="A120" s="97">
        <v>44561</v>
      </c>
      <c r="B120" s="308">
        <f t="shared" si="7"/>
        <v>26</v>
      </c>
      <c r="C120" s="99">
        <f t="shared" si="8"/>
        <v>58974600</v>
      </c>
      <c r="D120" s="99"/>
      <c r="E120" s="303">
        <f>E118</f>
        <v>0.06627</v>
      </c>
      <c r="F120" s="99">
        <f>((C119+D119)*E120/360*B119)+((C120+D120)*E120/360*B120)</f>
        <v>1038584.4340499998</v>
      </c>
      <c r="G120" s="99">
        <f>G118</f>
        <v>42390</v>
      </c>
      <c r="H120" s="300">
        <f>SUM(F114:G120)</f>
        <v>4618858.934424999</v>
      </c>
      <c r="I120" s="300">
        <f>SUM(D113:D120)</f>
        <v>13106800</v>
      </c>
      <c r="J120" s="301">
        <f>SUM(H120:I120)</f>
        <v>17725658.934425</v>
      </c>
    </row>
    <row r="121" spans="1:10" ht="12.75">
      <c r="A121" s="103">
        <v>44625</v>
      </c>
      <c r="B121" s="306">
        <f t="shared" si="7"/>
        <v>64</v>
      </c>
      <c r="C121" s="42">
        <f t="shared" si="8"/>
        <v>55697900</v>
      </c>
      <c r="D121" s="42">
        <f>D119</f>
        <v>3276700</v>
      </c>
      <c r="E121" s="104"/>
      <c r="F121" s="104"/>
      <c r="G121" s="104"/>
      <c r="H121" s="104"/>
      <c r="I121" s="104"/>
      <c r="J121" s="242"/>
    </row>
    <row r="122" spans="1:10" ht="12.75">
      <c r="A122" s="90">
        <v>44651</v>
      </c>
      <c r="B122" s="307">
        <f t="shared" si="7"/>
        <v>26</v>
      </c>
      <c r="C122" s="41">
        <f t="shared" si="8"/>
        <v>55697900</v>
      </c>
      <c r="D122" s="41"/>
      <c r="E122" s="302">
        <f>E120</f>
        <v>0.06627</v>
      </c>
      <c r="F122" s="41">
        <f>((C121+D121)*E122/360*B121)+((C122+D122)*E122/360*B122)</f>
        <v>961378.8531833333</v>
      </c>
      <c r="G122" s="41">
        <f>G120</f>
        <v>42390</v>
      </c>
      <c r="H122" s="91"/>
      <c r="I122" s="91"/>
      <c r="J122" s="231"/>
    </row>
    <row r="123" spans="1:10" ht="12.75">
      <c r="A123" s="90">
        <v>44717</v>
      </c>
      <c r="B123" s="307">
        <f t="shared" si="7"/>
        <v>66</v>
      </c>
      <c r="C123" s="41">
        <f t="shared" si="8"/>
        <v>52421200</v>
      </c>
      <c r="D123" s="41">
        <f>D121</f>
        <v>3276700</v>
      </c>
      <c r="E123" s="302"/>
      <c r="F123" s="41"/>
      <c r="G123" s="41"/>
      <c r="H123" s="91"/>
      <c r="I123" s="91"/>
      <c r="J123" s="231"/>
    </row>
    <row r="124" spans="1:10" ht="12.75">
      <c r="A124" s="90">
        <v>44742</v>
      </c>
      <c r="B124" s="307">
        <f t="shared" si="7"/>
        <v>25</v>
      </c>
      <c r="C124" s="41">
        <f t="shared" si="8"/>
        <v>52421200</v>
      </c>
      <c r="D124" s="41"/>
      <c r="E124" s="302">
        <f>E122</f>
        <v>0.06627</v>
      </c>
      <c r="F124" s="41">
        <f>((C123+D123)*E124/360*B123)+((C124+D124)*E124/360*B124)</f>
        <v>917948.3668833332</v>
      </c>
      <c r="G124" s="41">
        <f>G122</f>
        <v>42390</v>
      </c>
      <c r="H124" s="91"/>
      <c r="I124" s="91"/>
      <c r="J124" s="231"/>
    </row>
    <row r="125" spans="1:10" ht="12.75">
      <c r="A125" s="90">
        <v>44809</v>
      </c>
      <c r="B125" s="307">
        <f t="shared" si="7"/>
        <v>67</v>
      </c>
      <c r="C125" s="41">
        <f t="shared" si="8"/>
        <v>49144500</v>
      </c>
      <c r="D125" s="41">
        <f>D123</f>
        <v>3276700</v>
      </c>
      <c r="E125" s="302"/>
      <c r="F125" s="41"/>
      <c r="G125" s="41"/>
      <c r="H125" s="91"/>
      <c r="I125" s="91"/>
      <c r="J125" s="231"/>
    </row>
    <row r="126" spans="1:10" ht="12.75">
      <c r="A126" s="90">
        <v>44834</v>
      </c>
      <c r="B126" s="307">
        <f t="shared" si="7"/>
        <v>25</v>
      </c>
      <c r="C126" s="41">
        <f t="shared" si="8"/>
        <v>49144500</v>
      </c>
      <c r="D126" s="41"/>
      <c r="E126" s="302">
        <f>E124</f>
        <v>0.06627</v>
      </c>
      <c r="F126" s="41">
        <f>((C125+D125)*E126/360*B125)+((C126+D126)*E126/360*B126)</f>
        <v>872708.3230083333</v>
      </c>
      <c r="G126" s="41">
        <f>G124</f>
        <v>42390</v>
      </c>
      <c r="H126" s="91"/>
      <c r="I126" s="91"/>
      <c r="J126" s="231"/>
    </row>
    <row r="127" spans="1:10" ht="12.75">
      <c r="A127" s="90">
        <v>44900</v>
      </c>
      <c r="B127" s="307">
        <f t="shared" si="7"/>
        <v>66</v>
      </c>
      <c r="C127" s="41">
        <f t="shared" si="8"/>
        <v>45867800</v>
      </c>
      <c r="D127" s="41">
        <f>D125</f>
        <v>3276700</v>
      </c>
      <c r="E127" s="302"/>
      <c r="F127" s="41"/>
      <c r="G127" s="41"/>
      <c r="H127" s="91"/>
      <c r="I127" s="91"/>
      <c r="J127" s="231"/>
    </row>
    <row r="128" spans="1:10" ht="12.75">
      <c r="A128" s="97">
        <v>44926</v>
      </c>
      <c r="B128" s="308">
        <f t="shared" si="7"/>
        <v>26</v>
      </c>
      <c r="C128" s="99">
        <f t="shared" si="8"/>
        <v>45867800</v>
      </c>
      <c r="D128" s="99"/>
      <c r="E128" s="303">
        <f>E126</f>
        <v>0.06627</v>
      </c>
      <c r="F128" s="99">
        <f>((C127+D127)*E128/360*B127)+((C128+D128)*E128/360*B128)</f>
        <v>816612.0381833334</v>
      </c>
      <c r="G128" s="99">
        <f>G126</f>
        <v>42390</v>
      </c>
      <c r="H128" s="300">
        <f>SUM(F122:G128)</f>
        <v>3738207.5812583333</v>
      </c>
      <c r="I128" s="300">
        <f>SUM(D121:D128)</f>
        <v>13106800</v>
      </c>
      <c r="J128" s="301">
        <f>SUM(H128:I128)</f>
        <v>16845007.581258334</v>
      </c>
    </row>
    <row r="129" spans="1:10" ht="12.75">
      <c r="A129" s="103">
        <v>44990</v>
      </c>
      <c r="B129" s="306">
        <f t="shared" si="7"/>
        <v>64</v>
      </c>
      <c r="C129" s="42">
        <f t="shared" si="8"/>
        <v>42591100</v>
      </c>
      <c r="D129" s="42">
        <f>D127</f>
        <v>3276700</v>
      </c>
      <c r="E129" s="104"/>
      <c r="F129" s="104"/>
      <c r="G129" s="104"/>
      <c r="H129" s="104"/>
      <c r="I129" s="104"/>
      <c r="J129" s="242"/>
    </row>
    <row r="130" spans="1:10" ht="12.75">
      <c r="A130" s="90">
        <v>45016</v>
      </c>
      <c r="B130" s="307">
        <f t="shared" si="7"/>
        <v>26</v>
      </c>
      <c r="C130" s="41">
        <f t="shared" si="8"/>
        <v>42591100</v>
      </c>
      <c r="D130" s="41"/>
      <c r="E130" s="302">
        <f>E128</f>
        <v>0.06627</v>
      </c>
      <c r="F130" s="41">
        <f>((C129+D129)*E130/360*B129)+((C130+D130)*E130/360*B130)</f>
        <v>744231.9441833333</v>
      </c>
      <c r="G130" s="41">
        <f>G128</f>
        <v>42390</v>
      </c>
      <c r="H130" s="91"/>
      <c r="I130" s="91"/>
      <c r="J130" s="231"/>
    </row>
    <row r="131" spans="1:10" ht="12.75">
      <c r="A131" s="90">
        <v>45082</v>
      </c>
      <c r="B131" s="307">
        <f t="shared" si="7"/>
        <v>66</v>
      </c>
      <c r="C131" s="41">
        <f t="shared" si="8"/>
        <v>39314400</v>
      </c>
      <c r="D131" s="41">
        <f>D129</f>
        <v>3276700</v>
      </c>
      <c r="E131" s="302"/>
      <c r="F131" s="41"/>
      <c r="G131" s="41"/>
      <c r="H131" s="91"/>
      <c r="I131" s="91"/>
      <c r="J131" s="231"/>
    </row>
    <row r="132" spans="1:10" ht="12.75">
      <c r="A132" s="90">
        <v>45107</v>
      </c>
      <c r="B132" s="307">
        <f t="shared" si="7"/>
        <v>25</v>
      </c>
      <c r="C132" s="41">
        <f t="shared" si="8"/>
        <v>39314400</v>
      </c>
      <c r="D132" s="41"/>
      <c r="E132" s="302">
        <f>E130</f>
        <v>0.06627</v>
      </c>
      <c r="F132" s="41">
        <f>((C131+D131)*E132/360*B131)+((C132+D132)*E132/360*B132)</f>
        <v>698388.7144499999</v>
      </c>
      <c r="G132" s="41">
        <f>G130</f>
        <v>42390</v>
      </c>
      <c r="H132" s="91"/>
      <c r="I132" s="91"/>
      <c r="J132" s="231"/>
    </row>
    <row r="133" spans="1:10" ht="12.75">
      <c r="A133" s="90">
        <v>45174</v>
      </c>
      <c r="B133" s="307">
        <f t="shared" si="7"/>
        <v>67</v>
      </c>
      <c r="C133" s="41">
        <f t="shared" si="8"/>
        <v>36037700</v>
      </c>
      <c r="D133" s="41">
        <f>D131</f>
        <v>3276700</v>
      </c>
      <c r="E133" s="302"/>
      <c r="F133" s="41"/>
      <c r="G133" s="41"/>
      <c r="H133" s="91"/>
      <c r="I133" s="91"/>
      <c r="J133" s="231"/>
    </row>
    <row r="134" spans="1:10" ht="12.75">
      <c r="A134" s="90">
        <v>45199</v>
      </c>
      <c r="B134" s="307">
        <f t="shared" si="7"/>
        <v>25</v>
      </c>
      <c r="C134" s="41">
        <f t="shared" si="8"/>
        <v>36037700</v>
      </c>
      <c r="D134" s="41"/>
      <c r="E134" s="302">
        <f>E132</f>
        <v>0.06627</v>
      </c>
      <c r="F134" s="41">
        <f>((C133+D133)*E134/360*B133)+((C134+D134)*E134/360*B134)</f>
        <v>650735.9271416665</v>
      </c>
      <c r="G134" s="41">
        <f>G132</f>
        <v>42390</v>
      </c>
      <c r="H134" s="91"/>
      <c r="I134" s="91"/>
      <c r="J134" s="231"/>
    </row>
    <row r="135" spans="1:10" ht="12.75">
      <c r="A135" s="90">
        <v>45265</v>
      </c>
      <c r="B135" s="307">
        <f t="shared" si="7"/>
        <v>66</v>
      </c>
      <c r="C135" s="41">
        <f t="shared" si="8"/>
        <v>32761000</v>
      </c>
      <c r="D135" s="41">
        <f>D133</f>
        <v>3276700</v>
      </c>
      <c r="E135" s="302"/>
      <c r="F135" s="41"/>
      <c r="G135" s="41"/>
      <c r="H135" s="91"/>
      <c r="I135" s="91"/>
      <c r="J135" s="231"/>
    </row>
    <row r="136" spans="1:10" ht="12.75">
      <c r="A136" s="97">
        <v>45291</v>
      </c>
      <c r="B136" s="308">
        <f t="shared" si="7"/>
        <v>26</v>
      </c>
      <c r="C136" s="99">
        <f t="shared" si="8"/>
        <v>32761000</v>
      </c>
      <c r="D136" s="99"/>
      <c r="E136" s="303">
        <f>E134</f>
        <v>0.06627</v>
      </c>
      <c r="F136" s="99">
        <f>((C135+D135)*E136/360*B135)+((C136+D136)*E136/360*B136)</f>
        <v>594639.6423166665</v>
      </c>
      <c r="G136" s="99">
        <f>G134</f>
        <v>42390</v>
      </c>
      <c r="H136" s="300">
        <f>SUM(F130:G136)</f>
        <v>2857556.228091666</v>
      </c>
      <c r="I136" s="300">
        <f>SUM(D129:D136)</f>
        <v>13106800</v>
      </c>
      <c r="J136" s="301">
        <f>SUM(H136:I136)</f>
        <v>15964356.228091666</v>
      </c>
    </row>
    <row r="137" spans="1:10" ht="12.75">
      <c r="A137" s="103">
        <v>45356</v>
      </c>
      <c r="B137" s="306">
        <f aca="true" t="shared" si="9" ref="B137:B155">A137-A136</f>
        <v>65</v>
      </c>
      <c r="C137" s="42">
        <f aca="true" t="shared" si="10" ref="C137:C155">C136-D137</f>
        <v>29484300</v>
      </c>
      <c r="D137" s="42">
        <f>D135</f>
        <v>3276700</v>
      </c>
      <c r="E137" s="104"/>
      <c r="F137" s="104"/>
      <c r="G137" s="104"/>
      <c r="H137" s="104"/>
      <c r="I137" s="104"/>
      <c r="J137" s="242"/>
    </row>
    <row r="138" spans="1:10" ht="12.75">
      <c r="A138" s="90">
        <v>45382</v>
      </c>
      <c r="B138" s="307">
        <f t="shared" si="9"/>
        <v>26</v>
      </c>
      <c r="C138" s="41">
        <f t="shared" si="10"/>
        <v>29484300</v>
      </c>
      <c r="D138" s="41"/>
      <c r="E138" s="302">
        <f>E136</f>
        <v>0.06627</v>
      </c>
      <c r="F138" s="41">
        <f>((C137+D137)*E138/360*B137)+((C138+D138)*E138/360*B138)</f>
        <v>533115.7892666665</v>
      </c>
      <c r="G138" s="41">
        <f>G136</f>
        <v>42390</v>
      </c>
      <c r="H138" s="91"/>
      <c r="I138" s="91"/>
      <c r="J138" s="231"/>
    </row>
    <row r="139" spans="1:10" ht="12.75">
      <c r="A139" s="90">
        <v>45448</v>
      </c>
      <c r="B139" s="307">
        <f t="shared" si="9"/>
        <v>66</v>
      </c>
      <c r="C139" s="41">
        <f t="shared" si="10"/>
        <v>26207600</v>
      </c>
      <c r="D139" s="41">
        <f>D137</f>
        <v>3276700</v>
      </c>
      <c r="E139" s="302"/>
      <c r="F139" s="41"/>
      <c r="G139" s="41"/>
      <c r="H139" s="91"/>
      <c r="I139" s="91"/>
      <c r="J139" s="231"/>
    </row>
    <row r="140" spans="1:10" ht="12.75">
      <c r="A140" s="90">
        <v>45473</v>
      </c>
      <c r="B140" s="307">
        <f t="shared" si="9"/>
        <v>25</v>
      </c>
      <c r="C140" s="41">
        <f t="shared" si="10"/>
        <v>26207600</v>
      </c>
      <c r="D140" s="41"/>
      <c r="E140" s="302">
        <f>E138</f>
        <v>0.06627</v>
      </c>
      <c r="F140" s="41">
        <f>((C139+D139)*E140/360*B139)+((C140+D140)*E140/360*B140)</f>
        <v>478829.0620166666</v>
      </c>
      <c r="G140" s="41">
        <f>G138</f>
        <v>42390</v>
      </c>
      <c r="H140" s="91"/>
      <c r="I140" s="91"/>
      <c r="J140" s="231"/>
    </row>
    <row r="141" spans="1:10" ht="12.75">
      <c r="A141" s="90">
        <v>45540</v>
      </c>
      <c r="B141" s="307">
        <f t="shared" si="9"/>
        <v>67</v>
      </c>
      <c r="C141" s="41">
        <f t="shared" si="10"/>
        <v>22930900</v>
      </c>
      <c r="D141" s="41">
        <f>D139</f>
        <v>3276700</v>
      </c>
      <c r="E141" s="302"/>
      <c r="F141" s="41"/>
      <c r="G141" s="41"/>
      <c r="H141" s="91"/>
      <c r="I141" s="91"/>
      <c r="J141" s="231"/>
    </row>
    <row r="142" spans="1:10" ht="12.75">
      <c r="A142" s="90">
        <v>45565</v>
      </c>
      <c r="B142" s="307">
        <f t="shared" si="9"/>
        <v>25</v>
      </c>
      <c r="C142" s="41">
        <f t="shared" si="10"/>
        <v>22930900</v>
      </c>
      <c r="D142" s="41"/>
      <c r="E142" s="302">
        <f>E140</f>
        <v>0.06627</v>
      </c>
      <c r="F142" s="41">
        <f>((C141+D141)*E142/360*B141)+((C142+D142)*E142/360*B142)</f>
        <v>428763.53127499996</v>
      </c>
      <c r="G142" s="41">
        <f>G140</f>
        <v>42390</v>
      </c>
      <c r="H142" s="91"/>
      <c r="I142" s="91"/>
      <c r="J142" s="231"/>
    </row>
    <row r="143" spans="1:10" ht="12.75">
      <c r="A143" s="90">
        <v>45631</v>
      </c>
      <c r="B143" s="307">
        <f t="shared" si="9"/>
        <v>66</v>
      </c>
      <c r="C143" s="41">
        <f t="shared" si="10"/>
        <v>19654200</v>
      </c>
      <c r="D143" s="41">
        <f>D141</f>
        <v>3276700</v>
      </c>
      <c r="E143" s="302"/>
      <c r="F143" s="41"/>
      <c r="G143" s="41"/>
      <c r="H143" s="91"/>
      <c r="I143" s="91"/>
      <c r="J143" s="231"/>
    </row>
    <row r="144" spans="1:10" ht="12.75">
      <c r="A144" s="97">
        <v>45657</v>
      </c>
      <c r="B144" s="308">
        <f t="shared" si="9"/>
        <v>26</v>
      </c>
      <c r="C144" s="99">
        <f t="shared" si="10"/>
        <v>19654200</v>
      </c>
      <c r="D144" s="99"/>
      <c r="E144" s="303">
        <f>E142</f>
        <v>0.06627</v>
      </c>
      <c r="F144" s="99">
        <f>((C143+D143)*E144/360*B143)+((C144+D144)*E144/360*B144)</f>
        <v>372667.2464499999</v>
      </c>
      <c r="G144" s="99">
        <f>G142</f>
        <v>42390</v>
      </c>
      <c r="H144" s="300">
        <f>SUM(F138:G144)</f>
        <v>1982935.629008333</v>
      </c>
      <c r="I144" s="300">
        <f>SUM(D137:D144)</f>
        <v>13106800</v>
      </c>
      <c r="J144" s="301">
        <f>SUM(H144:I144)</f>
        <v>15089735.629008332</v>
      </c>
    </row>
    <row r="145" spans="1:10" ht="12.75">
      <c r="A145" s="103">
        <v>45721</v>
      </c>
      <c r="B145" s="306">
        <f t="shared" si="9"/>
        <v>64</v>
      </c>
      <c r="C145" s="42">
        <f t="shared" si="10"/>
        <v>16377500</v>
      </c>
      <c r="D145" s="42">
        <f>D143</f>
        <v>3276700</v>
      </c>
      <c r="E145" s="104"/>
      <c r="F145" s="104"/>
      <c r="G145" s="104"/>
      <c r="H145" s="104"/>
      <c r="I145" s="104"/>
      <c r="J145" s="242"/>
    </row>
    <row r="146" spans="1:10" ht="12.75">
      <c r="A146" s="90">
        <v>45747</v>
      </c>
      <c r="B146" s="307">
        <f t="shared" si="9"/>
        <v>26</v>
      </c>
      <c r="C146" s="41">
        <f t="shared" si="10"/>
        <v>16377500</v>
      </c>
      <c r="D146" s="41"/>
      <c r="E146" s="302">
        <f>E144</f>
        <v>0.06627</v>
      </c>
      <c r="F146" s="41">
        <f>((C145+D145)*E146/360*B145)+((C146+D146)*E146/360*B146)</f>
        <v>309938.1261833333</v>
      </c>
      <c r="G146" s="41">
        <f>G144</f>
        <v>42390</v>
      </c>
      <c r="H146" s="91"/>
      <c r="I146" s="91"/>
      <c r="J146" s="231"/>
    </row>
    <row r="147" spans="1:10" ht="12.75">
      <c r="A147" s="90">
        <v>45813</v>
      </c>
      <c r="B147" s="307">
        <f t="shared" si="9"/>
        <v>66</v>
      </c>
      <c r="C147" s="41">
        <f t="shared" si="10"/>
        <v>13100800</v>
      </c>
      <c r="D147" s="41">
        <f>D145</f>
        <v>3276700</v>
      </c>
      <c r="E147" s="302"/>
      <c r="F147" s="41"/>
      <c r="G147" s="41"/>
      <c r="H147" s="91"/>
      <c r="I147" s="91"/>
      <c r="J147" s="231"/>
    </row>
    <row r="148" spans="1:10" ht="12.75">
      <c r="A148" s="90">
        <v>45838</v>
      </c>
      <c r="B148" s="307">
        <f t="shared" si="9"/>
        <v>25</v>
      </c>
      <c r="C148" s="41">
        <f t="shared" si="10"/>
        <v>13100800</v>
      </c>
      <c r="D148" s="41"/>
      <c r="E148" s="302">
        <f>E146</f>
        <v>0.06627</v>
      </c>
      <c r="F148" s="41">
        <f>((C147+D147)*E148/360*B147)+((C148+D148)*E148/360*B148)</f>
        <v>259269.4095833333</v>
      </c>
      <c r="G148" s="41">
        <f>G146</f>
        <v>42390</v>
      </c>
      <c r="H148" s="91"/>
      <c r="I148" s="91"/>
      <c r="J148" s="231"/>
    </row>
    <row r="149" spans="1:10" ht="12.75">
      <c r="A149" s="90">
        <v>45905</v>
      </c>
      <c r="B149" s="307">
        <f t="shared" si="9"/>
        <v>67</v>
      </c>
      <c r="C149" s="41">
        <f t="shared" si="10"/>
        <v>9824100</v>
      </c>
      <c r="D149" s="41">
        <f>D147</f>
        <v>3276700</v>
      </c>
      <c r="E149" s="302"/>
      <c r="F149" s="41"/>
      <c r="G149" s="41"/>
      <c r="H149" s="91"/>
      <c r="I149" s="91"/>
      <c r="J149" s="231"/>
    </row>
    <row r="150" spans="1:10" ht="12.75">
      <c r="A150" s="90">
        <v>45930</v>
      </c>
      <c r="B150" s="307">
        <f t="shared" si="9"/>
        <v>25</v>
      </c>
      <c r="C150" s="41">
        <f t="shared" si="10"/>
        <v>9824100</v>
      </c>
      <c r="D150" s="41"/>
      <c r="E150" s="302">
        <f>E148</f>
        <v>0.06627</v>
      </c>
      <c r="F150" s="41">
        <f>((C149+D149)*E150/360*B149)+((C150+D150)*E150/360*B150)</f>
        <v>206791.13540833333</v>
      </c>
      <c r="G150" s="41">
        <f>G148</f>
        <v>42390</v>
      </c>
      <c r="H150" s="91"/>
      <c r="I150" s="91"/>
      <c r="J150" s="231"/>
    </row>
    <row r="151" spans="1:10" ht="12.75">
      <c r="A151" s="90">
        <v>45996</v>
      </c>
      <c r="B151" s="307">
        <f t="shared" si="9"/>
        <v>66</v>
      </c>
      <c r="C151" s="41">
        <f t="shared" si="10"/>
        <v>6547400</v>
      </c>
      <c r="D151" s="41">
        <f>D149</f>
        <v>3276700</v>
      </c>
      <c r="E151" s="302"/>
      <c r="F151" s="41"/>
      <c r="G151" s="41"/>
      <c r="H151" s="91"/>
      <c r="I151" s="91"/>
      <c r="J151" s="231"/>
    </row>
    <row r="152" spans="1:10" ht="12.75">
      <c r="A152" s="97">
        <v>46022</v>
      </c>
      <c r="B152" s="308">
        <f t="shared" si="9"/>
        <v>26</v>
      </c>
      <c r="C152" s="99">
        <f t="shared" si="10"/>
        <v>6547400</v>
      </c>
      <c r="D152" s="99"/>
      <c r="E152" s="303">
        <f>E150</f>
        <v>0.06627</v>
      </c>
      <c r="F152" s="99">
        <f>((C151+D151)*E152/360*B151)+((C152+D152)*E152/360*B152)</f>
        <v>150694.85058333332</v>
      </c>
      <c r="G152" s="99">
        <f>G150</f>
        <v>42390</v>
      </c>
      <c r="H152" s="300">
        <f>SUM(F146:G152)</f>
        <v>1096253.521758333</v>
      </c>
      <c r="I152" s="300">
        <f>SUM(D145:D152)</f>
        <v>13106800</v>
      </c>
      <c r="J152" s="301">
        <f>SUM(H152:I152)</f>
        <v>14203053.521758333</v>
      </c>
    </row>
    <row r="153" spans="1:10" ht="12.75">
      <c r="A153" s="103">
        <v>46086</v>
      </c>
      <c r="B153" s="306">
        <f t="shared" si="9"/>
        <v>64</v>
      </c>
      <c r="C153" s="42">
        <f t="shared" si="10"/>
        <v>3270700</v>
      </c>
      <c r="D153" s="42">
        <f>D151</f>
        <v>3276700</v>
      </c>
      <c r="E153" s="104"/>
      <c r="F153" s="104"/>
      <c r="G153" s="104"/>
      <c r="H153" s="104"/>
      <c r="I153" s="104"/>
      <c r="J153" s="242"/>
    </row>
    <row r="154" spans="1:10" ht="12.75">
      <c r="A154" s="90">
        <v>46112</v>
      </c>
      <c r="B154" s="307">
        <f t="shared" si="9"/>
        <v>26</v>
      </c>
      <c r="C154" s="41">
        <f t="shared" si="10"/>
        <v>3270700</v>
      </c>
      <c r="D154" s="41"/>
      <c r="E154" s="302">
        <f>E152</f>
        <v>0.06627</v>
      </c>
      <c r="F154" s="41">
        <f>((C153+D153)*E154/360*B153)+((C154+D154)*E154/360*B154)</f>
        <v>92791.21718333333</v>
      </c>
      <c r="G154" s="41">
        <f>G152</f>
        <v>42390</v>
      </c>
      <c r="H154" s="91"/>
      <c r="I154" s="91"/>
      <c r="J154" s="231"/>
    </row>
    <row r="155" spans="1:10" ht="13.5" thickBot="1">
      <c r="A155" s="90">
        <v>46178</v>
      </c>
      <c r="B155" s="307">
        <f t="shared" si="9"/>
        <v>66</v>
      </c>
      <c r="C155" s="41">
        <f t="shared" si="10"/>
        <v>0</v>
      </c>
      <c r="D155" s="41">
        <v>3270700</v>
      </c>
      <c r="E155" s="302">
        <f>E154</f>
        <v>0.06627</v>
      </c>
      <c r="F155" s="41">
        <f>((C155+D155)*E155/360*B155)</f>
        <v>39737.36965</v>
      </c>
      <c r="G155" s="41">
        <f>226086300*0.015-SUM(G7:G154)</f>
        <v>127264.5</v>
      </c>
      <c r="H155" s="300">
        <f>SUM(F153:G155)</f>
        <v>302183.08683333336</v>
      </c>
      <c r="I155" s="300">
        <f>SUM(D153:D155)</f>
        <v>6547400</v>
      </c>
      <c r="J155" s="301">
        <f>SUM(H155:I155)</f>
        <v>6849583.086833334</v>
      </c>
    </row>
    <row r="156" spans="1:10" ht="13.5" thickTop="1">
      <c r="A156" s="563" t="s">
        <v>14</v>
      </c>
      <c r="B156" s="564"/>
      <c r="C156" s="565"/>
      <c r="D156" s="117">
        <f>SUM(D7:D155)</f>
        <v>226086300</v>
      </c>
      <c r="E156" s="118"/>
      <c r="F156" s="117">
        <f>SUM(F7:F155)</f>
        <v>163251520.6658917</v>
      </c>
      <c r="G156" s="117">
        <f>SUM(G7:G155)</f>
        <v>3391294.5</v>
      </c>
      <c r="H156" s="117">
        <f>SUM(H7:H155)</f>
        <v>166642815.16589165</v>
      </c>
      <c r="I156" s="117">
        <f>SUM(I7:I155)</f>
        <v>226086300</v>
      </c>
      <c r="J156" s="119">
        <f>SUM(J7:J155)</f>
        <v>392729115.1658917</v>
      </c>
    </row>
    <row r="157" spans="1:10" ht="12.75">
      <c r="A157" s="120"/>
      <c r="B157" s="121"/>
      <c r="E157" s="122"/>
      <c r="H157" s="121"/>
      <c r="J157" s="121"/>
    </row>
    <row r="158" spans="1:10" ht="12.75">
      <c r="A158" s="120"/>
      <c r="B158" s="121"/>
      <c r="E158" s="122"/>
      <c r="G158" s="121"/>
      <c r="H158" s="121"/>
      <c r="J158" s="121"/>
    </row>
  </sheetData>
  <sheetProtection/>
  <mergeCells count="1">
    <mergeCell ref="A156:C156"/>
  </mergeCells>
  <printOptions horizontalCentered="1"/>
  <pageMargins left="0.3937007874015748" right="0.3937007874015748" top="0.984251968503937" bottom="0.3937007874015748" header="0.1968503937007874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
2006. évben felvételre tervezett 226.086,3 eFt hitel
(Önkormányzati Fejlesztési Hitelprogram 2.4 hitelcél)</oddHeader>
    <oddFooter>&amp;L&amp;8&amp;D&amp;C&amp;8C:\Andi\adósságszolgálat\&amp;F\&amp;A&amp;R&amp;8&amp;P/&amp;N</oddFooter>
  </headerFooter>
  <rowBreaks count="2" manualBreakCount="2">
    <brk id="56" max="255" man="1"/>
    <brk id="11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pane ySplit="7" topLeftCell="BM59" activePane="bottomLeft" state="frozen"/>
      <selection pane="topLeft" activeCell="A1" sqref="A1"/>
      <selection pane="bottomLeft" activeCell="E72" sqref="E72"/>
    </sheetView>
  </sheetViews>
  <sheetFormatPr defaultColWidth="9.00390625" defaultRowHeight="12.75"/>
  <cols>
    <col min="1" max="1" width="10.125" style="58" customWidth="1"/>
    <col min="2" max="2" width="7.00390625" style="58" customWidth="1"/>
    <col min="3" max="3" width="11.875" style="58" customWidth="1"/>
    <col min="4" max="4" width="12.625" style="58" customWidth="1"/>
    <col min="5" max="5" width="9.50390625" style="58" customWidth="1"/>
    <col min="6" max="6" width="13.00390625" style="58" bestFit="1" customWidth="1"/>
    <col min="7" max="7" width="13.00390625" style="58" customWidth="1"/>
    <col min="8" max="8" width="11.50390625" style="58" customWidth="1"/>
    <col min="9" max="10" width="12.625" style="58" customWidth="1"/>
    <col min="11" max="11" width="2.875" style="58" customWidth="1"/>
    <col min="12" max="16384" width="9.375" style="58" customWidth="1"/>
  </cols>
  <sheetData>
    <row r="1" spans="1:10" ht="12.75">
      <c r="A1" s="130" t="s">
        <v>243</v>
      </c>
      <c r="B1" s="131"/>
      <c r="C1" s="130"/>
      <c r="D1" s="130"/>
      <c r="F1" s="130"/>
      <c r="G1" s="130"/>
      <c r="H1" s="130"/>
      <c r="I1" s="130"/>
      <c r="J1" s="130"/>
    </row>
    <row r="2" spans="1:10" s="133" customFormat="1" ht="12.75">
      <c r="A2" s="132" t="s">
        <v>17</v>
      </c>
      <c r="B2" s="132"/>
      <c r="C2" s="132"/>
      <c r="D2" s="132"/>
      <c r="E2" s="132"/>
      <c r="J2" s="132"/>
    </row>
    <row r="3" spans="3:10" s="133" customFormat="1" ht="12.75">
      <c r="C3" s="478" t="s">
        <v>270</v>
      </c>
      <c r="D3" s="479">
        <v>0.01</v>
      </c>
      <c r="E3" s="132"/>
      <c r="F3" s="132"/>
      <c r="G3" s="132"/>
      <c r="H3" s="132"/>
      <c r="I3" s="132"/>
      <c r="J3" s="132"/>
    </row>
    <row r="4" spans="1:10" ht="12.75">
      <c r="A4" s="135"/>
      <c r="B4" s="133"/>
      <c r="C4" s="132"/>
      <c r="D4" s="132"/>
      <c r="E4" s="132"/>
      <c r="F4" s="132"/>
      <c r="G4" s="132"/>
      <c r="H4" s="132"/>
      <c r="I4" s="132"/>
      <c r="J4" s="132" t="s">
        <v>2</v>
      </c>
    </row>
    <row r="5" spans="1:10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69" t="s">
        <v>104</v>
      </c>
      <c r="H5" s="70" t="s">
        <v>6</v>
      </c>
      <c r="I5" s="70" t="s">
        <v>6</v>
      </c>
      <c r="J5" s="71" t="s">
        <v>6</v>
      </c>
    </row>
    <row r="6" spans="1:10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5" t="s">
        <v>105</v>
      </c>
      <c r="H6" s="76" t="s">
        <v>9</v>
      </c>
      <c r="I6" s="76" t="s">
        <v>11</v>
      </c>
      <c r="J6" s="77" t="s">
        <v>10</v>
      </c>
    </row>
    <row r="7" spans="1:10" ht="12.75">
      <c r="A7" s="78"/>
      <c r="B7" s="79"/>
      <c r="C7" s="80"/>
      <c r="D7" s="80"/>
      <c r="E7" s="136"/>
      <c r="F7" s="80"/>
      <c r="G7" s="80"/>
      <c r="H7" s="458" t="s">
        <v>274</v>
      </c>
      <c r="I7" s="82" t="s">
        <v>13</v>
      </c>
      <c r="J7" s="83" t="s">
        <v>12</v>
      </c>
    </row>
    <row r="8" spans="1:10" ht="12.75">
      <c r="A8" s="84">
        <v>37236</v>
      </c>
      <c r="B8" s="137"/>
      <c r="C8" s="138">
        <v>107411000</v>
      </c>
      <c r="D8" s="42"/>
      <c r="E8" s="139"/>
      <c r="F8" s="139"/>
      <c r="G8" s="42"/>
      <c r="H8" s="140"/>
      <c r="I8" s="140"/>
      <c r="J8" s="141"/>
    </row>
    <row r="9" spans="1:10" ht="12.75">
      <c r="A9" s="142">
        <v>37253</v>
      </c>
      <c r="B9" s="98">
        <f aca="true" t="shared" si="0" ref="B9:B83">A9-A8</f>
        <v>17</v>
      </c>
      <c r="C9" s="143">
        <f>C8-D9</f>
        <v>107411000</v>
      </c>
      <c r="D9" s="99"/>
      <c r="E9" s="100">
        <v>0.0378</v>
      </c>
      <c r="F9" s="144">
        <v>189043</v>
      </c>
      <c r="G9" s="99"/>
      <c r="H9" s="145">
        <f>SUM(F8:G9)</f>
        <v>189043</v>
      </c>
      <c r="I9" s="145">
        <f>SUM(D8:D9)</f>
        <v>0</v>
      </c>
      <c r="J9" s="146">
        <f>SUM(H9:I9)</f>
        <v>189043</v>
      </c>
    </row>
    <row r="10" spans="1:10" ht="12.75">
      <c r="A10" s="103">
        <v>37344</v>
      </c>
      <c r="B10" s="85">
        <f t="shared" si="0"/>
        <v>91</v>
      </c>
      <c r="C10" s="139">
        <f aca="true" t="shared" si="1" ref="C10:C84">C9-D10</f>
        <v>107411000</v>
      </c>
      <c r="D10" s="139"/>
      <c r="E10" s="480">
        <v>0.0356</v>
      </c>
      <c r="F10" s="42">
        <v>684195</v>
      </c>
      <c r="G10" s="42">
        <v>0</v>
      </c>
      <c r="H10" s="140"/>
      <c r="I10" s="140"/>
      <c r="J10" s="141"/>
    </row>
    <row r="11" spans="1:10" ht="12.75">
      <c r="A11" s="84">
        <v>37437</v>
      </c>
      <c r="B11" s="91">
        <f t="shared" si="0"/>
        <v>93</v>
      </c>
      <c r="C11" s="138">
        <f t="shared" si="1"/>
        <v>107411000</v>
      </c>
      <c r="D11" s="138"/>
      <c r="E11" s="481">
        <v>0.0344</v>
      </c>
      <c r="F11" s="86">
        <v>852038</v>
      </c>
      <c r="G11" s="86">
        <v>0</v>
      </c>
      <c r="H11" s="148"/>
      <c r="I11" s="148"/>
      <c r="J11" s="149"/>
    </row>
    <row r="12" spans="1:10" ht="12.75">
      <c r="A12" s="84">
        <v>37527</v>
      </c>
      <c r="B12" s="91">
        <f t="shared" si="0"/>
        <v>90</v>
      </c>
      <c r="C12" s="138">
        <f t="shared" si="1"/>
        <v>104440000</v>
      </c>
      <c r="D12" s="138">
        <v>2971000</v>
      </c>
      <c r="E12" s="481"/>
      <c r="F12" s="86"/>
      <c r="G12" s="86"/>
      <c r="H12" s="148"/>
      <c r="I12" s="148"/>
      <c r="J12" s="149"/>
    </row>
    <row r="13" spans="1:10" ht="12.75">
      <c r="A13" s="84">
        <v>37529</v>
      </c>
      <c r="B13" s="91">
        <f t="shared" si="0"/>
        <v>2</v>
      </c>
      <c r="C13" s="138">
        <f t="shared" si="1"/>
        <v>104440000</v>
      </c>
      <c r="D13" s="138"/>
      <c r="E13" s="481">
        <v>0.0324</v>
      </c>
      <c r="F13" s="86">
        <v>907504</v>
      </c>
      <c r="G13" s="86">
        <v>0</v>
      </c>
      <c r="H13" s="148"/>
      <c r="I13" s="148"/>
      <c r="J13" s="149"/>
    </row>
    <row r="14" spans="1:10" ht="12.75">
      <c r="A14" s="84">
        <v>37618</v>
      </c>
      <c r="B14" s="91">
        <f t="shared" si="0"/>
        <v>89</v>
      </c>
      <c r="C14" s="138">
        <f t="shared" si="1"/>
        <v>101456000</v>
      </c>
      <c r="D14" s="138">
        <v>2984000</v>
      </c>
      <c r="E14" s="481"/>
      <c r="F14" s="86"/>
      <c r="G14" s="86"/>
      <c r="H14" s="148"/>
      <c r="I14" s="148"/>
      <c r="J14" s="149"/>
    </row>
    <row r="15" spans="1:10" ht="12.75">
      <c r="A15" s="142">
        <v>37621</v>
      </c>
      <c r="B15" s="98">
        <f t="shared" si="0"/>
        <v>3</v>
      </c>
      <c r="C15" s="143">
        <f t="shared" si="1"/>
        <v>101456000</v>
      </c>
      <c r="D15" s="143"/>
      <c r="E15" s="482">
        <v>0.0327</v>
      </c>
      <c r="F15" s="86">
        <v>956408</v>
      </c>
      <c r="G15" s="86">
        <v>0</v>
      </c>
      <c r="H15" s="150">
        <f>SUM(F10:G15)</f>
        <v>3400145</v>
      </c>
      <c r="I15" s="150">
        <f>SUM(D10:D15)</f>
        <v>5955000</v>
      </c>
      <c r="J15" s="151">
        <f>SUM(H15:I15)</f>
        <v>9355145</v>
      </c>
    </row>
    <row r="16" spans="1:10" ht="12.75">
      <c r="A16" s="103">
        <v>37708</v>
      </c>
      <c r="B16" s="85">
        <f t="shared" si="0"/>
        <v>87</v>
      </c>
      <c r="C16" s="139">
        <f t="shared" si="1"/>
        <v>98472000</v>
      </c>
      <c r="D16" s="138">
        <v>2984000</v>
      </c>
      <c r="E16" s="481"/>
      <c r="F16" s="42"/>
      <c r="G16" s="42"/>
      <c r="H16" s="140"/>
      <c r="I16" s="140"/>
      <c r="J16" s="141"/>
    </row>
    <row r="17" spans="1:10" ht="12.75">
      <c r="A17" s="84">
        <v>37711</v>
      </c>
      <c r="B17" s="91">
        <f t="shared" si="0"/>
        <v>3</v>
      </c>
      <c r="C17" s="138">
        <f t="shared" si="1"/>
        <v>98472000</v>
      </c>
      <c r="D17" s="138"/>
      <c r="E17" s="481">
        <v>0.0269</v>
      </c>
      <c r="F17" s="86">
        <v>566047</v>
      </c>
      <c r="G17" s="86">
        <v>253391</v>
      </c>
      <c r="H17" s="148"/>
      <c r="I17" s="148"/>
      <c r="J17" s="149"/>
    </row>
    <row r="18" spans="1:10" ht="12.75">
      <c r="A18" s="84">
        <v>37800</v>
      </c>
      <c r="B18" s="91">
        <f t="shared" si="0"/>
        <v>89</v>
      </c>
      <c r="C18" s="138">
        <f t="shared" si="1"/>
        <v>95488000</v>
      </c>
      <c r="D18" s="138">
        <f>D16</f>
        <v>2984000</v>
      </c>
      <c r="E18" s="481"/>
      <c r="F18" s="86"/>
      <c r="G18" s="86"/>
      <c r="H18" s="148"/>
      <c r="I18" s="148"/>
      <c r="J18" s="149"/>
    </row>
    <row r="19" spans="1:10" ht="12.75">
      <c r="A19" s="84">
        <v>37802</v>
      </c>
      <c r="B19" s="91">
        <f t="shared" si="0"/>
        <v>2</v>
      </c>
      <c r="C19" s="138">
        <f t="shared" si="1"/>
        <v>95488000</v>
      </c>
      <c r="D19" s="138"/>
      <c r="E19" s="481">
        <v>0.0256</v>
      </c>
      <c r="F19" s="86">
        <v>488996</v>
      </c>
      <c r="G19" s="86">
        <v>248915</v>
      </c>
      <c r="H19" s="148"/>
      <c r="I19" s="148"/>
      <c r="J19" s="149"/>
    </row>
    <row r="20" spans="1:10" ht="12.75">
      <c r="A20" s="84">
        <v>37892</v>
      </c>
      <c r="B20" s="91">
        <f t="shared" si="0"/>
        <v>90</v>
      </c>
      <c r="C20" s="138">
        <f t="shared" si="1"/>
        <v>92504000</v>
      </c>
      <c r="D20" s="138">
        <f>D16</f>
        <v>2984000</v>
      </c>
      <c r="E20" s="481"/>
      <c r="F20" s="86"/>
      <c r="G20" s="86"/>
      <c r="H20" s="148"/>
      <c r="I20" s="148"/>
      <c r="J20" s="149"/>
    </row>
    <row r="21" spans="1:10" ht="12.75">
      <c r="A21" s="84">
        <v>37894</v>
      </c>
      <c r="B21" s="91">
        <f t="shared" si="0"/>
        <v>2</v>
      </c>
      <c r="C21" s="138">
        <f t="shared" si="1"/>
        <v>92504000</v>
      </c>
      <c r="D21" s="138"/>
      <c r="E21" s="481">
        <v>0.0484</v>
      </c>
      <c r="F21" s="86">
        <v>1174231</v>
      </c>
      <c r="G21" s="86">
        <v>243859</v>
      </c>
      <c r="H21" s="148"/>
      <c r="I21" s="148"/>
      <c r="J21" s="149"/>
    </row>
    <row r="22" spans="1:10" ht="12.75">
      <c r="A22" s="84">
        <v>37983</v>
      </c>
      <c r="B22" s="91">
        <f t="shared" si="0"/>
        <v>89</v>
      </c>
      <c r="C22" s="138">
        <f t="shared" si="1"/>
        <v>89520000</v>
      </c>
      <c r="D22" s="138">
        <f>D16</f>
        <v>2984000</v>
      </c>
      <c r="E22" s="481"/>
      <c r="F22" s="86"/>
      <c r="G22" s="86"/>
      <c r="H22" s="148"/>
      <c r="I22" s="148"/>
      <c r="J22" s="149"/>
    </row>
    <row r="23" spans="1:10" ht="12.75">
      <c r="A23" s="142">
        <v>37986</v>
      </c>
      <c r="B23" s="98">
        <f t="shared" si="0"/>
        <v>3</v>
      </c>
      <c r="C23" s="143">
        <f t="shared" si="1"/>
        <v>89520000</v>
      </c>
      <c r="D23" s="143"/>
      <c r="E23" s="482">
        <v>0.047</v>
      </c>
      <c r="F23" s="86">
        <v>1134164</v>
      </c>
      <c r="G23" s="86">
        <v>236150</v>
      </c>
      <c r="H23" s="150">
        <f>SUM(F17:G23)</f>
        <v>4345753</v>
      </c>
      <c r="I23" s="150">
        <f>SUM(D16:D23)</f>
        <v>11936000</v>
      </c>
      <c r="J23" s="151">
        <f>SUM(H23:I23)</f>
        <v>16281753</v>
      </c>
    </row>
    <row r="24" spans="1:10" ht="12.75">
      <c r="A24" s="103">
        <v>38074</v>
      </c>
      <c r="B24" s="85">
        <f t="shared" si="0"/>
        <v>88</v>
      </c>
      <c r="C24" s="139">
        <f t="shared" si="1"/>
        <v>86536000</v>
      </c>
      <c r="D24" s="138">
        <f>D16</f>
        <v>2984000</v>
      </c>
      <c r="E24" s="481"/>
      <c r="F24" s="42"/>
      <c r="G24" s="42"/>
      <c r="H24" s="140"/>
      <c r="I24" s="140"/>
      <c r="J24" s="141"/>
    </row>
    <row r="25" spans="1:10" ht="12.75">
      <c r="A25" s="84">
        <v>38077</v>
      </c>
      <c r="B25" s="91">
        <f t="shared" si="0"/>
        <v>3</v>
      </c>
      <c r="C25" s="138">
        <f t="shared" si="1"/>
        <v>86536000</v>
      </c>
      <c r="D25" s="138"/>
      <c r="E25" s="481">
        <v>0.05</v>
      </c>
      <c r="F25" s="86">
        <v>1129858</v>
      </c>
      <c r="G25" s="86">
        <v>226121</v>
      </c>
      <c r="H25" s="148"/>
      <c r="I25" s="148"/>
      <c r="J25" s="149"/>
    </row>
    <row r="26" spans="1:10" ht="12.75">
      <c r="A26" s="84">
        <v>38166</v>
      </c>
      <c r="B26" s="91">
        <f t="shared" si="0"/>
        <v>89</v>
      </c>
      <c r="C26" s="138">
        <f t="shared" si="1"/>
        <v>83552000</v>
      </c>
      <c r="D26" s="138">
        <f>D16</f>
        <v>2984000</v>
      </c>
      <c r="E26" s="481"/>
      <c r="F26" s="86"/>
      <c r="G26" s="86"/>
      <c r="H26" s="148"/>
      <c r="I26" s="148"/>
      <c r="J26" s="149"/>
    </row>
    <row r="27" spans="1:10" ht="12.75">
      <c r="A27" s="84">
        <v>38168</v>
      </c>
      <c r="B27" s="91">
        <f t="shared" si="0"/>
        <v>2</v>
      </c>
      <c r="C27" s="138">
        <f t="shared" si="1"/>
        <v>83552000</v>
      </c>
      <c r="D27" s="138"/>
      <c r="E27" s="481">
        <v>0.05</v>
      </c>
      <c r="F27" s="86">
        <v>1092890</v>
      </c>
      <c r="G27" s="86">
        <v>218578</v>
      </c>
      <c r="H27" s="148"/>
      <c r="I27" s="148"/>
      <c r="J27" s="149"/>
    </row>
    <row r="28" spans="1:10" ht="12.75">
      <c r="A28" s="84">
        <v>38258</v>
      </c>
      <c r="B28" s="91">
        <f t="shared" si="0"/>
        <v>90</v>
      </c>
      <c r="C28" s="138">
        <f t="shared" si="1"/>
        <v>80568000</v>
      </c>
      <c r="D28" s="138">
        <f>D16</f>
        <v>2984000</v>
      </c>
      <c r="E28" s="481"/>
      <c r="F28" s="86"/>
      <c r="G28" s="86"/>
      <c r="H28" s="148"/>
      <c r="I28" s="148"/>
      <c r="J28" s="149"/>
    </row>
    <row r="29" spans="1:10" ht="12.75">
      <c r="A29" s="84">
        <v>38260</v>
      </c>
      <c r="B29" s="91">
        <f t="shared" si="0"/>
        <v>2</v>
      </c>
      <c r="C29" s="138">
        <f t="shared" si="1"/>
        <v>80568000</v>
      </c>
      <c r="D29" s="138"/>
      <c r="E29" s="481">
        <f>E27</f>
        <v>0.05</v>
      </c>
      <c r="F29" s="86">
        <v>1066780</v>
      </c>
      <c r="G29" s="86">
        <v>213356</v>
      </c>
      <c r="H29" s="148"/>
      <c r="I29" s="148"/>
      <c r="J29" s="149"/>
    </row>
    <row r="30" spans="1:10" ht="12.75">
      <c r="A30" s="84">
        <v>38349</v>
      </c>
      <c r="B30" s="91">
        <f t="shared" si="0"/>
        <v>89</v>
      </c>
      <c r="C30" s="138">
        <f t="shared" si="1"/>
        <v>77584000</v>
      </c>
      <c r="D30" s="138">
        <f>D16</f>
        <v>2984000</v>
      </c>
      <c r="E30" s="481"/>
      <c r="F30" s="86"/>
      <c r="G30" s="86"/>
      <c r="H30" s="148"/>
      <c r="I30" s="148"/>
      <c r="J30" s="149"/>
    </row>
    <row r="31" spans="1:10" ht="12.75">
      <c r="A31" s="142">
        <v>38352</v>
      </c>
      <c r="B31" s="98">
        <f t="shared" si="0"/>
        <v>3</v>
      </c>
      <c r="C31" s="143">
        <f t="shared" si="1"/>
        <v>77584000</v>
      </c>
      <c r="D31" s="143"/>
      <c r="E31" s="482">
        <v>0.0308</v>
      </c>
      <c r="F31" s="86">
        <v>637691</v>
      </c>
      <c r="G31" s="86">
        <v>205647</v>
      </c>
      <c r="H31" s="150">
        <f>SUM(F25:G31)</f>
        <v>4790921</v>
      </c>
      <c r="I31" s="150">
        <f>SUM(D24:D31)</f>
        <v>11936000</v>
      </c>
      <c r="J31" s="151">
        <f>SUM(H31:I31)</f>
        <v>16726921</v>
      </c>
    </row>
    <row r="32" spans="1:10" ht="12.75">
      <c r="A32" s="103">
        <v>38440</v>
      </c>
      <c r="B32" s="85">
        <f t="shared" si="0"/>
        <v>88</v>
      </c>
      <c r="C32" s="139">
        <f t="shared" si="1"/>
        <v>74600000</v>
      </c>
      <c r="D32" s="138">
        <f>D16</f>
        <v>2984000</v>
      </c>
      <c r="E32" s="481"/>
      <c r="F32" s="42"/>
      <c r="G32" s="42"/>
      <c r="H32" s="140"/>
      <c r="I32" s="140"/>
      <c r="J32" s="141"/>
    </row>
    <row r="33" spans="1:10" ht="12.75">
      <c r="A33" s="84">
        <v>38442</v>
      </c>
      <c r="B33" s="91">
        <f t="shared" si="0"/>
        <v>2</v>
      </c>
      <c r="C33" s="138">
        <f t="shared" si="1"/>
        <v>74600000</v>
      </c>
      <c r="D33" s="138"/>
      <c r="E33" s="481">
        <v>0.0144</v>
      </c>
      <c r="F33" s="86">
        <v>282598</v>
      </c>
      <c r="G33" s="86">
        <v>193794</v>
      </c>
      <c r="H33" s="148"/>
      <c r="I33" s="148"/>
      <c r="J33" s="149"/>
    </row>
    <row r="34" spans="1:10" ht="12.75">
      <c r="A34" s="84">
        <v>38473</v>
      </c>
      <c r="B34" s="91">
        <f t="shared" si="0"/>
        <v>31</v>
      </c>
      <c r="C34" s="138">
        <f t="shared" si="1"/>
        <v>74600000</v>
      </c>
      <c r="D34" s="138"/>
      <c r="E34" s="481">
        <v>0.0149</v>
      </c>
      <c r="F34" s="86"/>
      <c r="G34" s="86"/>
      <c r="H34" s="148"/>
      <c r="I34" s="148"/>
      <c r="J34" s="149"/>
    </row>
    <row r="35" spans="1:10" ht="12.75">
      <c r="A35" s="84">
        <v>38531</v>
      </c>
      <c r="B35" s="91">
        <f t="shared" si="0"/>
        <v>58</v>
      </c>
      <c r="C35" s="138">
        <f t="shared" si="1"/>
        <v>71616000</v>
      </c>
      <c r="D35" s="138">
        <f>D16</f>
        <v>2984000</v>
      </c>
      <c r="E35" s="481"/>
      <c r="F35" s="86"/>
      <c r="G35" s="86"/>
      <c r="H35" s="148"/>
      <c r="I35" s="148"/>
      <c r="J35" s="149"/>
    </row>
    <row r="36" spans="1:10" ht="12.75">
      <c r="A36" s="84">
        <v>38533</v>
      </c>
      <c r="B36" s="91">
        <f t="shared" si="0"/>
        <v>2</v>
      </c>
      <c r="C36" s="138">
        <f t="shared" si="1"/>
        <v>71616000</v>
      </c>
      <c r="D36" s="138"/>
      <c r="E36" s="481">
        <v>0.021</v>
      </c>
      <c r="F36" s="86">
        <v>430663</v>
      </c>
      <c r="G36" s="86">
        <v>188406</v>
      </c>
      <c r="H36" s="148"/>
      <c r="I36" s="148"/>
      <c r="J36" s="149"/>
    </row>
    <row r="37" spans="1:10" ht="12.75">
      <c r="A37" s="84">
        <v>38623</v>
      </c>
      <c r="B37" s="91">
        <f t="shared" si="0"/>
        <v>90</v>
      </c>
      <c r="C37" s="138">
        <f t="shared" si="1"/>
        <v>68632000</v>
      </c>
      <c r="D37" s="138">
        <f>D16</f>
        <v>2984000</v>
      </c>
      <c r="E37" s="481"/>
      <c r="F37" s="86"/>
      <c r="G37" s="86"/>
      <c r="H37" s="148"/>
      <c r="I37" s="148"/>
      <c r="J37" s="149"/>
    </row>
    <row r="38" spans="1:10" ht="12.75">
      <c r="A38" s="84">
        <v>38625</v>
      </c>
      <c r="B38" s="91">
        <f t="shared" si="0"/>
        <v>2</v>
      </c>
      <c r="C38" s="138">
        <f t="shared" si="1"/>
        <v>68632000</v>
      </c>
      <c r="D38" s="138"/>
      <c r="E38" s="481">
        <v>0.028</v>
      </c>
      <c r="F38" s="86">
        <v>426725</v>
      </c>
      <c r="G38" s="86">
        <v>182853</v>
      </c>
      <c r="H38" s="148"/>
      <c r="I38" s="148"/>
      <c r="J38" s="149"/>
    </row>
    <row r="39" spans="1:10" ht="12.75">
      <c r="A39" s="84">
        <v>38657</v>
      </c>
      <c r="B39" s="91">
        <f t="shared" si="0"/>
        <v>32</v>
      </c>
      <c r="C39" s="154">
        <f t="shared" si="1"/>
        <v>68632000</v>
      </c>
      <c r="D39" s="154"/>
      <c r="E39" s="483">
        <v>0.0188</v>
      </c>
      <c r="F39" s="86"/>
      <c r="G39" s="86"/>
      <c r="H39" s="155"/>
      <c r="I39" s="148"/>
      <c r="J39" s="149"/>
    </row>
    <row r="40" spans="1:10" ht="12.75">
      <c r="A40" s="84">
        <v>38714</v>
      </c>
      <c r="B40" s="91">
        <f t="shared" si="0"/>
        <v>57</v>
      </c>
      <c r="C40" s="154">
        <f t="shared" si="1"/>
        <v>65648000</v>
      </c>
      <c r="D40" s="154">
        <f>D16</f>
        <v>2984000</v>
      </c>
      <c r="E40" s="483"/>
      <c r="F40" s="86"/>
      <c r="G40" s="86"/>
      <c r="H40" s="155"/>
      <c r="I40" s="148"/>
      <c r="J40" s="149"/>
    </row>
    <row r="41" spans="1:10" ht="12.75">
      <c r="A41" s="142">
        <v>38716</v>
      </c>
      <c r="B41" s="98">
        <f t="shared" si="0"/>
        <v>2</v>
      </c>
      <c r="C41" s="144">
        <f t="shared" si="1"/>
        <v>65648000</v>
      </c>
      <c r="D41" s="144"/>
      <c r="E41" s="482">
        <v>0.0243</v>
      </c>
      <c r="F41" s="86">
        <v>391829</v>
      </c>
      <c r="G41" s="86">
        <v>173321</v>
      </c>
      <c r="H41" s="145">
        <f>SUM(F33:G41)</f>
        <v>2270189</v>
      </c>
      <c r="I41" s="150">
        <f>SUM(D32:D41)</f>
        <v>11936000</v>
      </c>
      <c r="J41" s="151">
        <f>SUM(H41:I41)</f>
        <v>14206189</v>
      </c>
    </row>
    <row r="42" spans="1:10" ht="12.75">
      <c r="A42" s="103">
        <v>38804</v>
      </c>
      <c r="B42" s="85">
        <f t="shared" si="0"/>
        <v>88</v>
      </c>
      <c r="C42" s="139">
        <f t="shared" si="1"/>
        <v>62664000</v>
      </c>
      <c r="D42" s="138">
        <f>D16</f>
        <v>2984000</v>
      </c>
      <c r="E42" s="481"/>
      <c r="F42" s="42"/>
      <c r="G42" s="42"/>
      <c r="H42" s="140"/>
      <c r="I42" s="140"/>
      <c r="J42" s="141"/>
    </row>
    <row r="43" spans="1:10" ht="12.75">
      <c r="A43" s="84">
        <v>38807</v>
      </c>
      <c r="B43" s="91">
        <f t="shared" si="0"/>
        <v>3</v>
      </c>
      <c r="C43" s="138">
        <f t="shared" si="1"/>
        <v>62664000</v>
      </c>
      <c r="D43" s="138"/>
      <c r="E43" s="481">
        <v>0.027</v>
      </c>
      <c r="F43" s="86">
        <v>445899</v>
      </c>
      <c r="G43" s="86">
        <v>165695</v>
      </c>
      <c r="H43" s="148"/>
      <c r="I43" s="148"/>
      <c r="J43" s="149"/>
    </row>
    <row r="44" spans="1:10" ht="12.75">
      <c r="A44" s="84">
        <v>38896</v>
      </c>
      <c r="B44" s="91">
        <f t="shared" si="0"/>
        <v>89</v>
      </c>
      <c r="C44" s="138">
        <f t="shared" si="1"/>
        <v>59680000</v>
      </c>
      <c r="D44" s="138">
        <f>D16</f>
        <v>2984000</v>
      </c>
      <c r="E44" s="481"/>
      <c r="F44" s="86"/>
      <c r="G44" s="86"/>
      <c r="H44" s="148"/>
      <c r="I44" s="148"/>
      <c r="J44" s="149"/>
    </row>
    <row r="45" spans="1:10" ht="12.75">
      <c r="A45" s="84">
        <v>38898</v>
      </c>
      <c r="B45" s="91">
        <f t="shared" si="0"/>
        <v>2</v>
      </c>
      <c r="C45" s="138">
        <f t="shared" si="1"/>
        <v>59680000</v>
      </c>
      <c r="D45" s="138"/>
      <c r="E45" s="481">
        <v>0.0316</v>
      </c>
      <c r="F45" s="86">
        <v>499222</v>
      </c>
      <c r="G45" s="86">
        <v>158235</v>
      </c>
      <c r="H45" s="148"/>
      <c r="I45" s="148"/>
      <c r="J45" s="149"/>
    </row>
    <row r="46" spans="1:10" ht="12.75">
      <c r="A46" s="84">
        <v>38929</v>
      </c>
      <c r="B46" s="91">
        <f t="shared" si="0"/>
        <v>31</v>
      </c>
      <c r="C46" s="138">
        <f t="shared" si="1"/>
        <v>59680000</v>
      </c>
      <c r="D46" s="138"/>
      <c r="E46" s="481">
        <v>0.0322</v>
      </c>
      <c r="F46" s="86"/>
      <c r="G46" s="86"/>
      <c r="H46" s="148"/>
      <c r="I46" s="148"/>
      <c r="J46" s="149"/>
    </row>
    <row r="47" spans="1:10" ht="12.75">
      <c r="A47" s="84">
        <v>38960</v>
      </c>
      <c r="B47" s="91">
        <f t="shared" si="0"/>
        <v>31</v>
      </c>
      <c r="C47" s="138">
        <f t="shared" si="1"/>
        <v>59680000</v>
      </c>
      <c r="D47" s="138"/>
      <c r="E47" s="481">
        <v>0.0309</v>
      </c>
      <c r="F47" s="86"/>
      <c r="G47" s="86"/>
      <c r="H47" s="148"/>
      <c r="I47" s="148"/>
      <c r="J47" s="149"/>
    </row>
    <row r="48" spans="1:10" ht="12.75">
      <c r="A48" s="84">
        <v>38988</v>
      </c>
      <c r="B48" s="91">
        <f t="shared" si="0"/>
        <v>28</v>
      </c>
      <c r="C48" s="138">
        <f t="shared" si="1"/>
        <v>56696000</v>
      </c>
      <c r="D48" s="138">
        <f>D16</f>
        <v>2984000</v>
      </c>
      <c r="E48" s="481"/>
      <c r="F48" s="86"/>
      <c r="G48" s="86"/>
      <c r="H48" s="148"/>
      <c r="I48" s="148"/>
      <c r="J48" s="149"/>
    </row>
    <row r="49" spans="1:10" ht="12.75">
      <c r="A49" s="84">
        <v>38989</v>
      </c>
      <c r="B49" s="91">
        <f t="shared" si="0"/>
        <v>1</v>
      </c>
      <c r="C49" s="138">
        <f t="shared" si="1"/>
        <v>56696000</v>
      </c>
      <c r="D49" s="138"/>
      <c r="E49" s="481">
        <v>0.0283</v>
      </c>
      <c r="F49" s="86">
        <v>446589</v>
      </c>
      <c r="G49" s="86">
        <v>150775</v>
      </c>
      <c r="H49" s="148"/>
      <c r="I49" s="148"/>
      <c r="J49" s="149"/>
    </row>
    <row r="50" spans="1:10" ht="12.75">
      <c r="A50" s="84">
        <v>38991</v>
      </c>
      <c r="B50" s="91">
        <f>A50-A49</f>
        <v>2</v>
      </c>
      <c r="C50" s="138">
        <f>C49-D50</f>
        <v>56696000</v>
      </c>
      <c r="D50" s="138"/>
      <c r="E50" s="481">
        <v>0.0283</v>
      </c>
      <c r="F50" s="86"/>
      <c r="G50" s="86"/>
      <c r="H50" s="148"/>
      <c r="I50" s="148"/>
      <c r="J50" s="149"/>
    </row>
    <row r="51" spans="1:10" ht="12.75">
      <c r="A51" s="84">
        <v>39022</v>
      </c>
      <c r="B51" s="91">
        <f>A51-A50</f>
        <v>31</v>
      </c>
      <c r="C51" s="138">
        <f>C50-D51</f>
        <v>56696000</v>
      </c>
      <c r="D51" s="138"/>
      <c r="E51" s="481">
        <v>0.0382</v>
      </c>
      <c r="F51" s="86"/>
      <c r="G51" s="86"/>
      <c r="H51" s="148"/>
      <c r="I51" s="148"/>
      <c r="J51" s="149"/>
    </row>
    <row r="52" spans="1:10" ht="12.75">
      <c r="A52" s="84">
        <v>39052</v>
      </c>
      <c r="B52" s="85">
        <f t="shared" si="0"/>
        <v>30</v>
      </c>
      <c r="C52" s="138">
        <f>C51-D52</f>
        <v>56696000</v>
      </c>
      <c r="D52" s="138"/>
      <c r="E52" s="481">
        <v>0.0356</v>
      </c>
      <c r="F52" s="86"/>
      <c r="G52" s="86"/>
      <c r="H52" s="148"/>
      <c r="I52" s="148"/>
      <c r="J52" s="149"/>
    </row>
    <row r="53" spans="1:10" ht="12.75">
      <c r="A53" s="90">
        <v>39079</v>
      </c>
      <c r="B53" s="85">
        <f t="shared" si="0"/>
        <v>27</v>
      </c>
      <c r="C53" s="154">
        <f>C50-D53</f>
        <v>53712000</v>
      </c>
      <c r="D53" s="154">
        <f>D16</f>
        <v>2984000</v>
      </c>
      <c r="E53" s="483"/>
      <c r="F53" s="86"/>
      <c r="G53" s="86"/>
      <c r="H53" s="148"/>
      <c r="I53" s="148"/>
      <c r="J53" s="149"/>
    </row>
    <row r="54" spans="1:10" ht="12.75">
      <c r="A54" s="97">
        <v>39080</v>
      </c>
      <c r="B54" s="98">
        <f t="shared" si="0"/>
        <v>1</v>
      </c>
      <c r="C54" s="144">
        <f>C53-D54</f>
        <v>53712000</v>
      </c>
      <c r="D54" s="144"/>
      <c r="E54" s="482">
        <v>0.0328</v>
      </c>
      <c r="F54" s="99">
        <v>506417</v>
      </c>
      <c r="G54" s="99">
        <v>143232</v>
      </c>
      <c r="H54" s="145">
        <f>SUM(F43:G54)</f>
        <v>2516064</v>
      </c>
      <c r="I54" s="145">
        <f>SUM(D42:D54)</f>
        <v>11936000</v>
      </c>
      <c r="J54" s="146">
        <f>SUM(H54:I54)</f>
        <v>14452064</v>
      </c>
    </row>
    <row r="55" spans="1:10" ht="12.75">
      <c r="A55" s="103">
        <v>39114</v>
      </c>
      <c r="B55" s="104">
        <f>A55-A54</f>
        <v>34</v>
      </c>
      <c r="C55" s="139">
        <f>C54-D55</f>
        <v>53712000</v>
      </c>
      <c r="D55" s="139"/>
      <c r="E55" s="484">
        <v>0.0314</v>
      </c>
      <c r="F55" s="42"/>
      <c r="G55" s="42"/>
      <c r="H55" s="140"/>
      <c r="I55" s="140"/>
      <c r="J55" s="141"/>
    </row>
    <row r="56" spans="1:10" ht="12.75">
      <c r="A56" s="90">
        <v>39169</v>
      </c>
      <c r="B56" s="91">
        <f>A56-A55</f>
        <v>55</v>
      </c>
      <c r="C56" s="154">
        <f>C55-D56</f>
        <v>50728000</v>
      </c>
      <c r="D56" s="154">
        <f>D16</f>
        <v>2984000</v>
      </c>
      <c r="E56" s="483"/>
      <c r="F56" s="41"/>
      <c r="G56" s="41"/>
      <c r="H56" s="155"/>
      <c r="I56" s="155"/>
      <c r="J56" s="156"/>
    </row>
    <row r="57" spans="1:10" ht="12.75">
      <c r="A57" s="84">
        <v>39171</v>
      </c>
      <c r="B57" s="91">
        <f t="shared" si="0"/>
        <v>2</v>
      </c>
      <c r="C57" s="138">
        <f t="shared" si="1"/>
        <v>50728000</v>
      </c>
      <c r="D57" s="138"/>
      <c r="E57" s="481">
        <v>0.0301</v>
      </c>
      <c r="F57" s="86">
        <v>415396</v>
      </c>
      <c r="G57" s="86">
        <v>135606</v>
      </c>
      <c r="H57" s="148"/>
      <c r="I57" s="148"/>
      <c r="J57" s="149"/>
    </row>
    <row r="58" spans="1:10" ht="12.75">
      <c r="A58" s="84">
        <v>39261</v>
      </c>
      <c r="B58" s="91">
        <f t="shared" si="0"/>
        <v>90</v>
      </c>
      <c r="C58" s="138">
        <f t="shared" si="1"/>
        <v>47744000</v>
      </c>
      <c r="D58" s="138">
        <f>D16</f>
        <v>2984000</v>
      </c>
      <c r="E58" s="481"/>
      <c r="F58" s="86"/>
      <c r="G58" s="86"/>
      <c r="H58" s="148"/>
      <c r="I58" s="148"/>
      <c r="J58" s="149"/>
    </row>
    <row r="59" spans="1:10" ht="12.75">
      <c r="A59" s="84">
        <v>39262</v>
      </c>
      <c r="B59" s="91">
        <f t="shared" si="0"/>
        <v>1</v>
      </c>
      <c r="C59" s="138">
        <f t="shared" si="1"/>
        <v>47744000</v>
      </c>
      <c r="D59" s="138"/>
      <c r="E59" s="481">
        <v>0.0286</v>
      </c>
      <c r="F59" s="86">
        <v>373614</v>
      </c>
      <c r="G59" s="86">
        <v>128146</v>
      </c>
      <c r="H59" s="148"/>
      <c r="I59" s="148"/>
      <c r="J59" s="149"/>
    </row>
    <row r="60" spans="1:10" ht="12.75">
      <c r="A60" s="84">
        <v>39353</v>
      </c>
      <c r="B60" s="91">
        <f t="shared" si="0"/>
        <v>91</v>
      </c>
      <c r="C60" s="138">
        <f t="shared" si="1"/>
        <v>44760000</v>
      </c>
      <c r="D60" s="138">
        <f>D16</f>
        <v>2984000</v>
      </c>
      <c r="E60" s="481"/>
      <c r="F60" s="86"/>
      <c r="G60" s="86"/>
      <c r="H60" s="148"/>
      <c r="I60" s="148"/>
      <c r="J60" s="149"/>
    </row>
    <row r="61" spans="1:10" ht="12.75">
      <c r="A61" s="84">
        <v>39353</v>
      </c>
      <c r="B61" s="91">
        <f t="shared" si="0"/>
        <v>0</v>
      </c>
      <c r="C61" s="138">
        <f t="shared" si="1"/>
        <v>44760000</v>
      </c>
      <c r="D61" s="138"/>
      <c r="E61" s="481">
        <v>0.029</v>
      </c>
      <c r="F61" s="86">
        <v>350507</v>
      </c>
      <c r="G61" s="86">
        <v>120686</v>
      </c>
      <c r="H61" s="148"/>
      <c r="I61" s="148"/>
      <c r="J61" s="149"/>
    </row>
    <row r="62" spans="1:10" ht="12.75">
      <c r="A62" s="84">
        <v>39444</v>
      </c>
      <c r="B62" s="91">
        <f t="shared" si="0"/>
        <v>91</v>
      </c>
      <c r="C62" s="138">
        <f t="shared" si="1"/>
        <v>41776000</v>
      </c>
      <c r="D62" s="138">
        <f>D16</f>
        <v>2984000</v>
      </c>
      <c r="E62" s="481"/>
      <c r="F62" s="86"/>
      <c r="G62" s="86"/>
      <c r="H62" s="148"/>
      <c r="I62" s="148"/>
      <c r="J62" s="149"/>
    </row>
    <row r="63" spans="1:10" ht="12.75">
      <c r="A63" s="97">
        <v>39445</v>
      </c>
      <c r="B63" s="98">
        <f t="shared" si="0"/>
        <v>1</v>
      </c>
      <c r="C63" s="99">
        <f t="shared" si="1"/>
        <v>41776000</v>
      </c>
      <c r="D63" s="99"/>
      <c r="E63" s="482">
        <v>0.0324</v>
      </c>
      <c r="F63" s="99">
        <v>369076</v>
      </c>
      <c r="G63" s="99">
        <v>114304</v>
      </c>
      <c r="H63" s="145">
        <f>SUM(F57:G63)</f>
        <v>2007335</v>
      </c>
      <c r="I63" s="101">
        <f>SUM(D56:D63)</f>
        <v>11936000</v>
      </c>
      <c r="J63" s="102">
        <f>SUM(H63:I63)</f>
        <v>13943335</v>
      </c>
    </row>
    <row r="64" spans="1:10" ht="12.75">
      <c r="A64" s="103">
        <v>39479</v>
      </c>
      <c r="B64" s="104">
        <f t="shared" si="0"/>
        <v>34</v>
      </c>
      <c r="C64" s="42">
        <f t="shared" si="1"/>
        <v>41776000</v>
      </c>
      <c r="D64" s="42"/>
      <c r="E64" s="480">
        <v>0.0316</v>
      </c>
      <c r="F64" s="42"/>
      <c r="G64" s="42"/>
      <c r="H64" s="140"/>
      <c r="I64" s="152"/>
      <c r="J64" s="153"/>
    </row>
    <row r="65" spans="1:10" ht="12.75">
      <c r="A65" s="90">
        <v>39535</v>
      </c>
      <c r="B65" s="91">
        <f t="shared" si="0"/>
        <v>56</v>
      </c>
      <c r="C65" s="41">
        <f t="shared" si="1"/>
        <v>38792000</v>
      </c>
      <c r="D65" s="41">
        <f>D16</f>
        <v>2984000</v>
      </c>
      <c r="E65" s="92"/>
      <c r="F65" s="41"/>
      <c r="G65" s="41"/>
      <c r="H65" s="93"/>
      <c r="I65" s="93"/>
      <c r="J65" s="94"/>
    </row>
    <row r="66" spans="1:10" ht="12.75">
      <c r="A66" s="90">
        <v>39538</v>
      </c>
      <c r="B66" s="91">
        <f t="shared" si="0"/>
        <v>3</v>
      </c>
      <c r="C66" s="41">
        <f t="shared" si="1"/>
        <v>38792000</v>
      </c>
      <c r="D66" s="154"/>
      <c r="E66" s="53">
        <f>E64</f>
        <v>0.0316</v>
      </c>
      <c r="F66" s="138">
        <v>340617</v>
      </c>
      <c r="G66" s="138">
        <v>107673</v>
      </c>
      <c r="H66" s="155"/>
      <c r="I66" s="155"/>
      <c r="J66" s="156"/>
    </row>
    <row r="67" spans="1:10" ht="12.75">
      <c r="A67" s="90">
        <v>39629</v>
      </c>
      <c r="B67" s="91">
        <f t="shared" si="0"/>
        <v>91</v>
      </c>
      <c r="C67" s="154">
        <f t="shared" si="1"/>
        <v>35808000</v>
      </c>
      <c r="D67" s="154">
        <f>D16</f>
        <v>2984000</v>
      </c>
      <c r="E67" s="53"/>
      <c r="F67" s="154"/>
      <c r="G67" s="154"/>
      <c r="H67" s="155"/>
      <c r="I67" s="155"/>
      <c r="J67" s="156"/>
    </row>
    <row r="68" spans="1:10" ht="12.75">
      <c r="A68" s="90">
        <v>39629</v>
      </c>
      <c r="B68" s="91">
        <f t="shared" si="0"/>
        <v>0</v>
      </c>
      <c r="C68" s="154">
        <f t="shared" si="1"/>
        <v>35808000</v>
      </c>
      <c r="D68" s="154"/>
      <c r="E68" s="53">
        <v>0.0324</v>
      </c>
      <c r="F68" s="138">
        <v>345443</v>
      </c>
      <c r="G68" s="138">
        <v>98058</v>
      </c>
      <c r="H68" s="155"/>
      <c r="I68" s="155"/>
      <c r="J68" s="156"/>
    </row>
    <row r="69" spans="1:10" ht="12.75">
      <c r="A69" s="84">
        <v>39630</v>
      </c>
      <c r="B69" s="91">
        <f t="shared" si="0"/>
        <v>1</v>
      </c>
      <c r="C69" s="154">
        <f t="shared" si="1"/>
        <v>35808000</v>
      </c>
      <c r="D69" s="138"/>
      <c r="E69" s="53">
        <v>0.0381</v>
      </c>
      <c r="F69" s="138"/>
      <c r="G69" s="138"/>
      <c r="H69" s="148"/>
      <c r="I69" s="148"/>
      <c r="J69" s="149"/>
    </row>
    <row r="70" spans="1:10" ht="12.75">
      <c r="A70" s="84">
        <v>39661</v>
      </c>
      <c r="B70" s="91">
        <f t="shared" si="0"/>
        <v>31</v>
      </c>
      <c r="C70" s="154">
        <f t="shared" si="1"/>
        <v>35808000</v>
      </c>
      <c r="D70" s="138"/>
      <c r="E70" s="53">
        <v>0.035</v>
      </c>
      <c r="F70" s="138"/>
      <c r="G70" s="138"/>
      <c r="H70" s="148"/>
      <c r="I70" s="148"/>
      <c r="J70" s="149"/>
    </row>
    <row r="71" spans="1:10" ht="12.75">
      <c r="A71" s="84">
        <v>39719</v>
      </c>
      <c r="B71" s="91">
        <f t="shared" si="0"/>
        <v>58</v>
      </c>
      <c r="C71" s="154">
        <f t="shared" si="1"/>
        <v>32824000</v>
      </c>
      <c r="D71" s="138">
        <f>D16</f>
        <v>2984000</v>
      </c>
      <c r="E71" s="53"/>
      <c r="F71" s="138"/>
      <c r="G71" s="138"/>
      <c r="H71" s="148"/>
      <c r="I71" s="148"/>
      <c r="J71" s="149"/>
    </row>
    <row r="72" spans="1:10" ht="12.75">
      <c r="A72" s="84">
        <v>39721</v>
      </c>
      <c r="B72" s="91">
        <f t="shared" si="0"/>
        <v>2</v>
      </c>
      <c r="C72" s="138">
        <f t="shared" si="1"/>
        <v>32824000</v>
      </c>
      <c r="D72" s="138"/>
      <c r="E72" s="53">
        <v>0.035</v>
      </c>
      <c r="F72" s="138">
        <v>322677</v>
      </c>
      <c r="G72" s="138">
        <v>91426</v>
      </c>
      <c r="H72" s="148"/>
      <c r="I72" s="148"/>
      <c r="J72" s="149"/>
    </row>
    <row r="73" spans="1:10" ht="12.75">
      <c r="A73" s="84">
        <v>39810</v>
      </c>
      <c r="B73" s="91">
        <f t="shared" si="0"/>
        <v>89</v>
      </c>
      <c r="C73" s="138">
        <f t="shared" si="1"/>
        <v>29840000</v>
      </c>
      <c r="D73" s="138">
        <f>D16</f>
        <v>2984000</v>
      </c>
      <c r="E73" s="53"/>
      <c r="F73" s="138"/>
      <c r="G73" s="138"/>
      <c r="H73" s="148"/>
      <c r="I73" s="148"/>
      <c r="J73" s="149"/>
    </row>
    <row r="74" spans="1:10" ht="12.75">
      <c r="A74" s="97">
        <v>39813</v>
      </c>
      <c r="B74" s="98">
        <f t="shared" si="0"/>
        <v>3</v>
      </c>
      <c r="C74" s="144">
        <f t="shared" si="1"/>
        <v>29840000</v>
      </c>
      <c r="D74" s="144"/>
      <c r="E74" s="100">
        <v>0.028</v>
      </c>
      <c r="F74" s="138">
        <f>((C73+D73)*E74/360*B73)+((C74+D74)*E74/360*B74)</f>
        <v>234177.68888888886</v>
      </c>
      <c r="G74" s="138">
        <f>((C73+D73)*$D$3/360*B73)+((C74+D74)*$D$3/360*B74)</f>
        <v>83634.8888888889</v>
      </c>
      <c r="H74" s="145">
        <f>SUM(F66:G74)</f>
        <v>1623706.5777777778</v>
      </c>
      <c r="I74" s="145">
        <f>SUM(D65:D74)</f>
        <v>11936000</v>
      </c>
      <c r="J74" s="146">
        <f>SUM(H74:I74)</f>
        <v>13559706.577777777</v>
      </c>
    </row>
    <row r="75" spans="1:10" ht="12.75">
      <c r="A75" s="103">
        <v>39900</v>
      </c>
      <c r="B75" s="85">
        <f t="shared" si="0"/>
        <v>87</v>
      </c>
      <c r="C75" s="139">
        <f t="shared" si="1"/>
        <v>26856000</v>
      </c>
      <c r="D75" s="138">
        <f>D16</f>
        <v>2984000</v>
      </c>
      <c r="E75" s="53"/>
      <c r="F75" s="139"/>
      <c r="G75" s="139"/>
      <c r="H75" s="140"/>
      <c r="I75" s="140"/>
      <c r="J75" s="141"/>
    </row>
    <row r="76" spans="1:10" ht="12.75">
      <c r="A76" s="84">
        <v>39903</v>
      </c>
      <c r="B76" s="91">
        <f t="shared" si="0"/>
        <v>3</v>
      </c>
      <c r="C76" s="138">
        <f t="shared" si="1"/>
        <v>26856000</v>
      </c>
      <c r="D76" s="138"/>
      <c r="E76" s="53">
        <f>E74</f>
        <v>0.028</v>
      </c>
      <c r="F76" s="138">
        <f>((C75+D75)*E76/360*B75)+((C76+D76)*E76/360*B76)</f>
        <v>208183.7333333333</v>
      </c>
      <c r="G76" s="138">
        <f>((C75+D75)*$D$3/360*B75)+((C76+D76)*$D$3/360*B76)</f>
        <v>74351.33333333333</v>
      </c>
      <c r="H76" s="148"/>
      <c r="I76" s="148"/>
      <c r="J76" s="149"/>
    </row>
    <row r="77" spans="1:10" ht="12.75">
      <c r="A77" s="84">
        <v>39992</v>
      </c>
      <c r="B77" s="91">
        <f t="shared" si="0"/>
        <v>89</v>
      </c>
      <c r="C77" s="138">
        <f t="shared" si="1"/>
        <v>23872000</v>
      </c>
      <c r="D77" s="138">
        <f>D16</f>
        <v>2984000</v>
      </c>
      <c r="E77" s="53"/>
      <c r="F77" s="138"/>
      <c r="G77" s="154"/>
      <c r="H77" s="148"/>
      <c r="I77" s="148"/>
      <c r="J77" s="149"/>
    </row>
    <row r="78" spans="1:10" ht="12.75">
      <c r="A78" s="84">
        <v>39994</v>
      </c>
      <c r="B78" s="91">
        <f t="shared" si="0"/>
        <v>2</v>
      </c>
      <c r="C78" s="138">
        <f t="shared" si="1"/>
        <v>23872000</v>
      </c>
      <c r="D78" s="138"/>
      <c r="E78" s="53">
        <f>E76</f>
        <v>0.028</v>
      </c>
      <c r="F78" s="138">
        <f>((C77+D77)*E78/360*B77)+((C78+D78)*E78/360*B78)</f>
        <v>189616.62222222224</v>
      </c>
      <c r="G78" s="138">
        <f>((C77+D77)*$D$3/360*B77)+((C78+D78)*$D$3/360*B78)</f>
        <v>67720.22222222222</v>
      </c>
      <c r="H78" s="148"/>
      <c r="I78" s="148"/>
      <c r="J78" s="149"/>
    </row>
    <row r="79" spans="1:10" ht="12.75">
      <c r="A79" s="84">
        <v>40084</v>
      </c>
      <c r="B79" s="91">
        <f t="shared" si="0"/>
        <v>90</v>
      </c>
      <c r="C79" s="138">
        <f t="shared" si="1"/>
        <v>20888000</v>
      </c>
      <c r="D79" s="138">
        <f>D16</f>
        <v>2984000</v>
      </c>
      <c r="E79" s="53"/>
      <c r="F79" s="138"/>
      <c r="G79" s="138"/>
      <c r="H79" s="148"/>
      <c r="I79" s="148"/>
      <c r="J79" s="149"/>
    </row>
    <row r="80" spans="1:10" ht="12.75">
      <c r="A80" s="84">
        <v>40086</v>
      </c>
      <c r="B80" s="91">
        <f t="shared" si="0"/>
        <v>2</v>
      </c>
      <c r="C80" s="138">
        <f t="shared" si="1"/>
        <v>20888000</v>
      </c>
      <c r="D80" s="138"/>
      <c r="E80" s="53">
        <f>E78</f>
        <v>0.028</v>
      </c>
      <c r="F80" s="138">
        <f>((C79+D79)*E80/360*B79)+((C80+D80)*E80/360*B80)</f>
        <v>170353.24444444446</v>
      </c>
      <c r="G80" s="138">
        <f>((C79+D79)*$D$3/360*B79)+((C80+D80)*$D$3/360*B80)</f>
        <v>60840.444444444445</v>
      </c>
      <c r="H80" s="148"/>
      <c r="I80" s="148"/>
      <c r="J80" s="149"/>
    </row>
    <row r="81" spans="1:10" ht="12.75">
      <c r="A81" s="84">
        <v>40175</v>
      </c>
      <c r="B81" s="91">
        <f t="shared" si="0"/>
        <v>89</v>
      </c>
      <c r="C81" s="138">
        <f t="shared" si="1"/>
        <v>17904000</v>
      </c>
      <c r="D81" s="138">
        <f>D16</f>
        <v>2984000</v>
      </c>
      <c r="E81" s="53"/>
      <c r="F81" s="138"/>
      <c r="G81" s="138"/>
      <c r="H81" s="148"/>
      <c r="I81" s="148"/>
      <c r="J81" s="149"/>
    </row>
    <row r="82" spans="1:10" ht="12.75">
      <c r="A82" s="97">
        <v>40178</v>
      </c>
      <c r="B82" s="98">
        <f t="shared" si="0"/>
        <v>3</v>
      </c>
      <c r="C82" s="144">
        <f t="shared" si="1"/>
        <v>17904000</v>
      </c>
      <c r="D82" s="144"/>
      <c r="E82" s="100">
        <f>E80</f>
        <v>0.028</v>
      </c>
      <c r="F82" s="144">
        <f>((C81+D81)*E82/360*B81)+((C82+D82)*E82/360*B82)</f>
        <v>148768.9777777778</v>
      </c>
      <c r="G82" s="138">
        <f>((C81+D81)*$D$3/360*B81)+((C82+D82)*$D$3/360*B82)</f>
        <v>53131.777777777774</v>
      </c>
      <c r="H82" s="145">
        <f>SUM(F76:G82)</f>
        <v>972966.3555555557</v>
      </c>
      <c r="I82" s="145">
        <f>SUM(D75:D82)</f>
        <v>11936000</v>
      </c>
      <c r="J82" s="146">
        <f>SUM(H82:I82)</f>
        <v>12908966.355555555</v>
      </c>
    </row>
    <row r="83" spans="1:10" ht="12.75">
      <c r="A83" s="103">
        <v>40265</v>
      </c>
      <c r="B83" s="104">
        <f t="shared" si="0"/>
        <v>87</v>
      </c>
      <c r="C83" s="139">
        <f t="shared" si="1"/>
        <v>14920000</v>
      </c>
      <c r="D83" s="139">
        <f>D16</f>
        <v>2984000</v>
      </c>
      <c r="E83" s="257"/>
      <c r="F83" s="139"/>
      <c r="G83" s="139"/>
      <c r="H83" s="140"/>
      <c r="I83" s="140"/>
      <c r="J83" s="141"/>
    </row>
    <row r="84" spans="1:10" ht="12.75">
      <c r="A84" s="84">
        <v>40268</v>
      </c>
      <c r="B84" s="91">
        <f aca="true" t="shared" si="2" ref="B84:B93">A84-A83</f>
        <v>3</v>
      </c>
      <c r="C84" s="138">
        <f t="shared" si="1"/>
        <v>14920000</v>
      </c>
      <c r="D84" s="138"/>
      <c r="E84" s="53">
        <f>E82</f>
        <v>0.028</v>
      </c>
      <c r="F84" s="138">
        <f>((C83+D83)*E84/360*B83)+((C84+D84)*E84/360*B84)</f>
        <v>124631.73333333332</v>
      </c>
      <c r="G84" s="138">
        <f>((C83+D83)*$D$3/360*B83)+((C84+D84)*$D$3/360*B84)</f>
        <v>44511.333333333336</v>
      </c>
      <c r="H84" s="148"/>
      <c r="I84" s="148"/>
      <c r="J84" s="149"/>
    </row>
    <row r="85" spans="1:10" ht="12.75">
      <c r="A85" s="84">
        <v>40357</v>
      </c>
      <c r="B85" s="91">
        <f t="shared" si="2"/>
        <v>89</v>
      </c>
      <c r="C85" s="138">
        <f aca="true" t="shared" si="3" ref="C85:C93">C84-D85</f>
        <v>11936000</v>
      </c>
      <c r="D85" s="138">
        <f>D16</f>
        <v>2984000</v>
      </c>
      <c r="E85" s="53"/>
      <c r="F85" s="138"/>
      <c r="G85" s="154"/>
      <c r="H85" s="148"/>
      <c r="I85" s="148"/>
      <c r="J85" s="149"/>
    </row>
    <row r="86" spans="1:10" ht="12.75">
      <c r="A86" s="84">
        <v>40359</v>
      </c>
      <c r="B86" s="91">
        <f t="shared" si="2"/>
        <v>2</v>
      </c>
      <c r="C86" s="138">
        <f t="shared" si="3"/>
        <v>11936000</v>
      </c>
      <c r="D86" s="138"/>
      <c r="E86" s="53">
        <f>E84</f>
        <v>0.028</v>
      </c>
      <c r="F86" s="138">
        <f>((C85+D85)*E86/360*B85)+((C86+D86)*E86/360*B86)</f>
        <v>105136.26666666666</v>
      </c>
      <c r="G86" s="138">
        <f>((C85+D85)*$D$3/360*B85)+((C86+D86)*$D$3/360*B86)</f>
        <v>37548.666666666664</v>
      </c>
      <c r="H86" s="148"/>
      <c r="I86" s="148"/>
      <c r="J86" s="149"/>
    </row>
    <row r="87" spans="1:10" ht="12.75">
      <c r="A87" s="84">
        <v>40449</v>
      </c>
      <c r="B87" s="91">
        <f t="shared" si="2"/>
        <v>90</v>
      </c>
      <c r="C87" s="138">
        <f t="shared" si="3"/>
        <v>8952000</v>
      </c>
      <c r="D87" s="138">
        <f>D16</f>
        <v>2984000</v>
      </c>
      <c r="E87" s="53"/>
      <c r="F87" s="138"/>
      <c r="G87" s="138"/>
      <c r="H87" s="148"/>
      <c r="I87" s="148"/>
      <c r="J87" s="149"/>
    </row>
    <row r="88" spans="1:10" ht="12.75">
      <c r="A88" s="84">
        <v>40451</v>
      </c>
      <c r="B88" s="91">
        <f t="shared" si="2"/>
        <v>2</v>
      </c>
      <c r="C88" s="138">
        <f t="shared" si="3"/>
        <v>8952000</v>
      </c>
      <c r="D88" s="138"/>
      <c r="E88" s="53">
        <f>E86</f>
        <v>0.028</v>
      </c>
      <c r="F88" s="138">
        <f>((C87+D87)*E88/360*B87)+((C88+D88)*E88/360*B88)</f>
        <v>84944.53333333334</v>
      </c>
      <c r="G88" s="138">
        <f>((C87+D87)*$D$3/360*B87)+((C88+D88)*$D$3/360*B88)</f>
        <v>30337.333333333332</v>
      </c>
      <c r="H88" s="148"/>
      <c r="I88" s="148"/>
      <c r="J88" s="149"/>
    </row>
    <row r="89" spans="1:10" ht="12.75">
      <c r="A89" s="84">
        <v>40540</v>
      </c>
      <c r="B89" s="91">
        <f t="shared" si="2"/>
        <v>89</v>
      </c>
      <c r="C89" s="138">
        <f t="shared" si="3"/>
        <v>5968000</v>
      </c>
      <c r="D89" s="138">
        <f>D16</f>
        <v>2984000</v>
      </c>
      <c r="E89" s="53"/>
      <c r="F89" s="138"/>
      <c r="G89" s="138"/>
      <c r="H89" s="148"/>
      <c r="I89" s="148"/>
      <c r="J89" s="149"/>
    </row>
    <row r="90" spans="1:10" ht="12.75">
      <c r="A90" s="97">
        <v>40543</v>
      </c>
      <c r="B90" s="98">
        <f t="shared" si="2"/>
        <v>3</v>
      </c>
      <c r="C90" s="144">
        <f t="shared" si="3"/>
        <v>5968000</v>
      </c>
      <c r="D90" s="144"/>
      <c r="E90" s="100">
        <f>E88</f>
        <v>0.028</v>
      </c>
      <c r="F90" s="138">
        <f>((C89+D89)*E90/360*B89)+((C90+D90)*E90/360*B90)</f>
        <v>63360.26666666666</v>
      </c>
      <c r="G90" s="138">
        <f>((C89+D89)*$D$3/360*B89)+((C90+D90)*$D$3/360*B90)</f>
        <v>22628.666666666664</v>
      </c>
      <c r="H90" s="145">
        <f>SUM(F84:G90)</f>
        <v>513098.8</v>
      </c>
      <c r="I90" s="145">
        <f>SUM(D83:D90)</f>
        <v>11936000</v>
      </c>
      <c r="J90" s="146">
        <f>SUM(H90:I90)</f>
        <v>12449098.8</v>
      </c>
    </row>
    <row r="91" spans="1:10" ht="12.75">
      <c r="A91" s="103">
        <v>40630</v>
      </c>
      <c r="B91" s="85">
        <f t="shared" si="2"/>
        <v>87</v>
      </c>
      <c r="C91" s="139">
        <f t="shared" si="3"/>
        <v>2984000</v>
      </c>
      <c r="D91" s="138">
        <f>D16</f>
        <v>2984000</v>
      </c>
      <c r="E91" s="53"/>
      <c r="F91" s="139"/>
      <c r="G91" s="139"/>
      <c r="H91" s="140"/>
      <c r="I91" s="140"/>
      <c r="J91" s="141"/>
    </row>
    <row r="92" spans="1:10" ht="12.75">
      <c r="A92" s="84">
        <v>40633</v>
      </c>
      <c r="B92" s="91">
        <f t="shared" si="2"/>
        <v>3</v>
      </c>
      <c r="C92" s="138">
        <f t="shared" si="3"/>
        <v>2984000</v>
      </c>
      <c r="D92" s="138"/>
      <c r="E92" s="53">
        <f>E90</f>
        <v>0.028</v>
      </c>
      <c r="F92" s="138">
        <f>((C91+D91)*E92/360*B91)+((C92+D92)*E92/360*B92)</f>
        <v>41079.73333333334</v>
      </c>
      <c r="G92" s="138">
        <f>((C91+D91)*$D$3/360*B91)+((C92+D92)*$D$3/360*B92)</f>
        <v>14671.333333333332</v>
      </c>
      <c r="H92" s="148"/>
      <c r="I92" s="148"/>
      <c r="J92" s="149"/>
    </row>
    <row r="93" spans="1:10" ht="13.5" thickBot="1">
      <c r="A93" s="84">
        <v>40722</v>
      </c>
      <c r="B93" s="91">
        <f t="shared" si="2"/>
        <v>89</v>
      </c>
      <c r="C93" s="138">
        <f t="shared" si="3"/>
        <v>0</v>
      </c>
      <c r="D93" s="138">
        <f>D16</f>
        <v>2984000</v>
      </c>
      <c r="E93" s="53">
        <f>E92</f>
        <v>0.028</v>
      </c>
      <c r="F93" s="138">
        <f>((C93+D93)*E93/360*B93)</f>
        <v>20655.911111111112</v>
      </c>
      <c r="G93" s="138">
        <f>((C93+D93)*$D$3/360*B93)</f>
        <v>7377.11111111111</v>
      </c>
      <c r="H93" s="148">
        <f>SUM(F91:G93)</f>
        <v>83784.08888888889</v>
      </c>
      <c r="I93" s="148">
        <f>SUM(D91:D93)</f>
        <v>5968000</v>
      </c>
      <c r="J93" s="149">
        <f>SUM(H93:I93)</f>
        <v>6051784.088888889</v>
      </c>
    </row>
    <row r="94" spans="1:10" ht="13.5" thickTop="1">
      <c r="A94" s="157" t="s">
        <v>14</v>
      </c>
      <c r="B94" s="158"/>
      <c r="C94" s="159"/>
      <c r="D94" s="160">
        <f>SUM(D8:D93)</f>
        <v>107411000</v>
      </c>
      <c r="E94" s="160"/>
      <c r="F94" s="160">
        <f>SUM(F8:F93)</f>
        <v>18218025.711111117</v>
      </c>
      <c r="G94" s="160">
        <f>SUM(G8:G93)</f>
        <v>4494980.111111111</v>
      </c>
      <c r="H94" s="160">
        <f>SUM(H8:H93)</f>
        <v>22713005.82222222</v>
      </c>
      <c r="I94" s="160">
        <f>SUM(I8:I93)</f>
        <v>107411000</v>
      </c>
      <c r="J94" s="161">
        <f>SUM(J8:J93)</f>
        <v>130124005.8222222</v>
      </c>
    </row>
    <row r="96" ht="12.75">
      <c r="A96" s="162"/>
    </row>
    <row r="98" spans="3:7" ht="12.75">
      <c r="C98" s="121"/>
      <c r="D98" s="121"/>
      <c r="F98" s="121"/>
      <c r="G98" s="121"/>
    </row>
    <row r="99" spans="3:7" ht="12.75">
      <c r="C99" s="121"/>
      <c r="D99" s="121"/>
      <c r="F99" s="121"/>
      <c r="G99" s="121"/>
    </row>
    <row r="100" spans="3:4" ht="12.75">
      <c r="C100" s="121"/>
      <c r="D100" s="121"/>
    </row>
    <row r="101" spans="3:4" ht="12.75">
      <c r="C101" s="121"/>
      <c r="D101" s="121"/>
    </row>
    <row r="102" spans="3:7" ht="12.75">
      <c r="C102" s="121"/>
      <c r="D102" s="121"/>
      <c r="F102" s="121"/>
      <c r="G102" s="121"/>
    </row>
  </sheetData>
  <sheetProtection/>
  <printOptions horizontalCentered="1"/>
  <pageMargins left="0.5905511811023623" right="0.3937007874015748" top="0.7874015748031497" bottom="0.5905511811023623" header="0.1968503937007874" footer="0.1968503937007874"/>
  <pageSetup blackAndWhite="1" horizontalDpi="300" verticalDpi="300" orientation="portrait" paperSize="9" scale="80" r:id="rId1"/>
  <headerFooter alignWithMargins="0">
    <oddHeader xml:space="preserve">&amp;C&amp;"Times New Roman CE,Félkövér"&amp;12Adósságszolgálat számítása az OTP tájékoztatása alapján&amp;"Times New Roman CE,Félkövér dőlt"
69 db bérlakás építésére 2001. decemberben felvett 107.411 eFt hitel </oddHeader>
    <oddFooter>&amp;L&amp;9&amp;D
C:\Andi\adósságszolgálat\&amp;F\&amp;A&amp;R&amp;P/&amp;N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pane ySplit="7" topLeftCell="BM51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10.50390625" style="58" customWidth="1"/>
    <col min="2" max="2" width="6.125" style="58" customWidth="1"/>
    <col min="3" max="3" width="11.50390625" style="58" customWidth="1"/>
    <col min="4" max="4" width="13.00390625" style="58" customWidth="1"/>
    <col min="5" max="5" width="6.50390625" style="122" customWidth="1"/>
    <col min="6" max="6" width="11.50390625" style="58" customWidth="1"/>
    <col min="7" max="7" width="10.375" style="58" bestFit="1" customWidth="1"/>
    <col min="8" max="8" width="11.125" style="58" customWidth="1"/>
    <col min="9" max="10" width="12.625" style="58" customWidth="1"/>
    <col min="11" max="11" width="1.875" style="58" customWidth="1"/>
    <col min="12" max="16384" width="9.375" style="58" customWidth="1"/>
  </cols>
  <sheetData>
    <row r="1" spans="1:10" ht="12.75">
      <c r="A1" s="163" t="s">
        <v>244</v>
      </c>
      <c r="B1" s="162"/>
      <c r="C1" s="163"/>
      <c r="D1" s="163"/>
      <c r="E1" s="164"/>
      <c r="F1" s="163"/>
      <c r="G1" s="163"/>
      <c r="I1" s="163"/>
      <c r="J1" s="163"/>
    </row>
    <row r="2" spans="1:10" ht="12.75">
      <c r="A2" s="58" t="s">
        <v>40</v>
      </c>
      <c r="B2" s="133"/>
      <c r="C2" s="132"/>
      <c r="D2" s="132"/>
      <c r="E2" s="165"/>
      <c r="F2" s="132"/>
      <c r="G2" s="132"/>
      <c r="H2" s="132"/>
      <c r="I2" s="132"/>
      <c r="J2" s="132"/>
    </row>
    <row r="3" spans="1:10" ht="12.75">
      <c r="A3" s="135" t="s">
        <v>43</v>
      </c>
      <c r="B3" s="133"/>
      <c r="C3" s="132"/>
      <c r="D3" s="132"/>
      <c r="E3" s="165"/>
      <c r="F3" s="132"/>
      <c r="G3" s="132"/>
      <c r="H3" s="132"/>
      <c r="I3" s="132"/>
      <c r="J3" s="132"/>
    </row>
    <row r="4" spans="2:10" ht="12.75">
      <c r="B4" s="133"/>
      <c r="C4" s="478" t="s">
        <v>269</v>
      </c>
      <c r="D4" s="479">
        <v>0.01</v>
      </c>
      <c r="E4" s="165"/>
      <c r="F4" s="132"/>
      <c r="G4" s="132"/>
      <c r="H4" s="132"/>
      <c r="I4" s="132"/>
      <c r="J4" s="132"/>
    </row>
    <row r="5" spans="1:10" ht="12.75">
      <c r="A5" s="66" t="s">
        <v>3</v>
      </c>
      <c r="B5" s="67" t="s">
        <v>4</v>
      </c>
      <c r="C5" s="68" t="s">
        <v>5</v>
      </c>
      <c r="D5" s="68" t="s">
        <v>33</v>
      </c>
      <c r="E5" s="166" t="s">
        <v>20</v>
      </c>
      <c r="F5" s="68" t="s">
        <v>20</v>
      </c>
      <c r="G5" s="68" t="s">
        <v>104</v>
      </c>
      <c r="H5" s="70" t="s">
        <v>6</v>
      </c>
      <c r="I5" s="70" t="s">
        <v>6</v>
      </c>
      <c r="J5" s="71" t="s">
        <v>6</v>
      </c>
    </row>
    <row r="6" spans="1:10" ht="12.75">
      <c r="A6" s="72"/>
      <c r="B6" s="73" t="s">
        <v>7</v>
      </c>
      <c r="C6" s="74" t="s">
        <v>8</v>
      </c>
      <c r="D6" s="74"/>
      <c r="E6" s="167" t="s">
        <v>57</v>
      </c>
      <c r="F6" s="296" t="s">
        <v>13</v>
      </c>
      <c r="G6" s="74" t="s">
        <v>105</v>
      </c>
      <c r="H6" s="76" t="s">
        <v>9</v>
      </c>
      <c r="I6" s="76" t="s">
        <v>11</v>
      </c>
      <c r="J6" s="77" t="s">
        <v>10</v>
      </c>
    </row>
    <row r="7" spans="1:10" ht="12.75">
      <c r="A7" s="78"/>
      <c r="B7" s="79"/>
      <c r="C7" s="80"/>
      <c r="D7" s="80"/>
      <c r="E7" s="169" t="s">
        <v>41</v>
      </c>
      <c r="F7" s="297"/>
      <c r="G7" s="80"/>
      <c r="H7" s="458" t="s">
        <v>274</v>
      </c>
      <c r="I7" s="82" t="s">
        <v>13</v>
      </c>
      <c r="J7" s="83" t="s">
        <v>12</v>
      </c>
    </row>
    <row r="8" spans="1:10" ht="12.75">
      <c r="A8" s="84">
        <v>37586</v>
      </c>
      <c r="B8" s="104"/>
      <c r="C8" s="138">
        <v>124412000</v>
      </c>
      <c r="D8" s="138"/>
      <c r="E8" s="170"/>
      <c r="F8" s="138"/>
      <c r="G8" s="138"/>
      <c r="H8" s="148"/>
      <c r="I8" s="148"/>
      <c r="J8" s="149"/>
    </row>
    <row r="9" spans="1:10" ht="12.75">
      <c r="A9" s="142">
        <v>37621</v>
      </c>
      <c r="B9" s="108">
        <f>A9-A8</f>
        <v>35</v>
      </c>
      <c r="C9" s="171">
        <f>C8-D9</f>
        <v>124412000</v>
      </c>
      <c r="D9" s="143"/>
      <c r="E9" s="475">
        <v>0.0322</v>
      </c>
      <c r="F9" s="107">
        <v>399224</v>
      </c>
      <c r="G9" s="107">
        <v>0</v>
      </c>
      <c r="H9" s="150">
        <f>SUM(F8:G9)</f>
        <v>399224</v>
      </c>
      <c r="I9" s="150">
        <f>SUM(D8:D9)</f>
        <v>0</v>
      </c>
      <c r="J9" s="151">
        <f>SUM(H9:I9)</f>
        <v>399224</v>
      </c>
    </row>
    <row r="10" spans="1:10" ht="12.75">
      <c r="A10" s="103">
        <v>37711</v>
      </c>
      <c r="B10" s="173">
        <f aca="true" t="shared" si="0" ref="B10:B24">A10-A9</f>
        <v>90</v>
      </c>
      <c r="C10" s="42">
        <f aca="true" t="shared" si="1" ref="C10:C84">C9-D10</f>
        <v>124412000</v>
      </c>
      <c r="D10" s="139"/>
      <c r="E10" s="477">
        <v>0.0269</v>
      </c>
      <c r="F10" s="42">
        <v>694426</v>
      </c>
      <c r="G10" s="42">
        <v>311030</v>
      </c>
      <c r="H10" s="140"/>
      <c r="I10" s="140"/>
      <c r="J10" s="141"/>
    </row>
    <row r="11" spans="1:10" ht="12.75">
      <c r="A11" s="84">
        <v>37802</v>
      </c>
      <c r="B11" s="108">
        <f t="shared" si="0"/>
        <v>91</v>
      </c>
      <c r="C11" s="86">
        <f t="shared" si="1"/>
        <v>124412000</v>
      </c>
      <c r="D11" s="138"/>
      <c r="E11" s="474">
        <v>0.0256</v>
      </c>
      <c r="F11" s="86">
        <v>617809</v>
      </c>
      <c r="G11" s="86">
        <v>314486</v>
      </c>
      <c r="H11" s="148"/>
      <c r="I11" s="148"/>
      <c r="J11" s="149"/>
    </row>
    <row r="12" spans="1:10" ht="12.75">
      <c r="A12" s="84">
        <v>37892</v>
      </c>
      <c r="B12" s="108">
        <f t="shared" si="0"/>
        <v>90</v>
      </c>
      <c r="C12" s="86">
        <f t="shared" si="1"/>
        <v>121442000</v>
      </c>
      <c r="D12" s="138">
        <v>2970000</v>
      </c>
      <c r="E12" s="474"/>
      <c r="F12" s="86"/>
      <c r="G12" s="86"/>
      <c r="H12" s="148"/>
      <c r="I12" s="148"/>
      <c r="J12" s="149"/>
    </row>
    <row r="13" spans="1:10" ht="12.75">
      <c r="A13" s="84">
        <v>37894</v>
      </c>
      <c r="B13" s="108">
        <f t="shared" si="0"/>
        <v>2</v>
      </c>
      <c r="C13" s="86">
        <f t="shared" si="1"/>
        <v>121442000</v>
      </c>
      <c r="D13" s="138"/>
      <c r="E13" s="474">
        <v>0.0484</v>
      </c>
      <c r="F13" s="86">
        <v>1530160</v>
      </c>
      <c r="G13" s="86">
        <v>317777</v>
      </c>
      <c r="H13" s="148"/>
      <c r="I13" s="148"/>
      <c r="J13" s="149"/>
    </row>
    <row r="14" spans="1:10" ht="12.75">
      <c r="A14" s="84">
        <v>37983</v>
      </c>
      <c r="B14" s="108">
        <f t="shared" si="0"/>
        <v>89</v>
      </c>
      <c r="C14" s="86">
        <f t="shared" si="1"/>
        <v>118480000</v>
      </c>
      <c r="D14" s="138">
        <v>2962000</v>
      </c>
      <c r="E14" s="474"/>
      <c r="F14" s="86"/>
      <c r="G14" s="86"/>
      <c r="H14" s="148"/>
      <c r="I14" s="148"/>
      <c r="J14" s="149"/>
    </row>
    <row r="15" spans="1:10" ht="12.75">
      <c r="A15" s="142">
        <v>37986</v>
      </c>
      <c r="B15" s="98">
        <f t="shared" si="0"/>
        <v>3</v>
      </c>
      <c r="C15" s="175">
        <f t="shared" si="1"/>
        <v>118480000</v>
      </c>
      <c r="D15" s="143"/>
      <c r="E15" s="475">
        <v>0.047</v>
      </c>
      <c r="F15" s="86">
        <v>1489338</v>
      </c>
      <c r="G15" s="86">
        <v>310105</v>
      </c>
      <c r="H15" s="150">
        <f>SUM(F10:G15)</f>
        <v>5585131</v>
      </c>
      <c r="I15" s="150">
        <f>SUM(D10:D15)</f>
        <v>5932000</v>
      </c>
      <c r="J15" s="151">
        <f>SUM(H15:I15)</f>
        <v>11517131</v>
      </c>
    </row>
    <row r="16" spans="1:10" ht="12.75">
      <c r="A16" s="103">
        <v>38074</v>
      </c>
      <c r="B16" s="112">
        <f t="shared" si="0"/>
        <v>88</v>
      </c>
      <c r="C16" s="138">
        <f t="shared" si="1"/>
        <v>115518000</v>
      </c>
      <c r="D16" s="138">
        <f>D14</f>
        <v>2962000</v>
      </c>
      <c r="E16" s="474"/>
      <c r="F16" s="42"/>
      <c r="G16" s="42"/>
      <c r="H16" s="140"/>
      <c r="I16" s="140"/>
      <c r="J16" s="141"/>
    </row>
    <row r="17" spans="1:10" ht="12.75">
      <c r="A17" s="84">
        <v>38077</v>
      </c>
      <c r="B17" s="108">
        <f t="shared" si="0"/>
        <v>3</v>
      </c>
      <c r="C17" s="138">
        <f t="shared" si="1"/>
        <v>115518000</v>
      </c>
      <c r="D17" s="138"/>
      <c r="E17" s="474">
        <v>0.05</v>
      </c>
      <c r="F17" s="86">
        <v>1495645</v>
      </c>
      <c r="G17" s="86">
        <v>299327</v>
      </c>
      <c r="H17" s="148"/>
      <c r="I17" s="148"/>
      <c r="J17" s="149"/>
    </row>
    <row r="18" spans="1:10" ht="12.75">
      <c r="A18" s="84">
        <v>38166</v>
      </c>
      <c r="B18" s="108">
        <f>A18-A17</f>
        <v>89</v>
      </c>
      <c r="C18" s="138">
        <f t="shared" si="1"/>
        <v>112556000</v>
      </c>
      <c r="D18" s="138">
        <f>D16</f>
        <v>2962000</v>
      </c>
      <c r="E18" s="474"/>
      <c r="F18" s="86"/>
      <c r="G18" s="86"/>
      <c r="H18" s="148"/>
      <c r="I18" s="148"/>
      <c r="J18" s="149"/>
    </row>
    <row r="19" spans="1:10" ht="12.75">
      <c r="A19" s="84">
        <v>38168</v>
      </c>
      <c r="B19" s="108">
        <f t="shared" si="0"/>
        <v>2</v>
      </c>
      <c r="C19" s="138">
        <f t="shared" si="1"/>
        <v>112556000</v>
      </c>
      <c r="D19" s="138"/>
      <c r="E19" s="474">
        <v>0.05</v>
      </c>
      <c r="F19" s="86">
        <v>1459196</v>
      </c>
      <c r="G19" s="86">
        <v>291839</v>
      </c>
      <c r="H19" s="148"/>
      <c r="I19" s="148"/>
      <c r="J19" s="149"/>
    </row>
    <row r="20" spans="1:10" ht="12.75">
      <c r="A20" s="84">
        <v>38258</v>
      </c>
      <c r="B20" s="108">
        <f t="shared" si="0"/>
        <v>90</v>
      </c>
      <c r="C20" s="138">
        <f t="shared" si="1"/>
        <v>109594000</v>
      </c>
      <c r="D20" s="138">
        <f>D18</f>
        <v>2962000</v>
      </c>
      <c r="E20" s="474"/>
      <c r="F20" s="86"/>
      <c r="G20" s="86"/>
      <c r="H20" s="148"/>
      <c r="I20" s="148"/>
      <c r="J20" s="149"/>
    </row>
    <row r="21" spans="1:10" ht="12.75">
      <c r="A21" s="84">
        <v>38260</v>
      </c>
      <c r="B21" s="108">
        <f t="shared" si="0"/>
        <v>2</v>
      </c>
      <c r="C21" s="138">
        <f t="shared" si="1"/>
        <v>109594000</v>
      </c>
      <c r="D21" s="138"/>
      <c r="E21" s="474">
        <f>E19</f>
        <v>0.05</v>
      </c>
      <c r="F21" s="86">
        <v>1437393</v>
      </c>
      <c r="G21" s="86">
        <v>287479</v>
      </c>
      <c r="H21" s="148"/>
      <c r="I21" s="148"/>
      <c r="J21" s="149"/>
    </row>
    <row r="22" spans="1:10" ht="12.75">
      <c r="A22" s="84">
        <v>38349</v>
      </c>
      <c r="B22" s="108">
        <f t="shared" si="0"/>
        <v>89</v>
      </c>
      <c r="C22" s="138">
        <f t="shared" si="1"/>
        <v>106632000</v>
      </c>
      <c r="D22" s="138">
        <f>D20</f>
        <v>2962000</v>
      </c>
      <c r="E22" s="474"/>
      <c r="F22" s="86"/>
      <c r="G22" s="86"/>
      <c r="H22" s="148"/>
      <c r="I22" s="148"/>
      <c r="J22" s="149"/>
    </row>
    <row r="23" spans="1:10" ht="12.75">
      <c r="A23" s="142">
        <v>38352</v>
      </c>
      <c r="B23" s="108">
        <f t="shared" si="0"/>
        <v>3</v>
      </c>
      <c r="C23" s="171">
        <f t="shared" si="1"/>
        <v>106632000</v>
      </c>
      <c r="D23" s="143"/>
      <c r="E23" s="475">
        <v>0.0308</v>
      </c>
      <c r="F23" s="99">
        <v>867711</v>
      </c>
      <c r="G23" s="99">
        <v>279827</v>
      </c>
      <c r="H23" s="150">
        <f>SUM(F16:G23)</f>
        <v>6418417</v>
      </c>
      <c r="I23" s="150">
        <f>SUM(D16:D23)</f>
        <v>11848000</v>
      </c>
      <c r="J23" s="151">
        <f>SUM(H23:I23)</f>
        <v>18266417</v>
      </c>
    </row>
    <row r="24" spans="1:10" ht="12.75">
      <c r="A24" s="103">
        <v>38440</v>
      </c>
      <c r="B24" s="173">
        <f t="shared" si="0"/>
        <v>88</v>
      </c>
      <c r="C24" s="42">
        <f t="shared" si="1"/>
        <v>103670000</v>
      </c>
      <c r="D24" s="138">
        <f>D22</f>
        <v>2962000</v>
      </c>
      <c r="E24" s="474"/>
      <c r="F24" s="86"/>
      <c r="G24" s="86"/>
      <c r="H24" s="140"/>
      <c r="I24" s="140"/>
      <c r="J24" s="141"/>
    </row>
    <row r="25" spans="1:10" ht="12.75">
      <c r="A25" s="84">
        <v>38442</v>
      </c>
      <c r="B25" s="108">
        <f aca="true" t="shared" si="2" ref="B25:B83">A25-A24</f>
        <v>2</v>
      </c>
      <c r="C25" s="86">
        <f t="shared" si="1"/>
        <v>103670000</v>
      </c>
      <c r="D25" s="138"/>
      <c r="E25" s="474">
        <v>0.0144</v>
      </c>
      <c r="F25" s="86">
        <v>388496</v>
      </c>
      <c r="G25" s="86">
        <v>266415</v>
      </c>
      <c r="H25" s="148"/>
      <c r="I25" s="148"/>
      <c r="J25" s="149"/>
    </row>
    <row r="26" spans="1:10" ht="12.75">
      <c r="A26" s="84">
        <v>38473</v>
      </c>
      <c r="B26" s="108">
        <f>A26-A25</f>
        <v>31</v>
      </c>
      <c r="C26" s="86">
        <f>C25-D26</f>
        <v>103670000</v>
      </c>
      <c r="D26" s="138"/>
      <c r="E26" s="474">
        <v>0.0149</v>
      </c>
      <c r="F26" s="86"/>
      <c r="G26" s="86"/>
      <c r="H26" s="148"/>
      <c r="I26" s="148"/>
      <c r="J26" s="149"/>
    </row>
    <row r="27" spans="1:10" ht="12.75">
      <c r="A27" s="84">
        <v>38531</v>
      </c>
      <c r="B27" s="108">
        <f>A27-A25</f>
        <v>89</v>
      </c>
      <c r="C27" s="86">
        <f>C25-D27</f>
        <v>100708000</v>
      </c>
      <c r="D27" s="138">
        <f>D24</f>
        <v>2962000</v>
      </c>
      <c r="E27" s="474"/>
      <c r="F27" s="86"/>
      <c r="G27" s="86"/>
      <c r="H27" s="148"/>
      <c r="I27" s="148"/>
      <c r="J27" s="149"/>
    </row>
    <row r="28" spans="1:10" ht="12.75">
      <c r="A28" s="84">
        <v>38533</v>
      </c>
      <c r="B28" s="108">
        <f t="shared" si="2"/>
        <v>2</v>
      </c>
      <c r="C28" s="86">
        <f t="shared" si="1"/>
        <v>100708000</v>
      </c>
      <c r="D28" s="138"/>
      <c r="E28" s="474">
        <v>0.021</v>
      </c>
      <c r="F28" s="86">
        <v>597507</v>
      </c>
      <c r="G28" s="86">
        <v>261890</v>
      </c>
      <c r="H28" s="148"/>
      <c r="I28" s="148"/>
      <c r="J28" s="149"/>
    </row>
    <row r="29" spans="1:10" ht="12.75">
      <c r="A29" s="84">
        <v>38623</v>
      </c>
      <c r="B29" s="108">
        <f t="shared" si="2"/>
        <v>90</v>
      </c>
      <c r="C29" s="86">
        <f t="shared" si="1"/>
        <v>97746000</v>
      </c>
      <c r="D29" s="138">
        <f>D27</f>
        <v>2962000</v>
      </c>
      <c r="E29" s="474"/>
      <c r="F29" s="86"/>
      <c r="G29" s="86"/>
      <c r="H29" s="148"/>
      <c r="I29" s="148"/>
      <c r="J29" s="149"/>
    </row>
    <row r="30" spans="1:10" ht="12.75">
      <c r="A30" s="84">
        <v>38625</v>
      </c>
      <c r="B30" s="108">
        <f t="shared" si="2"/>
        <v>2</v>
      </c>
      <c r="C30" s="86">
        <f>C29-D30</f>
        <v>97746000</v>
      </c>
      <c r="D30" s="138"/>
      <c r="E30" s="474">
        <v>0.018</v>
      </c>
      <c r="F30" s="86">
        <v>600262</v>
      </c>
      <c r="G30" s="86">
        <v>257200</v>
      </c>
      <c r="H30" s="148"/>
      <c r="I30" s="148"/>
      <c r="J30" s="149"/>
    </row>
    <row r="31" spans="1:10" ht="12.75">
      <c r="A31" s="84">
        <v>38657</v>
      </c>
      <c r="B31" s="91">
        <f t="shared" si="2"/>
        <v>32</v>
      </c>
      <c r="C31" s="41">
        <f t="shared" si="1"/>
        <v>97746000</v>
      </c>
      <c r="D31" s="154"/>
      <c r="E31" s="473">
        <v>0.0188</v>
      </c>
      <c r="F31" s="86"/>
      <c r="G31" s="86"/>
      <c r="H31" s="148"/>
      <c r="I31" s="148"/>
      <c r="J31" s="149"/>
    </row>
    <row r="32" spans="1:10" ht="12.75">
      <c r="A32" s="84">
        <v>38714</v>
      </c>
      <c r="B32" s="91">
        <f t="shared" si="2"/>
        <v>57</v>
      </c>
      <c r="C32" s="41">
        <f t="shared" si="1"/>
        <v>94784000</v>
      </c>
      <c r="D32" s="154">
        <f>D29</f>
        <v>2962000</v>
      </c>
      <c r="E32" s="473"/>
      <c r="F32" s="86"/>
      <c r="G32" s="86"/>
      <c r="H32" s="148"/>
      <c r="I32" s="148"/>
      <c r="J32" s="149"/>
    </row>
    <row r="33" spans="1:10" ht="12.75">
      <c r="A33" s="142">
        <v>38716</v>
      </c>
      <c r="B33" s="98">
        <f t="shared" si="2"/>
        <v>2</v>
      </c>
      <c r="C33" s="99">
        <f t="shared" si="1"/>
        <v>94784000</v>
      </c>
      <c r="D33" s="144"/>
      <c r="E33" s="476">
        <v>0.0243</v>
      </c>
      <c r="F33" s="86">
        <v>558219</v>
      </c>
      <c r="G33" s="86">
        <v>246916</v>
      </c>
      <c r="H33" s="150">
        <f>SUM(F24:G33)</f>
        <v>3176905</v>
      </c>
      <c r="I33" s="150">
        <f>SUM(D24:D33)</f>
        <v>11848000</v>
      </c>
      <c r="J33" s="151">
        <f>SUM(H33:I33)</f>
        <v>15024905</v>
      </c>
    </row>
    <row r="34" spans="1:10" ht="12.75">
      <c r="A34" s="103">
        <v>38804</v>
      </c>
      <c r="B34" s="173">
        <f t="shared" si="2"/>
        <v>88</v>
      </c>
      <c r="C34" s="138">
        <f t="shared" si="1"/>
        <v>91822000</v>
      </c>
      <c r="D34" s="138">
        <f>D32</f>
        <v>2962000</v>
      </c>
      <c r="E34" s="474"/>
      <c r="F34" s="42"/>
      <c r="G34" s="42"/>
      <c r="H34" s="140"/>
      <c r="I34" s="140"/>
      <c r="J34" s="141"/>
    </row>
    <row r="35" spans="1:10" ht="12.75">
      <c r="A35" s="84">
        <v>38807</v>
      </c>
      <c r="B35" s="108">
        <f t="shared" si="2"/>
        <v>3</v>
      </c>
      <c r="C35" s="138">
        <f t="shared" si="1"/>
        <v>91822000</v>
      </c>
      <c r="D35" s="138"/>
      <c r="E35" s="474">
        <v>0.027</v>
      </c>
      <c r="F35" s="86">
        <v>644102</v>
      </c>
      <c r="G35" s="86">
        <v>239346</v>
      </c>
      <c r="H35" s="148"/>
      <c r="I35" s="148"/>
      <c r="J35" s="149"/>
    </row>
    <row r="36" spans="1:10" ht="12.75">
      <c r="A36" s="84">
        <v>38896</v>
      </c>
      <c r="B36" s="108">
        <f t="shared" si="2"/>
        <v>89</v>
      </c>
      <c r="C36" s="138">
        <f t="shared" si="1"/>
        <v>88860000</v>
      </c>
      <c r="D36" s="138">
        <f>D34</f>
        <v>2962000</v>
      </c>
      <c r="E36" s="474"/>
      <c r="F36" s="86"/>
      <c r="G36" s="86"/>
      <c r="H36" s="148"/>
      <c r="I36" s="148"/>
      <c r="J36" s="149"/>
    </row>
    <row r="37" spans="1:10" ht="12.75">
      <c r="A37" s="84">
        <v>38898</v>
      </c>
      <c r="B37" s="108">
        <f t="shared" si="2"/>
        <v>2</v>
      </c>
      <c r="C37" s="138">
        <f t="shared" si="1"/>
        <v>88860000</v>
      </c>
      <c r="D37" s="138"/>
      <c r="E37" s="474">
        <v>0.0316</v>
      </c>
      <c r="F37" s="86">
        <v>731760</v>
      </c>
      <c r="G37" s="86">
        <v>231941</v>
      </c>
      <c r="H37" s="148"/>
      <c r="I37" s="148"/>
      <c r="J37" s="149"/>
    </row>
    <row r="38" spans="1:10" ht="12.75">
      <c r="A38" s="84">
        <v>38929</v>
      </c>
      <c r="B38" s="108">
        <f>A38-A37</f>
        <v>31</v>
      </c>
      <c r="C38" s="138">
        <f>C37-D38</f>
        <v>88860000</v>
      </c>
      <c r="D38" s="138"/>
      <c r="E38" s="474">
        <v>0.0322</v>
      </c>
      <c r="F38" s="86"/>
      <c r="G38" s="86"/>
      <c r="H38" s="148"/>
      <c r="I38" s="148"/>
      <c r="J38" s="149"/>
    </row>
    <row r="39" spans="1:10" ht="12.75">
      <c r="A39" s="84">
        <v>38960</v>
      </c>
      <c r="B39" s="108">
        <f>A39-A38</f>
        <v>31</v>
      </c>
      <c r="C39" s="138">
        <f>C38-D39</f>
        <v>88860000</v>
      </c>
      <c r="D39" s="138"/>
      <c r="E39" s="474">
        <v>0.0309</v>
      </c>
      <c r="F39" s="86"/>
      <c r="G39" s="86"/>
      <c r="H39" s="148"/>
      <c r="I39" s="148"/>
      <c r="J39" s="149"/>
    </row>
    <row r="40" spans="1:10" ht="12.75">
      <c r="A40" s="84">
        <v>38988</v>
      </c>
      <c r="B40" s="108">
        <f>A40-A39</f>
        <v>28</v>
      </c>
      <c r="C40" s="138">
        <f>C39-D40</f>
        <v>85898000</v>
      </c>
      <c r="D40" s="138">
        <f>D36</f>
        <v>2962000</v>
      </c>
      <c r="E40" s="474"/>
      <c r="F40" s="86"/>
      <c r="G40" s="86"/>
      <c r="H40" s="148"/>
      <c r="I40" s="148"/>
      <c r="J40" s="149"/>
    </row>
    <row r="41" spans="1:10" ht="12.75">
      <c r="A41" s="84">
        <v>38989</v>
      </c>
      <c r="B41" s="108">
        <f t="shared" si="2"/>
        <v>1</v>
      </c>
      <c r="C41" s="138">
        <f t="shared" si="1"/>
        <v>85898000</v>
      </c>
      <c r="D41" s="138"/>
      <c r="E41" s="474">
        <v>0.0283</v>
      </c>
      <c r="F41" s="86">
        <v>665373</v>
      </c>
      <c r="G41" s="86">
        <v>224536</v>
      </c>
      <c r="H41" s="148"/>
      <c r="I41" s="148"/>
      <c r="J41" s="149"/>
    </row>
    <row r="42" spans="1:10" ht="12.75">
      <c r="A42" s="84">
        <v>38991</v>
      </c>
      <c r="B42" s="108">
        <f>A42-A41</f>
        <v>2</v>
      </c>
      <c r="C42" s="138">
        <f>C41-D42</f>
        <v>85898000</v>
      </c>
      <c r="D42" s="138"/>
      <c r="E42" s="474">
        <v>0.0283</v>
      </c>
      <c r="F42" s="86"/>
      <c r="G42" s="86"/>
      <c r="H42" s="148"/>
      <c r="I42" s="148"/>
      <c r="J42" s="149"/>
    </row>
    <row r="43" spans="1:10" ht="12.75">
      <c r="A43" s="90">
        <v>39022</v>
      </c>
      <c r="B43" s="91">
        <f>A43-A42</f>
        <v>31</v>
      </c>
      <c r="C43" s="154">
        <f>C42-D43</f>
        <v>85898000</v>
      </c>
      <c r="D43" s="138"/>
      <c r="E43" s="474">
        <v>0.0382</v>
      </c>
      <c r="F43" s="86"/>
      <c r="G43" s="86"/>
      <c r="H43" s="148"/>
      <c r="I43" s="148"/>
      <c r="J43" s="149"/>
    </row>
    <row r="44" spans="1:10" ht="12.75">
      <c r="A44" s="90">
        <v>39052</v>
      </c>
      <c r="B44" s="112">
        <f t="shared" si="2"/>
        <v>30</v>
      </c>
      <c r="C44" s="154">
        <f>C43-D44</f>
        <v>85898000</v>
      </c>
      <c r="D44" s="138"/>
      <c r="E44" s="474">
        <v>0.0356</v>
      </c>
      <c r="F44" s="86"/>
      <c r="G44" s="86"/>
      <c r="H44" s="148"/>
      <c r="I44" s="148"/>
      <c r="J44" s="149"/>
    </row>
    <row r="45" spans="1:10" ht="12.75">
      <c r="A45" s="243">
        <v>39079</v>
      </c>
      <c r="B45" s="112">
        <f t="shared" si="2"/>
        <v>27</v>
      </c>
      <c r="C45" s="394">
        <f>C42-D45</f>
        <v>82936000</v>
      </c>
      <c r="D45" s="171">
        <f>D40</f>
        <v>2962000</v>
      </c>
      <c r="E45" s="255"/>
      <c r="F45" s="111"/>
      <c r="G45" s="111"/>
      <c r="H45" s="225"/>
      <c r="I45" s="225"/>
      <c r="J45" s="226"/>
    </row>
    <row r="46" spans="1:10" ht="12.75">
      <c r="A46" s="97">
        <v>39080</v>
      </c>
      <c r="B46" s="98">
        <f t="shared" si="2"/>
        <v>1</v>
      </c>
      <c r="C46" s="144">
        <f>C45-D46</f>
        <v>82936000</v>
      </c>
      <c r="D46" s="144"/>
      <c r="E46" s="476">
        <v>0.0328</v>
      </c>
      <c r="F46" s="99">
        <v>767396</v>
      </c>
      <c r="G46" s="99">
        <v>217049</v>
      </c>
      <c r="H46" s="145">
        <f>SUM(F34:G46)</f>
        <v>3721503</v>
      </c>
      <c r="I46" s="145">
        <f>SUM(D34:D46)</f>
        <v>11848000</v>
      </c>
      <c r="J46" s="146">
        <f>SUM(H46:I46)</f>
        <v>15569503</v>
      </c>
    </row>
    <row r="47" spans="1:10" ht="12.75">
      <c r="A47" s="84">
        <v>39114</v>
      </c>
      <c r="B47" s="85">
        <f>A47-A46</f>
        <v>34</v>
      </c>
      <c r="C47" s="86">
        <f>C46-D47</f>
        <v>82936000</v>
      </c>
      <c r="D47" s="138"/>
      <c r="E47" s="474">
        <v>0.0314</v>
      </c>
      <c r="F47" s="86"/>
      <c r="G47" s="86"/>
      <c r="H47" s="148"/>
      <c r="I47" s="148"/>
      <c r="J47" s="149"/>
    </row>
    <row r="48" spans="1:10" ht="12.75">
      <c r="A48" s="84">
        <v>39169</v>
      </c>
      <c r="B48" s="112">
        <f>A48-A47</f>
        <v>55</v>
      </c>
      <c r="C48" s="86">
        <f>C47-D48</f>
        <v>79974000</v>
      </c>
      <c r="D48" s="138">
        <f>D45</f>
        <v>2962000</v>
      </c>
      <c r="E48" s="474"/>
      <c r="F48" s="86"/>
      <c r="G48" s="86"/>
      <c r="H48" s="148"/>
      <c r="I48" s="148"/>
      <c r="J48" s="149"/>
    </row>
    <row r="49" spans="1:10" ht="12.75">
      <c r="A49" s="84">
        <v>39171</v>
      </c>
      <c r="B49" s="108">
        <f t="shared" si="2"/>
        <v>2</v>
      </c>
      <c r="C49" s="86">
        <f>C48-D49</f>
        <v>79974000</v>
      </c>
      <c r="D49" s="138"/>
      <c r="E49" s="474">
        <v>0.0301</v>
      </c>
      <c r="F49" s="86">
        <v>641683</v>
      </c>
      <c r="G49" s="86">
        <v>209479</v>
      </c>
      <c r="H49" s="148"/>
      <c r="I49" s="148"/>
      <c r="J49" s="149"/>
    </row>
    <row r="50" spans="1:10" ht="12.75">
      <c r="A50" s="84">
        <v>39261</v>
      </c>
      <c r="B50" s="108">
        <f t="shared" si="2"/>
        <v>90</v>
      </c>
      <c r="C50" s="86">
        <f t="shared" si="1"/>
        <v>77012000</v>
      </c>
      <c r="D50" s="138">
        <f>D48</f>
        <v>2962000</v>
      </c>
      <c r="E50" s="474"/>
      <c r="F50" s="86"/>
      <c r="G50" s="86"/>
      <c r="H50" s="148"/>
      <c r="I50" s="148"/>
      <c r="J50" s="149"/>
    </row>
    <row r="51" spans="1:10" ht="12.75">
      <c r="A51" s="84">
        <v>39262</v>
      </c>
      <c r="B51" s="108">
        <f t="shared" si="2"/>
        <v>1</v>
      </c>
      <c r="C51" s="86">
        <f t="shared" si="1"/>
        <v>77012000</v>
      </c>
      <c r="D51" s="138"/>
      <c r="E51" s="474">
        <v>0.0286</v>
      </c>
      <c r="F51" s="86">
        <v>589159</v>
      </c>
      <c r="G51" s="86">
        <v>202074</v>
      </c>
      <c r="H51" s="148"/>
      <c r="I51" s="148"/>
      <c r="J51" s="149"/>
    </row>
    <row r="52" spans="1:10" ht="12.75">
      <c r="A52" s="84">
        <v>39353</v>
      </c>
      <c r="B52" s="108">
        <f t="shared" si="2"/>
        <v>91</v>
      </c>
      <c r="C52" s="86">
        <f t="shared" si="1"/>
        <v>74050000</v>
      </c>
      <c r="D52" s="138">
        <f>D50</f>
        <v>2962000</v>
      </c>
      <c r="E52" s="474"/>
      <c r="F52" s="86"/>
      <c r="G52" s="86"/>
      <c r="H52" s="148"/>
      <c r="I52" s="148"/>
      <c r="J52" s="149"/>
    </row>
    <row r="53" spans="1:10" ht="12.75">
      <c r="A53" s="84">
        <v>39353</v>
      </c>
      <c r="B53" s="108">
        <f t="shared" si="2"/>
        <v>0</v>
      </c>
      <c r="C53" s="86">
        <f t="shared" si="1"/>
        <v>74050000</v>
      </c>
      <c r="D53" s="138"/>
      <c r="E53" s="474">
        <v>0.029</v>
      </c>
      <c r="F53" s="86">
        <v>565375</v>
      </c>
      <c r="G53" s="86">
        <v>194669</v>
      </c>
      <c r="H53" s="148"/>
      <c r="I53" s="148"/>
      <c r="J53" s="149"/>
    </row>
    <row r="54" spans="1:10" ht="12.75">
      <c r="A54" s="84">
        <v>39444</v>
      </c>
      <c r="B54" s="108">
        <f t="shared" si="2"/>
        <v>91</v>
      </c>
      <c r="C54" s="86">
        <f t="shared" si="1"/>
        <v>71088000</v>
      </c>
      <c r="D54" s="138">
        <f>D52</f>
        <v>2962000</v>
      </c>
      <c r="E54" s="474"/>
      <c r="F54" s="86"/>
      <c r="G54" s="86"/>
      <c r="H54" s="148"/>
      <c r="I54" s="148"/>
      <c r="J54" s="149"/>
    </row>
    <row r="55" spans="1:10" ht="12.75">
      <c r="A55" s="223">
        <v>39445</v>
      </c>
      <c r="B55" s="108">
        <f>A55-A54</f>
        <v>1</v>
      </c>
      <c r="C55" s="111">
        <f>C54-D55</f>
        <v>71088000</v>
      </c>
      <c r="D55" s="171"/>
      <c r="E55" s="255">
        <v>0.0324</v>
      </c>
      <c r="F55" s="111">
        <v>610769</v>
      </c>
      <c r="G55" s="111">
        <v>189157</v>
      </c>
      <c r="H55" s="225">
        <f>SUM(F48:G55)</f>
        <v>3202365</v>
      </c>
      <c r="I55" s="225">
        <f>SUM(D48:D55)</f>
        <v>11848000</v>
      </c>
      <c r="J55" s="226">
        <f>SUM(H55:I55)</f>
        <v>15050365</v>
      </c>
    </row>
    <row r="56" spans="1:10" ht="12.75">
      <c r="A56" s="103">
        <v>39479</v>
      </c>
      <c r="B56" s="104">
        <f>A56-A55</f>
        <v>34</v>
      </c>
      <c r="C56" s="42">
        <f>C55-D56</f>
        <v>71088000</v>
      </c>
      <c r="D56" s="139"/>
      <c r="E56" s="477">
        <v>0.0316</v>
      </c>
      <c r="F56" s="42"/>
      <c r="G56" s="139"/>
      <c r="H56" s="140"/>
      <c r="I56" s="140"/>
      <c r="J56" s="141"/>
    </row>
    <row r="57" spans="1:10" ht="12.75">
      <c r="A57" s="90">
        <v>39535</v>
      </c>
      <c r="B57" s="91">
        <f>A57-A56</f>
        <v>56</v>
      </c>
      <c r="C57" s="41">
        <f>C56-D57</f>
        <v>68126000</v>
      </c>
      <c r="D57" s="154">
        <f>D54</f>
        <v>2962000</v>
      </c>
      <c r="E57" s="176"/>
      <c r="F57" s="41"/>
      <c r="G57" s="154"/>
      <c r="H57" s="155"/>
      <c r="I57" s="155"/>
      <c r="J57" s="156"/>
    </row>
    <row r="58" spans="1:10" ht="12.75">
      <c r="A58" s="84">
        <v>39538</v>
      </c>
      <c r="B58" s="108">
        <f>A58-A57</f>
        <v>3</v>
      </c>
      <c r="C58" s="86">
        <f>C57-D58</f>
        <v>68126000</v>
      </c>
      <c r="D58" s="138"/>
      <c r="E58" s="170">
        <f>E56</f>
        <v>0.0316</v>
      </c>
      <c r="F58" s="86">
        <v>580167</v>
      </c>
      <c r="G58" s="86">
        <v>183397</v>
      </c>
      <c r="H58" s="148"/>
      <c r="I58" s="148"/>
      <c r="J58" s="149"/>
    </row>
    <row r="59" spans="1:10" ht="12.75">
      <c r="A59" s="84">
        <v>39629</v>
      </c>
      <c r="B59" s="108">
        <f>A59-A58</f>
        <v>91</v>
      </c>
      <c r="C59" s="86">
        <f>C58-D59</f>
        <v>65164000</v>
      </c>
      <c r="D59" s="138">
        <f>D57</f>
        <v>2962000</v>
      </c>
      <c r="E59" s="170"/>
      <c r="F59" s="86"/>
      <c r="G59" s="138"/>
      <c r="H59" s="148"/>
      <c r="I59" s="148"/>
      <c r="J59" s="149"/>
    </row>
    <row r="60" spans="1:10" ht="12.75">
      <c r="A60" s="84">
        <v>39629</v>
      </c>
      <c r="B60" s="108">
        <f t="shared" si="2"/>
        <v>0</v>
      </c>
      <c r="C60" s="138">
        <f t="shared" si="1"/>
        <v>65164000</v>
      </c>
      <c r="D60" s="138"/>
      <c r="E60" s="170">
        <v>0.0324</v>
      </c>
      <c r="F60" s="86">
        <v>606662</v>
      </c>
      <c r="G60" s="86">
        <v>172207</v>
      </c>
      <c r="H60" s="148"/>
      <c r="I60" s="148"/>
      <c r="J60" s="149"/>
    </row>
    <row r="61" spans="1:10" ht="12.75">
      <c r="A61" s="84">
        <v>39630</v>
      </c>
      <c r="B61" s="108">
        <f>A61-A60</f>
        <v>1</v>
      </c>
      <c r="C61" s="138">
        <f>C60-D61</f>
        <v>65164000</v>
      </c>
      <c r="D61" s="138"/>
      <c r="E61" s="170">
        <v>0.0381</v>
      </c>
      <c r="F61" s="86"/>
      <c r="G61" s="138"/>
      <c r="H61" s="148"/>
      <c r="I61" s="148"/>
      <c r="J61" s="149"/>
    </row>
    <row r="62" spans="1:10" ht="12.75">
      <c r="A62" s="84">
        <v>39661</v>
      </c>
      <c r="B62" s="108">
        <f>A62-A61</f>
        <v>31</v>
      </c>
      <c r="C62" s="138">
        <f>C61-D62</f>
        <v>65164000</v>
      </c>
      <c r="D62" s="138"/>
      <c r="E62" s="170">
        <v>0.035</v>
      </c>
      <c r="F62" s="86"/>
      <c r="G62" s="138"/>
      <c r="H62" s="148"/>
      <c r="I62" s="148"/>
      <c r="J62" s="149"/>
    </row>
    <row r="63" spans="1:10" ht="12.75">
      <c r="A63" s="84">
        <v>39719</v>
      </c>
      <c r="B63" s="108">
        <f>A63-A62</f>
        <v>58</v>
      </c>
      <c r="C63" s="138">
        <f>C62-D63</f>
        <v>62202000</v>
      </c>
      <c r="D63" s="138">
        <f>D59</f>
        <v>2962000</v>
      </c>
      <c r="E63" s="170"/>
      <c r="F63" s="86"/>
      <c r="G63" s="138"/>
      <c r="H63" s="148"/>
      <c r="I63" s="148"/>
      <c r="J63" s="149"/>
    </row>
    <row r="64" spans="1:10" ht="12.75">
      <c r="A64" s="90">
        <v>39721</v>
      </c>
      <c r="B64" s="91">
        <f t="shared" si="2"/>
        <v>2</v>
      </c>
      <c r="C64" s="154">
        <f t="shared" si="1"/>
        <v>62202000</v>
      </c>
      <c r="D64" s="154"/>
      <c r="E64" s="176">
        <v>0.035</v>
      </c>
      <c r="F64" s="138">
        <v>587438</v>
      </c>
      <c r="G64" s="86">
        <v>166448</v>
      </c>
      <c r="H64" s="155"/>
      <c r="I64" s="155"/>
      <c r="J64" s="156"/>
    </row>
    <row r="65" spans="1:10" ht="12.75">
      <c r="A65" s="90">
        <v>39810</v>
      </c>
      <c r="B65" s="91">
        <f t="shared" si="2"/>
        <v>89</v>
      </c>
      <c r="C65" s="154">
        <f t="shared" si="1"/>
        <v>59240000</v>
      </c>
      <c r="D65" s="154">
        <f>D63</f>
        <v>2962000</v>
      </c>
      <c r="E65" s="176"/>
      <c r="F65" s="41"/>
      <c r="G65" s="154"/>
      <c r="H65" s="155"/>
      <c r="I65" s="155"/>
      <c r="J65" s="156"/>
    </row>
    <row r="66" spans="1:10" ht="12.75">
      <c r="A66" s="97">
        <v>39813</v>
      </c>
      <c r="B66" s="98">
        <f t="shared" si="2"/>
        <v>3</v>
      </c>
      <c r="C66" s="144">
        <f t="shared" si="1"/>
        <v>59240000</v>
      </c>
      <c r="D66" s="144"/>
      <c r="E66" s="177">
        <v>0.028</v>
      </c>
      <c r="F66" s="99">
        <f>((C65+D65)*E66/360*B65)+((C66+D66)*E66/360*B66)</f>
        <v>444398.73333333334</v>
      </c>
      <c r="G66" s="86">
        <f>((C65+D65)*$D$4/360*B65)+((C66+D66)*$D$4/360*B66)</f>
        <v>158713.8333333333</v>
      </c>
      <c r="H66" s="145">
        <f>SUM(F57:G66)</f>
        <v>2899431.566666667</v>
      </c>
      <c r="I66" s="145">
        <f>SUM(D57:D66)</f>
        <v>11848000</v>
      </c>
      <c r="J66" s="146">
        <f>SUM(H66:I66)</f>
        <v>14747431.566666666</v>
      </c>
    </row>
    <row r="67" spans="1:10" ht="12.75">
      <c r="A67" s="103">
        <v>39900</v>
      </c>
      <c r="B67" s="104">
        <f t="shared" si="2"/>
        <v>87</v>
      </c>
      <c r="C67" s="42">
        <f t="shared" si="1"/>
        <v>56278000</v>
      </c>
      <c r="D67" s="139">
        <f>D65</f>
        <v>2962000</v>
      </c>
      <c r="E67" s="174"/>
      <c r="F67" s="139"/>
      <c r="G67" s="139"/>
      <c r="H67" s="140"/>
      <c r="I67" s="140"/>
      <c r="J67" s="141"/>
    </row>
    <row r="68" spans="1:10" ht="12.75">
      <c r="A68" s="84">
        <v>39903</v>
      </c>
      <c r="B68" s="108">
        <f t="shared" si="2"/>
        <v>3</v>
      </c>
      <c r="C68" s="86">
        <f t="shared" si="1"/>
        <v>56278000</v>
      </c>
      <c r="D68" s="138"/>
      <c r="E68" s="170">
        <f>E66</f>
        <v>0.028</v>
      </c>
      <c r="F68" s="86">
        <f>((C67+D67)*E68/360*B67)+((C68+D68)*E68/360*B68)</f>
        <v>413988.86666666664</v>
      </c>
      <c r="G68" s="86">
        <f>((C67+D67)*$D$4/360*B67)+((C68+D68)*$D$4/360*B68)</f>
        <v>147853.1666666667</v>
      </c>
      <c r="H68" s="148"/>
      <c r="I68" s="148"/>
      <c r="J68" s="149"/>
    </row>
    <row r="69" spans="1:10" ht="12.75">
      <c r="A69" s="84">
        <v>39992</v>
      </c>
      <c r="B69" s="108">
        <f t="shared" si="2"/>
        <v>89</v>
      </c>
      <c r="C69" s="86">
        <f t="shared" si="1"/>
        <v>53316000</v>
      </c>
      <c r="D69" s="138">
        <f>D67</f>
        <v>2962000</v>
      </c>
      <c r="E69" s="170"/>
      <c r="F69" s="138"/>
      <c r="G69" s="138"/>
      <c r="H69" s="148"/>
      <c r="I69" s="148"/>
      <c r="J69" s="149"/>
    </row>
    <row r="70" spans="1:10" ht="12.75">
      <c r="A70" s="84">
        <v>39994</v>
      </c>
      <c r="B70" s="108">
        <f t="shared" si="2"/>
        <v>2</v>
      </c>
      <c r="C70" s="86">
        <f t="shared" si="1"/>
        <v>53316000</v>
      </c>
      <c r="D70" s="138"/>
      <c r="E70" s="170">
        <f>E68</f>
        <v>0.028</v>
      </c>
      <c r="F70" s="86">
        <f>((C69+D69)*E70/360*B69)+((C70+D70)*E70/360*B70)</f>
        <v>397862.4222222222</v>
      </c>
      <c r="G70" s="86">
        <f>((C69+D69)*$D$4/360*B69)+((C70+D70)*$D$4/360*B70)</f>
        <v>142093.72222222222</v>
      </c>
      <c r="H70" s="148"/>
      <c r="I70" s="148"/>
      <c r="J70" s="149"/>
    </row>
    <row r="71" spans="1:10" ht="12.75">
      <c r="A71" s="84">
        <v>40084</v>
      </c>
      <c r="B71" s="108">
        <f t="shared" si="2"/>
        <v>90</v>
      </c>
      <c r="C71" s="86">
        <f t="shared" si="1"/>
        <v>50354000</v>
      </c>
      <c r="D71" s="138">
        <f>D69</f>
        <v>2962000</v>
      </c>
      <c r="E71" s="170"/>
      <c r="F71" s="138"/>
      <c r="G71" s="138"/>
      <c r="H71" s="148"/>
      <c r="I71" s="148"/>
      <c r="J71" s="149"/>
    </row>
    <row r="72" spans="1:10" ht="12.75">
      <c r="A72" s="84">
        <v>40086</v>
      </c>
      <c r="B72" s="108">
        <f t="shared" si="2"/>
        <v>2</v>
      </c>
      <c r="C72" s="86">
        <f t="shared" si="1"/>
        <v>50354000</v>
      </c>
      <c r="D72" s="138"/>
      <c r="E72" s="170">
        <f>E70</f>
        <v>0.028</v>
      </c>
      <c r="F72" s="86">
        <f>((C71+D71)*E72/360*B71)+((C72+D72)*E72/360*B72)</f>
        <v>381044.84444444446</v>
      </c>
      <c r="G72" s="86">
        <f>((C71+D71)*$D$4/360*B71)+((C72+D72)*$D$4/360*B72)</f>
        <v>136087.44444444444</v>
      </c>
      <c r="H72" s="148"/>
      <c r="I72" s="148"/>
      <c r="J72" s="149"/>
    </row>
    <row r="73" spans="1:10" ht="12.75">
      <c r="A73" s="84">
        <v>40175</v>
      </c>
      <c r="B73" s="108">
        <f t="shared" si="2"/>
        <v>89</v>
      </c>
      <c r="C73" s="86">
        <f t="shared" si="1"/>
        <v>47392000</v>
      </c>
      <c r="D73" s="138">
        <f>D71</f>
        <v>2962000</v>
      </c>
      <c r="E73" s="170"/>
      <c r="F73" s="138"/>
      <c r="G73" s="154"/>
      <c r="H73" s="148"/>
      <c r="I73" s="148"/>
      <c r="J73" s="149"/>
    </row>
    <row r="74" spans="1:10" ht="12.75">
      <c r="A74" s="97">
        <v>40178</v>
      </c>
      <c r="B74" s="98">
        <f t="shared" si="2"/>
        <v>3</v>
      </c>
      <c r="C74" s="99">
        <f t="shared" si="1"/>
        <v>47392000</v>
      </c>
      <c r="D74" s="144"/>
      <c r="E74" s="177">
        <f>E72</f>
        <v>0.028</v>
      </c>
      <c r="F74" s="99">
        <f>((C73+D73)*E74/360*B73)+((C74+D74)*E74/360*B74)</f>
        <v>359619.71111111116</v>
      </c>
      <c r="G74" s="86">
        <f>((C73+D73)*$D$4/360*B73)+((C74+D74)*$D$4/360*B74)</f>
        <v>128435.6111111111</v>
      </c>
      <c r="H74" s="145">
        <f>SUM(F67:G74)</f>
        <v>2106985.788888889</v>
      </c>
      <c r="I74" s="145">
        <f>SUM(D67:D74)</f>
        <v>11848000</v>
      </c>
      <c r="J74" s="146">
        <f>SUM(H74:I74)</f>
        <v>13954985.788888888</v>
      </c>
    </row>
    <row r="75" spans="1:10" ht="12.75">
      <c r="A75" s="103">
        <v>40265</v>
      </c>
      <c r="B75" s="173">
        <f t="shared" si="2"/>
        <v>87</v>
      </c>
      <c r="C75" s="138">
        <f t="shared" si="1"/>
        <v>44430000</v>
      </c>
      <c r="D75" s="138">
        <f>D73</f>
        <v>2962000</v>
      </c>
      <c r="E75" s="170"/>
      <c r="F75" s="42"/>
      <c r="G75" s="139"/>
      <c r="H75" s="140"/>
      <c r="I75" s="140"/>
      <c r="J75" s="141"/>
    </row>
    <row r="76" spans="1:10" ht="12.75">
      <c r="A76" s="84">
        <v>40268</v>
      </c>
      <c r="B76" s="108">
        <f t="shared" si="2"/>
        <v>3</v>
      </c>
      <c r="C76" s="138">
        <f t="shared" si="1"/>
        <v>44430000</v>
      </c>
      <c r="D76" s="138"/>
      <c r="E76" s="170">
        <f>E74</f>
        <v>0.028</v>
      </c>
      <c r="F76" s="86">
        <f>((C75+D75)*E76/360*B75)+((C76+D76)*E76/360*B76)</f>
        <v>331052.86666666664</v>
      </c>
      <c r="G76" s="86">
        <f>((C75+D75)*$D$4/360*B75)+((C76+D76)*$D$4/360*B76)</f>
        <v>118233.16666666666</v>
      </c>
      <c r="H76" s="148"/>
      <c r="I76" s="148"/>
      <c r="J76" s="149"/>
    </row>
    <row r="77" spans="1:10" ht="12.75">
      <c r="A77" s="84">
        <v>40357</v>
      </c>
      <c r="B77" s="108">
        <f t="shared" si="2"/>
        <v>89</v>
      </c>
      <c r="C77" s="138">
        <f t="shared" si="1"/>
        <v>41468000</v>
      </c>
      <c r="D77" s="138">
        <f>D75</f>
        <v>2962000</v>
      </c>
      <c r="E77" s="170"/>
      <c r="F77" s="86"/>
      <c r="G77" s="138"/>
      <c r="H77" s="148"/>
      <c r="I77" s="148"/>
      <c r="J77" s="149"/>
    </row>
    <row r="78" spans="1:10" ht="12.75">
      <c r="A78" s="84">
        <v>40359</v>
      </c>
      <c r="B78" s="108">
        <f t="shared" si="2"/>
        <v>2</v>
      </c>
      <c r="C78" s="138">
        <f t="shared" si="1"/>
        <v>41468000</v>
      </c>
      <c r="D78" s="138"/>
      <c r="E78" s="170">
        <f>E76</f>
        <v>0.028</v>
      </c>
      <c r="F78" s="86">
        <f>((C77+D77)*E78/360*B77)+((C78+D78)*E78/360*B78)</f>
        <v>314004.9111111111</v>
      </c>
      <c r="G78" s="86">
        <f>((C77+D77)*$D$4/360*B77)+((C78+D78)*$D$4/360*B78)</f>
        <v>112144.61111111112</v>
      </c>
      <c r="H78" s="148"/>
      <c r="I78" s="148"/>
      <c r="J78" s="149"/>
    </row>
    <row r="79" spans="1:10" ht="12.75">
      <c r="A79" s="84">
        <v>40449</v>
      </c>
      <c r="B79" s="108">
        <f t="shared" si="2"/>
        <v>90</v>
      </c>
      <c r="C79" s="138">
        <f>C78-D79</f>
        <v>38506000</v>
      </c>
      <c r="D79" s="138">
        <f>D77</f>
        <v>2962000</v>
      </c>
      <c r="E79" s="170"/>
      <c r="F79" s="86"/>
      <c r="G79" s="138"/>
      <c r="H79" s="148"/>
      <c r="I79" s="148"/>
      <c r="J79" s="149"/>
    </row>
    <row r="80" spans="1:10" ht="12.75">
      <c r="A80" s="84">
        <v>40451</v>
      </c>
      <c r="B80" s="108">
        <f t="shared" si="2"/>
        <v>2</v>
      </c>
      <c r="C80" s="138">
        <f t="shared" si="1"/>
        <v>38506000</v>
      </c>
      <c r="D80" s="138"/>
      <c r="E80" s="170">
        <f>E78</f>
        <v>0.028</v>
      </c>
      <c r="F80" s="86">
        <f>((C79+D79)*E80/360*B79)+((C80+D80)*E80/360*B80)</f>
        <v>296265.8222222222</v>
      </c>
      <c r="G80" s="86">
        <f>((C79+D79)*$D$4/360*B79)+((C80+D80)*$D$4/360*B80)</f>
        <v>105809.22222222222</v>
      </c>
      <c r="H80" s="148"/>
      <c r="I80" s="148"/>
      <c r="J80" s="149"/>
    </row>
    <row r="81" spans="1:10" ht="12.75">
      <c r="A81" s="84">
        <v>40540</v>
      </c>
      <c r="B81" s="108">
        <f t="shared" si="2"/>
        <v>89</v>
      </c>
      <c r="C81" s="138">
        <f t="shared" si="1"/>
        <v>35544000</v>
      </c>
      <c r="D81" s="138">
        <f>D79</f>
        <v>2962000</v>
      </c>
      <c r="E81" s="170"/>
      <c r="F81" s="86"/>
      <c r="G81" s="154"/>
      <c r="H81" s="148"/>
      <c r="I81" s="148"/>
      <c r="J81" s="149"/>
    </row>
    <row r="82" spans="1:10" ht="12.75">
      <c r="A82" s="97">
        <v>40543</v>
      </c>
      <c r="B82" s="98">
        <f t="shared" si="2"/>
        <v>3</v>
      </c>
      <c r="C82" s="144">
        <f t="shared" si="1"/>
        <v>35544000</v>
      </c>
      <c r="D82" s="144"/>
      <c r="E82" s="177">
        <f>E80</f>
        <v>0.028</v>
      </c>
      <c r="F82" s="99">
        <f>((C81+D81)*E82/360*B81)+((C82+D82)*E82/360*B82)</f>
        <v>274840.68888888886</v>
      </c>
      <c r="G82" s="86">
        <f>((C81+D81)*$D$4/360*B81)+((C82+D82)*$D$4/360*B82)</f>
        <v>98157.38888888889</v>
      </c>
      <c r="H82" s="145">
        <f>SUM(F75:G82)</f>
        <v>1650508.677777778</v>
      </c>
      <c r="I82" s="145">
        <f>SUM(D75:D82)</f>
        <v>11848000</v>
      </c>
      <c r="J82" s="146">
        <f>SUM(H82:I82)</f>
        <v>13498508.677777778</v>
      </c>
    </row>
    <row r="83" spans="1:10" ht="12.75">
      <c r="A83" s="103">
        <v>40630</v>
      </c>
      <c r="B83" s="104">
        <f t="shared" si="2"/>
        <v>87</v>
      </c>
      <c r="C83" s="42">
        <f t="shared" si="1"/>
        <v>32582000</v>
      </c>
      <c r="D83" s="139">
        <f>D81</f>
        <v>2962000</v>
      </c>
      <c r="E83" s="174"/>
      <c r="F83" s="139"/>
      <c r="G83" s="139"/>
      <c r="H83" s="140"/>
      <c r="I83" s="140"/>
      <c r="J83" s="141"/>
    </row>
    <row r="84" spans="1:10" ht="12.75">
      <c r="A84" s="84">
        <v>40633</v>
      </c>
      <c r="B84" s="108">
        <f aca="true" t="shared" si="3" ref="B84:B105">A84-A83</f>
        <v>3</v>
      </c>
      <c r="C84" s="86">
        <f t="shared" si="1"/>
        <v>32582000</v>
      </c>
      <c r="D84" s="138"/>
      <c r="E84" s="170">
        <f>E82</f>
        <v>0.028</v>
      </c>
      <c r="F84" s="86">
        <f>((C83+D83)*E84/360*B83)+((C84+D84)*E84/360*B84)</f>
        <v>248116.86666666667</v>
      </c>
      <c r="G84" s="86">
        <f>((C83+D83)*$D$4/360*B83)+((C84+D84)*$D$4/360*B84)</f>
        <v>88613.16666666667</v>
      </c>
      <c r="H84" s="148"/>
      <c r="I84" s="148"/>
      <c r="J84" s="149"/>
    </row>
    <row r="85" spans="1:10" ht="12.75">
      <c r="A85" s="84">
        <v>40722</v>
      </c>
      <c r="B85" s="108">
        <f t="shared" si="3"/>
        <v>89</v>
      </c>
      <c r="C85" s="86">
        <f aca="true" t="shared" si="4" ref="C85:C93">C84-D85</f>
        <v>29620000</v>
      </c>
      <c r="D85" s="138">
        <f>D83</f>
        <v>2962000</v>
      </c>
      <c r="E85" s="170"/>
      <c r="F85" s="138"/>
      <c r="G85" s="138"/>
      <c r="H85" s="148"/>
      <c r="I85" s="148"/>
      <c r="J85" s="149"/>
    </row>
    <row r="86" spans="1:10" ht="12.75">
      <c r="A86" s="84">
        <v>40724</v>
      </c>
      <c r="B86" s="108">
        <f t="shared" si="3"/>
        <v>2</v>
      </c>
      <c r="C86" s="86">
        <f t="shared" si="4"/>
        <v>29620000</v>
      </c>
      <c r="D86" s="138"/>
      <c r="E86" s="170">
        <f>E84</f>
        <v>0.028</v>
      </c>
      <c r="F86" s="86">
        <f>((C85+D85)*E86/360*B85)+((C86+D86)*E86/360*B86)</f>
        <v>230147.4</v>
      </c>
      <c r="G86" s="86">
        <f>((C85+D85)*$D$4/360*B85)+((C86+D86)*$D$4/360*B86)</f>
        <v>82195.5</v>
      </c>
      <c r="H86" s="148"/>
      <c r="I86" s="148"/>
      <c r="J86" s="149"/>
    </row>
    <row r="87" spans="1:10" ht="12.75">
      <c r="A87" s="84">
        <v>40814</v>
      </c>
      <c r="B87" s="108">
        <f t="shared" si="3"/>
        <v>90</v>
      </c>
      <c r="C87" s="86">
        <f t="shared" si="4"/>
        <v>26658000</v>
      </c>
      <c r="D87" s="138">
        <f>D85</f>
        <v>2962000</v>
      </c>
      <c r="E87" s="170"/>
      <c r="F87" s="138"/>
      <c r="G87" s="138"/>
      <c r="H87" s="148"/>
      <c r="I87" s="148"/>
      <c r="J87" s="149"/>
    </row>
    <row r="88" spans="1:10" ht="12.75">
      <c r="A88" s="84">
        <v>40816</v>
      </c>
      <c r="B88" s="108">
        <f t="shared" si="3"/>
        <v>2</v>
      </c>
      <c r="C88" s="86">
        <f t="shared" si="4"/>
        <v>26658000</v>
      </c>
      <c r="D88" s="138"/>
      <c r="E88" s="170">
        <f>E86</f>
        <v>0.028</v>
      </c>
      <c r="F88" s="86">
        <f>((C87+D87)*E88/360*B87)+((C88+D88)*E88/360*B88)</f>
        <v>211486.8</v>
      </c>
      <c r="G88" s="86">
        <f>((C87+D87)*$D$4/360*B87)+((C88+D88)*$D$4/360*B88)</f>
        <v>75531</v>
      </c>
      <c r="H88" s="148"/>
      <c r="I88" s="148"/>
      <c r="J88" s="149"/>
    </row>
    <row r="89" spans="1:10" ht="12.75">
      <c r="A89" s="84">
        <v>40905</v>
      </c>
      <c r="B89" s="108">
        <f t="shared" si="3"/>
        <v>89</v>
      </c>
      <c r="C89" s="86">
        <f t="shared" si="4"/>
        <v>23696000</v>
      </c>
      <c r="D89" s="138">
        <f>D87</f>
        <v>2962000</v>
      </c>
      <c r="E89" s="170"/>
      <c r="F89" s="138"/>
      <c r="G89" s="154"/>
      <c r="H89" s="148"/>
      <c r="I89" s="148"/>
      <c r="J89" s="149"/>
    </row>
    <row r="90" spans="1:10" ht="12.75">
      <c r="A90" s="142">
        <v>40908</v>
      </c>
      <c r="B90" s="108">
        <f t="shared" si="3"/>
        <v>3</v>
      </c>
      <c r="C90" s="175">
        <f t="shared" si="4"/>
        <v>23696000</v>
      </c>
      <c r="D90" s="143"/>
      <c r="E90" s="172">
        <f>E88</f>
        <v>0.028</v>
      </c>
      <c r="F90" s="86">
        <f>((C89+D89)*E90/360*B89)+((C90+D90)*E90/360*B90)</f>
        <v>190061.6666666667</v>
      </c>
      <c r="G90" s="86">
        <f>((C89+D89)*$D$4/360*B89)+((C90+D90)*$D$4/360*B90)</f>
        <v>67879.16666666667</v>
      </c>
      <c r="H90" s="150">
        <f>SUM(F83:G90)</f>
        <v>1194031.566666667</v>
      </c>
      <c r="I90" s="150">
        <f>SUM(D83:D90)</f>
        <v>11848000</v>
      </c>
      <c r="J90" s="151">
        <f>SUM(H90:I90)</f>
        <v>13042031.566666666</v>
      </c>
    </row>
    <row r="91" spans="1:10" ht="12.75">
      <c r="A91" s="103">
        <v>40996</v>
      </c>
      <c r="B91" s="173">
        <f t="shared" si="3"/>
        <v>88</v>
      </c>
      <c r="C91" s="42">
        <f t="shared" si="4"/>
        <v>20734000</v>
      </c>
      <c r="D91" s="138">
        <f>D89</f>
        <v>2962000</v>
      </c>
      <c r="E91" s="170"/>
      <c r="F91" s="42"/>
      <c r="G91" s="139"/>
      <c r="H91" s="140"/>
      <c r="I91" s="140"/>
      <c r="J91" s="141"/>
    </row>
    <row r="92" spans="1:10" ht="12.75">
      <c r="A92" s="84">
        <v>40999</v>
      </c>
      <c r="B92" s="108">
        <f t="shared" si="3"/>
        <v>3</v>
      </c>
      <c r="C92" s="86">
        <f t="shared" si="4"/>
        <v>20734000</v>
      </c>
      <c r="D92" s="138"/>
      <c r="E92" s="170">
        <f>E90</f>
        <v>0.028</v>
      </c>
      <c r="F92" s="86">
        <f>((C91+D91)*E92/360*B91)+((C92+D92)*E92/360*B92)</f>
        <v>167023.88888888888</v>
      </c>
      <c r="G92" s="86">
        <f>((C91+D91)*$D$4/360*B91)+((C92+D92)*$D$4/360*B92)</f>
        <v>59651.38888888888</v>
      </c>
      <c r="H92" s="148"/>
      <c r="I92" s="148"/>
      <c r="J92" s="149"/>
    </row>
    <row r="93" spans="1:10" ht="12.75">
      <c r="A93" s="84">
        <v>41088</v>
      </c>
      <c r="B93" s="108">
        <f t="shared" si="3"/>
        <v>89</v>
      </c>
      <c r="C93" s="86">
        <f t="shared" si="4"/>
        <v>17772000</v>
      </c>
      <c r="D93" s="138">
        <f>D91</f>
        <v>2962000</v>
      </c>
      <c r="E93" s="170"/>
      <c r="F93" s="86"/>
      <c r="G93" s="138"/>
      <c r="H93" s="148"/>
      <c r="I93" s="148"/>
      <c r="J93" s="149"/>
    </row>
    <row r="94" spans="1:10" ht="12.75">
      <c r="A94" s="84">
        <v>41090</v>
      </c>
      <c r="B94" s="108">
        <f t="shared" si="3"/>
        <v>2</v>
      </c>
      <c r="C94" s="86">
        <f>C93-D94</f>
        <v>17772000</v>
      </c>
      <c r="D94" s="138"/>
      <c r="E94" s="170">
        <f>E92</f>
        <v>0.028</v>
      </c>
      <c r="F94" s="86">
        <f>((C93+D93)*E94/360*B93)+((C94+D94)*E94/360*B94)</f>
        <v>146289.88888888888</v>
      </c>
      <c r="G94" s="86">
        <f>((C93+D93)*$D$4/360*B93)+((C94+D94)*$D$4/360*B94)</f>
        <v>52246.38888888889</v>
      </c>
      <c r="H94" s="148"/>
      <c r="I94" s="148"/>
      <c r="J94" s="149"/>
    </row>
    <row r="95" spans="1:10" ht="12.75">
      <c r="A95" s="84">
        <v>41180</v>
      </c>
      <c r="B95" s="108">
        <f t="shared" si="3"/>
        <v>90</v>
      </c>
      <c r="C95" s="86">
        <f aca="true" t="shared" si="5" ref="C95:C105">C94-D95</f>
        <v>14810000</v>
      </c>
      <c r="D95" s="138">
        <f>D93</f>
        <v>2962000</v>
      </c>
      <c r="E95" s="170"/>
      <c r="F95" s="86"/>
      <c r="G95" s="138"/>
      <c r="H95" s="148"/>
      <c r="I95" s="148"/>
      <c r="J95" s="149"/>
    </row>
    <row r="96" spans="1:10" ht="12.75">
      <c r="A96" s="84">
        <v>41182</v>
      </c>
      <c r="B96" s="108">
        <f t="shared" si="3"/>
        <v>2</v>
      </c>
      <c r="C96" s="86">
        <f t="shared" si="5"/>
        <v>14810000</v>
      </c>
      <c r="D96" s="138"/>
      <c r="E96" s="170">
        <f>E94</f>
        <v>0.028</v>
      </c>
      <c r="F96" s="86">
        <f>((C95+D95)*E96/360*B95)+((C96+D96)*E96/360*B96)</f>
        <v>126707.77777777778</v>
      </c>
      <c r="G96" s="86">
        <f>((C95+D95)*$D$4/360*B95)+((C96+D96)*$D$4/360*B96)</f>
        <v>45252.77777777778</v>
      </c>
      <c r="H96" s="148"/>
      <c r="I96" s="148"/>
      <c r="J96" s="149"/>
    </row>
    <row r="97" spans="1:10" ht="12.75">
      <c r="A97" s="84">
        <v>41271</v>
      </c>
      <c r="B97" s="108">
        <f t="shared" si="3"/>
        <v>89</v>
      </c>
      <c r="C97" s="86">
        <f t="shared" si="5"/>
        <v>11848000</v>
      </c>
      <c r="D97" s="138">
        <f>D95</f>
        <v>2962000</v>
      </c>
      <c r="E97" s="170"/>
      <c r="F97" s="86"/>
      <c r="G97" s="154"/>
      <c r="H97" s="148"/>
      <c r="I97" s="148"/>
      <c r="J97" s="149"/>
    </row>
    <row r="98" spans="1:10" ht="12.75">
      <c r="A98" s="142">
        <v>41274</v>
      </c>
      <c r="B98" s="98">
        <f t="shared" si="3"/>
        <v>3</v>
      </c>
      <c r="C98" s="175">
        <f t="shared" si="5"/>
        <v>11848000</v>
      </c>
      <c r="D98" s="143"/>
      <c r="E98" s="172">
        <f>E96</f>
        <v>0.028</v>
      </c>
      <c r="F98" s="99">
        <f>((C97+D97)*E98/360*B97)+((C98+D98)*E98/360*B98)</f>
        <v>105282.64444444445</v>
      </c>
      <c r="G98" s="86">
        <f>((C97+D97)*$D$4/360*B97)+((C98+D98)*$D$4/360*B98)</f>
        <v>37600.94444444445</v>
      </c>
      <c r="H98" s="150">
        <f>SUM(F91:G98)</f>
        <v>740055.7</v>
      </c>
      <c r="I98" s="150">
        <f>SUM(D91:D98)</f>
        <v>11848000</v>
      </c>
      <c r="J98" s="151">
        <f>SUM(H98:I98)</f>
        <v>12588055.7</v>
      </c>
    </row>
    <row r="99" spans="1:10" ht="12.75">
      <c r="A99" s="103">
        <v>41361</v>
      </c>
      <c r="B99" s="112">
        <f t="shared" si="3"/>
        <v>87</v>
      </c>
      <c r="C99" s="138">
        <f t="shared" si="5"/>
        <v>8886000</v>
      </c>
      <c r="D99" s="138">
        <f>D97</f>
        <v>2962000</v>
      </c>
      <c r="E99" s="170"/>
      <c r="F99" s="138"/>
      <c r="G99" s="138"/>
      <c r="H99" s="140"/>
      <c r="I99" s="140"/>
      <c r="J99" s="141"/>
    </row>
    <row r="100" spans="1:10" ht="12.75">
      <c r="A100" s="84">
        <v>41364</v>
      </c>
      <c r="B100" s="108">
        <f t="shared" si="3"/>
        <v>3</v>
      </c>
      <c r="C100" s="138">
        <f t="shared" si="5"/>
        <v>8886000</v>
      </c>
      <c r="D100" s="138"/>
      <c r="E100" s="170">
        <f>E98</f>
        <v>0.028</v>
      </c>
      <c r="F100" s="86">
        <f>((C99+D99)*E100/360*B99)+((C100+D100)*E100/360*B100)</f>
        <v>82244.86666666665</v>
      </c>
      <c r="G100" s="86">
        <f>((C99+D99)*$D$4/360*B99)+((C100+D100)*$D$4/360*B100)</f>
        <v>29373.166666666664</v>
      </c>
      <c r="H100" s="148"/>
      <c r="I100" s="148"/>
      <c r="J100" s="149"/>
    </row>
    <row r="101" spans="1:10" ht="12.75">
      <c r="A101" s="84">
        <v>41453</v>
      </c>
      <c r="B101" s="108">
        <f t="shared" si="3"/>
        <v>89</v>
      </c>
      <c r="C101" s="138">
        <f t="shared" si="5"/>
        <v>5924000</v>
      </c>
      <c r="D101" s="138">
        <f>D99</f>
        <v>2962000</v>
      </c>
      <c r="E101" s="170"/>
      <c r="F101" s="138"/>
      <c r="G101" s="138"/>
      <c r="H101" s="148"/>
      <c r="I101" s="148"/>
      <c r="J101" s="149"/>
    </row>
    <row r="102" spans="1:10" ht="12.75">
      <c r="A102" s="84">
        <v>41455</v>
      </c>
      <c r="B102" s="108">
        <f t="shared" si="3"/>
        <v>2</v>
      </c>
      <c r="C102" s="138">
        <f t="shared" si="5"/>
        <v>5924000</v>
      </c>
      <c r="D102" s="138"/>
      <c r="E102" s="170">
        <f>E100</f>
        <v>0.028</v>
      </c>
      <c r="F102" s="86">
        <f>((C101+D101)*E102/360*B101)+((C102+D102)*E102/360*B102)</f>
        <v>62432.37777777778</v>
      </c>
      <c r="G102" s="86">
        <f>((C101+D101)*$D$4/360*B101)+((C102+D102)*$D$4/360*B102)</f>
        <v>22297.277777777777</v>
      </c>
      <c r="H102" s="148"/>
      <c r="I102" s="148"/>
      <c r="J102" s="149"/>
    </row>
    <row r="103" spans="1:10" ht="12.75">
      <c r="A103" s="84">
        <v>41545</v>
      </c>
      <c r="B103" s="108">
        <f t="shared" si="3"/>
        <v>90</v>
      </c>
      <c r="C103" s="138">
        <f t="shared" si="5"/>
        <v>2962000</v>
      </c>
      <c r="D103" s="138">
        <f>D101</f>
        <v>2962000</v>
      </c>
      <c r="E103" s="170"/>
      <c r="F103" s="138"/>
      <c r="G103" s="138"/>
      <c r="H103" s="148"/>
      <c r="I103" s="148"/>
      <c r="J103" s="149"/>
    </row>
    <row r="104" spans="1:10" ht="12.75">
      <c r="A104" s="84">
        <v>41547</v>
      </c>
      <c r="B104" s="108">
        <f t="shared" si="3"/>
        <v>2</v>
      </c>
      <c r="C104" s="138">
        <f t="shared" si="5"/>
        <v>2962000</v>
      </c>
      <c r="D104" s="138"/>
      <c r="E104" s="170">
        <f>E102</f>
        <v>0.028</v>
      </c>
      <c r="F104" s="86">
        <f>((C103+D103)*E104/360*B103)+((C104+D104)*E104/360*B104)</f>
        <v>41928.75555555556</v>
      </c>
      <c r="G104" s="86">
        <f>((C103+D103)*$D$4/360*B103)+((C104+D104)*$D$4/360*B104)</f>
        <v>14974.555555555553</v>
      </c>
      <c r="H104" s="148"/>
      <c r="I104" s="148"/>
      <c r="J104" s="149"/>
    </row>
    <row r="105" spans="1:10" ht="13.5" thickBot="1">
      <c r="A105" s="84">
        <v>41636</v>
      </c>
      <c r="B105" s="108">
        <f t="shared" si="3"/>
        <v>89</v>
      </c>
      <c r="C105" s="138">
        <f t="shared" si="5"/>
        <v>0</v>
      </c>
      <c r="D105" s="138">
        <f>D103</f>
        <v>2962000</v>
      </c>
      <c r="E105" s="170">
        <f>E104</f>
        <v>0.028</v>
      </c>
      <c r="F105" s="86">
        <f>((C105+D105)*E105/360*B105)</f>
        <v>20503.62222222222</v>
      </c>
      <c r="G105" s="86">
        <f>((C105+D105)*$D$4/360*B105)</f>
        <v>7322.722222222222</v>
      </c>
      <c r="H105" s="150">
        <f>SUM(F99:G105)</f>
        <v>281077.34444444446</v>
      </c>
      <c r="I105" s="150">
        <f>SUM(D99:D105)</f>
        <v>11848000</v>
      </c>
      <c r="J105" s="151">
        <f>SUM(H105:I105)</f>
        <v>12129077.344444444</v>
      </c>
    </row>
    <row r="106" spans="1:10" ht="13.5" thickTop="1">
      <c r="A106" s="157" t="s">
        <v>14</v>
      </c>
      <c r="B106" s="158"/>
      <c r="C106" s="159"/>
      <c r="D106" s="160">
        <f>SUM(D8:D105)</f>
        <v>124412000</v>
      </c>
      <c r="E106" s="178"/>
      <c r="F106" s="160">
        <f>SUM(F8:F105)</f>
        <v>23970575.422222223</v>
      </c>
      <c r="G106" s="160">
        <f>SUM(G8:G105)</f>
        <v>7405060.222222223</v>
      </c>
      <c r="H106" s="160">
        <f>SUM(H8:H105)</f>
        <v>31375635.644444447</v>
      </c>
      <c r="I106" s="160">
        <f>SUM(I8:I105)</f>
        <v>124412000</v>
      </c>
      <c r="J106" s="179">
        <f>SUM(J8:J105)</f>
        <v>155787635.64444444</v>
      </c>
    </row>
    <row r="107" spans="1:10" ht="12.75">
      <c r="A107" s="180"/>
      <c r="B107" s="181"/>
      <c r="C107" s="182"/>
      <c r="D107" s="183"/>
      <c r="E107" s="184"/>
      <c r="F107" s="183"/>
      <c r="G107" s="183"/>
      <c r="H107" s="183"/>
      <c r="I107" s="183"/>
      <c r="J107" s="183"/>
    </row>
    <row r="108" spans="1:10" ht="12.75">
      <c r="A108" s="162"/>
      <c r="B108" s="181"/>
      <c r="C108" s="182"/>
      <c r="D108" s="183"/>
      <c r="E108" s="184"/>
      <c r="F108" s="183"/>
      <c r="G108" s="183"/>
      <c r="H108" s="183"/>
      <c r="I108" s="183"/>
      <c r="J108" s="183"/>
    </row>
    <row r="110" spans="3:7" ht="12.75">
      <c r="C110" s="121"/>
      <c r="D110" s="121"/>
      <c r="E110" s="58"/>
      <c r="F110" s="121"/>
      <c r="G110" s="121"/>
    </row>
    <row r="111" spans="3:7" ht="12.75">
      <c r="C111" s="121"/>
      <c r="D111" s="121"/>
      <c r="E111" s="58"/>
      <c r="F111" s="121"/>
      <c r="G111" s="121"/>
    </row>
    <row r="112" spans="3:5" ht="12.75">
      <c r="C112" s="121"/>
      <c r="D112" s="121"/>
      <c r="E112" s="58"/>
    </row>
    <row r="113" spans="3:5" ht="12.75">
      <c r="C113" s="121"/>
      <c r="D113" s="121"/>
      <c r="E113" s="58"/>
    </row>
    <row r="114" spans="3:7" ht="12.75">
      <c r="C114" s="121"/>
      <c r="D114" s="121"/>
      <c r="E114" s="58"/>
      <c r="F114" s="121"/>
      <c r="G114" s="121"/>
    </row>
  </sheetData>
  <sheetProtection/>
  <printOptions horizontalCentered="1"/>
  <pageMargins left="0.5905511811023623" right="0.3937007874015748" top="0.7874015748031497" bottom="0.5905511811023623" header="0.1968503937007874" footer="0.1968503937007874"/>
  <pageSetup horizontalDpi="300" verticalDpi="300" orientation="portrait" paperSize="9" scale="80" r:id="rId1"/>
  <headerFooter alignWithMargins="0">
    <oddHeader xml:space="preserve">&amp;C&amp;"Times New Roman CE,Félkövér"&amp;12Adósságszolgálat számítása az OTP tájékoztatása alapján&amp;"Times New Roman CE,Félkövér dőlt"
59 db szociális bérlakás építésére 2002. decemberben felvett 124.412 eFt hitel </oddHeader>
    <oddFooter>&amp;L&amp;9&amp;D
C:\Andi\adósságszolgálat\&amp;F\&amp;A&amp;R&amp;P/&amp;N</oddFooter>
  </headerFooter>
  <rowBreaks count="1" manualBreakCount="1">
    <brk id="7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pane ySplit="7" topLeftCell="BM50" activePane="bottomLeft" state="frozen"/>
      <selection pane="topLeft" activeCell="A1" sqref="A1"/>
      <selection pane="bottomLeft" activeCell="E76" sqref="E76"/>
    </sheetView>
  </sheetViews>
  <sheetFormatPr defaultColWidth="9.00390625" defaultRowHeight="12.75"/>
  <cols>
    <col min="1" max="1" width="10.625" style="58" customWidth="1"/>
    <col min="2" max="2" width="5.375" style="58" customWidth="1"/>
    <col min="3" max="3" width="11.125" style="58" bestFit="1" customWidth="1"/>
    <col min="4" max="4" width="12.625" style="58" bestFit="1" customWidth="1"/>
    <col min="5" max="5" width="6.375" style="122" customWidth="1"/>
    <col min="6" max="6" width="15.625" style="58" bestFit="1" customWidth="1"/>
    <col min="7" max="7" width="11.50390625" style="58" customWidth="1"/>
    <col min="8" max="8" width="11.375" style="58" customWidth="1"/>
    <col min="9" max="10" width="12.625" style="58" customWidth="1"/>
    <col min="11" max="11" width="1.4921875" style="58" customWidth="1"/>
    <col min="12" max="16384" width="9.375" style="58" customWidth="1"/>
  </cols>
  <sheetData>
    <row r="1" spans="1:10" ht="12.75">
      <c r="A1" s="163" t="s">
        <v>245</v>
      </c>
      <c r="B1" s="162"/>
      <c r="C1" s="163"/>
      <c r="D1" s="163"/>
      <c r="E1" s="164"/>
      <c r="J1" s="163"/>
    </row>
    <row r="2" spans="1:10" ht="12.75">
      <c r="A2" s="162" t="s">
        <v>103</v>
      </c>
      <c r="B2" s="162"/>
      <c r="C2" s="162"/>
      <c r="E2" s="165"/>
      <c r="F2" s="132"/>
      <c r="G2" s="132"/>
      <c r="H2" s="132"/>
      <c r="I2" s="132"/>
      <c r="J2" s="132"/>
    </row>
    <row r="3" spans="1:9" ht="12.75">
      <c r="A3" s="58" t="s">
        <v>42</v>
      </c>
      <c r="B3" s="133"/>
      <c r="C3" s="132"/>
      <c r="D3" s="132"/>
      <c r="F3" s="132"/>
      <c r="G3" s="132"/>
      <c r="H3" s="132"/>
      <c r="I3" s="132"/>
    </row>
    <row r="4" spans="2:10" ht="12.75">
      <c r="B4" s="133"/>
      <c r="C4" s="478" t="s">
        <v>269</v>
      </c>
      <c r="D4" s="479">
        <v>0.01</v>
      </c>
      <c r="E4" s="134"/>
      <c r="F4" s="132"/>
      <c r="G4" s="132"/>
      <c r="H4" s="132"/>
      <c r="I4" s="132"/>
      <c r="J4" s="185" t="s">
        <v>2</v>
      </c>
    </row>
    <row r="5" spans="1:10" ht="12.75">
      <c r="A5" s="66" t="s">
        <v>3</v>
      </c>
      <c r="B5" s="67" t="s">
        <v>4</v>
      </c>
      <c r="C5" s="68" t="s">
        <v>5</v>
      </c>
      <c r="D5" s="68" t="s">
        <v>33</v>
      </c>
      <c r="E5" s="166" t="s">
        <v>20</v>
      </c>
      <c r="F5" s="68" t="s">
        <v>20</v>
      </c>
      <c r="G5" s="68" t="s">
        <v>104</v>
      </c>
      <c r="H5" s="70" t="s">
        <v>6</v>
      </c>
      <c r="I5" s="70" t="s">
        <v>6</v>
      </c>
      <c r="J5" s="71" t="s">
        <v>6</v>
      </c>
    </row>
    <row r="6" spans="1:10" ht="12.75">
      <c r="A6" s="72"/>
      <c r="B6" s="73" t="s">
        <v>7</v>
      </c>
      <c r="C6" s="74" t="s">
        <v>8</v>
      </c>
      <c r="D6" s="74"/>
      <c r="E6" s="167" t="s">
        <v>57</v>
      </c>
      <c r="F6" s="168" t="s">
        <v>13</v>
      </c>
      <c r="G6" s="461" t="s">
        <v>105</v>
      </c>
      <c r="H6" s="76" t="s">
        <v>9</v>
      </c>
      <c r="I6" s="76" t="s">
        <v>11</v>
      </c>
      <c r="J6" s="77" t="s">
        <v>10</v>
      </c>
    </row>
    <row r="7" spans="1:10" ht="12.75">
      <c r="A7" s="78"/>
      <c r="B7" s="79"/>
      <c r="C7" s="80"/>
      <c r="D7" s="80"/>
      <c r="E7" s="169" t="s">
        <v>41</v>
      </c>
      <c r="F7" s="80"/>
      <c r="G7" s="80"/>
      <c r="H7" s="458" t="s">
        <v>274</v>
      </c>
      <c r="I7" s="82" t="s">
        <v>13</v>
      </c>
      <c r="J7" s="83" t="s">
        <v>12</v>
      </c>
    </row>
    <row r="8" spans="1:10" ht="12.75">
      <c r="A8" s="186">
        <v>37617</v>
      </c>
      <c r="B8" s="173"/>
      <c r="C8" s="42">
        <v>12499470</v>
      </c>
      <c r="D8" s="42"/>
      <c r="E8" s="105"/>
      <c r="F8" s="42">
        <v>0</v>
      </c>
      <c r="G8" s="42"/>
      <c r="H8" s="152"/>
      <c r="I8" s="152"/>
      <c r="J8" s="153"/>
    </row>
    <row r="9" spans="1:10" ht="12.75">
      <c r="A9" s="97">
        <v>37621</v>
      </c>
      <c r="B9" s="187">
        <v>3</v>
      </c>
      <c r="C9" s="99">
        <f>C8-D9</f>
        <v>12499470</v>
      </c>
      <c r="D9" s="99"/>
      <c r="E9" s="463">
        <v>0.0188</v>
      </c>
      <c r="F9" s="99">
        <v>2611</v>
      </c>
      <c r="G9" s="99">
        <v>0</v>
      </c>
      <c r="H9" s="150">
        <f>SUM(F8:G9)</f>
        <v>2611</v>
      </c>
      <c r="I9" s="101">
        <f>SUM(D5:D9)</f>
        <v>0</v>
      </c>
      <c r="J9" s="102">
        <f>SUM(H9:I9)</f>
        <v>2611</v>
      </c>
    </row>
    <row r="10" spans="1:10" ht="12.75">
      <c r="A10" s="103">
        <v>37711</v>
      </c>
      <c r="B10" s="189">
        <f aca="true" t="shared" si="0" ref="B10:B85">A10-A9</f>
        <v>90</v>
      </c>
      <c r="C10" s="190">
        <f>C9-D10</f>
        <v>12499470</v>
      </c>
      <c r="D10" s="139"/>
      <c r="E10" s="464">
        <v>0.0269</v>
      </c>
      <c r="F10" s="42">
        <v>67851</v>
      </c>
      <c r="G10" s="42">
        <v>31249</v>
      </c>
      <c r="H10" s="140"/>
      <c r="I10" s="140"/>
      <c r="J10" s="141"/>
    </row>
    <row r="11" spans="1:10" ht="13.5" thickBot="1">
      <c r="A11" s="191">
        <v>37729</v>
      </c>
      <c r="B11" s="192">
        <f t="shared" si="0"/>
        <v>18</v>
      </c>
      <c r="C11" s="43">
        <f>(C10-D11)+10226303</f>
        <v>22725773</v>
      </c>
      <c r="D11" s="193"/>
      <c r="E11" s="465"/>
      <c r="F11" s="43"/>
      <c r="G11" s="43"/>
      <c r="H11" s="194"/>
      <c r="I11" s="194"/>
      <c r="J11" s="195"/>
    </row>
    <row r="12" spans="1:10" ht="13.5" thickBot="1">
      <c r="A12" s="196">
        <v>37768</v>
      </c>
      <c r="B12" s="197">
        <f t="shared" si="0"/>
        <v>39</v>
      </c>
      <c r="C12" s="45">
        <f>(C11-D12)+56942030</f>
        <v>79667803</v>
      </c>
      <c r="D12" s="198"/>
      <c r="E12" s="466"/>
      <c r="F12" s="44"/>
      <c r="G12" s="44"/>
      <c r="H12" s="199"/>
      <c r="I12" s="199"/>
      <c r="J12" s="200"/>
    </row>
    <row r="13" spans="1:10" ht="13.5" thickBot="1">
      <c r="A13" s="201">
        <v>37783</v>
      </c>
      <c r="B13" s="197">
        <f t="shared" si="0"/>
        <v>15</v>
      </c>
      <c r="C13" s="45">
        <f>(C12-D13)+22256001</f>
        <v>101923804</v>
      </c>
      <c r="D13" s="202"/>
      <c r="E13" s="467"/>
      <c r="F13" s="45"/>
      <c r="G13" s="45"/>
      <c r="H13" s="203"/>
      <c r="I13" s="203"/>
      <c r="J13" s="204"/>
    </row>
    <row r="14" spans="1:10" ht="12.75">
      <c r="A14" s="205">
        <v>37802</v>
      </c>
      <c r="B14" s="206">
        <f t="shared" si="0"/>
        <v>19</v>
      </c>
      <c r="C14" s="207">
        <f>C13-D14</f>
        <v>101923804</v>
      </c>
      <c r="D14" s="207"/>
      <c r="E14" s="468">
        <v>0.0256</v>
      </c>
      <c r="F14" s="207">
        <v>266678</v>
      </c>
      <c r="G14" s="207">
        <v>117857</v>
      </c>
      <c r="H14" s="462"/>
      <c r="I14" s="208"/>
      <c r="J14" s="209"/>
    </row>
    <row r="15" spans="1:10" ht="13.5" thickBot="1">
      <c r="A15" s="191">
        <v>37811</v>
      </c>
      <c r="B15" s="192">
        <f t="shared" si="0"/>
        <v>9</v>
      </c>
      <c r="C15" s="43">
        <f>(C14-D15)+22955624</f>
        <v>124879428</v>
      </c>
      <c r="D15" s="43"/>
      <c r="E15" s="465"/>
      <c r="F15" s="43"/>
      <c r="G15" s="43"/>
      <c r="H15" s="194"/>
      <c r="I15" s="210"/>
      <c r="J15" s="211"/>
    </row>
    <row r="16" spans="1:10" ht="13.5" thickBot="1">
      <c r="A16" s="201">
        <v>37841</v>
      </c>
      <c r="B16" s="197">
        <f t="shared" si="0"/>
        <v>30</v>
      </c>
      <c r="C16" s="45">
        <f>(C15-D16)+22221280</f>
        <v>147100708</v>
      </c>
      <c r="D16" s="45"/>
      <c r="E16" s="467"/>
      <c r="F16" s="45"/>
      <c r="G16" s="45"/>
      <c r="H16" s="203"/>
      <c r="I16" s="212"/>
      <c r="J16" s="213"/>
    </row>
    <row r="17" spans="1:10" ht="12.75">
      <c r="A17" s="205">
        <v>37864</v>
      </c>
      <c r="B17" s="214">
        <f t="shared" si="0"/>
        <v>23</v>
      </c>
      <c r="C17" s="207">
        <f>(C16-D17)</f>
        <v>147100708</v>
      </c>
      <c r="D17" s="207"/>
      <c r="E17" s="468"/>
      <c r="F17" s="207"/>
      <c r="G17" s="207"/>
      <c r="H17" s="462"/>
      <c r="I17" s="208"/>
      <c r="J17" s="209"/>
    </row>
    <row r="18" spans="1:10" ht="12.75">
      <c r="A18" s="90">
        <v>37894</v>
      </c>
      <c r="B18" s="215">
        <f t="shared" si="0"/>
        <v>30</v>
      </c>
      <c r="C18" s="41">
        <f>C17-D18</f>
        <v>147100708</v>
      </c>
      <c r="D18" s="154"/>
      <c r="E18" s="469">
        <v>0.0484</v>
      </c>
      <c r="F18" s="41">
        <v>1668727</v>
      </c>
      <c r="G18" s="41">
        <v>346112</v>
      </c>
      <c r="H18" s="155"/>
      <c r="I18" s="155"/>
      <c r="J18" s="156"/>
    </row>
    <row r="19" spans="1:10" ht="13.5" thickBot="1">
      <c r="A19" s="216">
        <v>37914</v>
      </c>
      <c r="B19" s="217">
        <f t="shared" si="0"/>
        <v>20</v>
      </c>
      <c r="C19" s="41">
        <f>(C18-D19)+39974331</f>
        <v>187075039</v>
      </c>
      <c r="D19" s="198"/>
      <c r="E19" s="466"/>
      <c r="F19" s="44"/>
      <c r="G19" s="44"/>
      <c r="H19" s="199"/>
      <c r="I19" s="199"/>
      <c r="J19" s="200"/>
    </row>
    <row r="20" spans="1:10" ht="12.75">
      <c r="A20" s="218">
        <v>37940</v>
      </c>
      <c r="B20" s="214">
        <f t="shared" si="0"/>
        <v>26</v>
      </c>
      <c r="C20" s="219">
        <f>C19-D20</f>
        <v>187075039</v>
      </c>
      <c r="D20" s="220"/>
      <c r="E20" s="470"/>
      <c r="F20" s="219"/>
      <c r="G20" s="219"/>
      <c r="H20" s="221"/>
      <c r="I20" s="221"/>
      <c r="J20" s="222"/>
    </row>
    <row r="21" spans="1:10" ht="12.75">
      <c r="A21" s="90">
        <v>37983</v>
      </c>
      <c r="B21" s="215">
        <f t="shared" si="0"/>
        <v>43</v>
      </c>
      <c r="C21" s="41">
        <f>C20-D21</f>
        <v>184439019</v>
      </c>
      <c r="D21" s="154">
        <v>2636020</v>
      </c>
      <c r="E21" s="469"/>
      <c r="F21" s="41"/>
      <c r="G21" s="41"/>
      <c r="H21" s="155"/>
      <c r="I21" s="155"/>
      <c r="J21" s="156"/>
    </row>
    <row r="22" spans="1:10" ht="12.75">
      <c r="A22" s="223">
        <v>37986</v>
      </c>
      <c r="B22" s="224">
        <f t="shared" si="0"/>
        <v>3</v>
      </c>
      <c r="C22" s="107">
        <f aca="true" t="shared" si="1" ref="C22:C98">C21-D22</f>
        <v>184439019</v>
      </c>
      <c r="D22" s="171"/>
      <c r="E22" s="471">
        <v>0.047</v>
      </c>
      <c r="F22" s="111">
        <v>2184140</v>
      </c>
      <c r="G22" s="111">
        <v>455653</v>
      </c>
      <c r="H22" s="225">
        <f>SUM(F10:G22)</f>
        <v>5138267</v>
      </c>
      <c r="I22" s="225">
        <f>SUM(D10:D22)</f>
        <v>2636020</v>
      </c>
      <c r="J22" s="226">
        <f>SUM(H22:I22)</f>
        <v>7774287</v>
      </c>
    </row>
    <row r="23" spans="1:10" ht="12.75">
      <c r="A23" s="186">
        <v>38071</v>
      </c>
      <c r="B23" s="189">
        <f t="shared" si="0"/>
        <v>85</v>
      </c>
      <c r="C23" s="227">
        <f>C22-D23</f>
        <v>184439019</v>
      </c>
      <c r="D23" s="227"/>
      <c r="E23" s="472"/>
      <c r="F23" s="190"/>
      <c r="G23" s="190"/>
      <c r="H23" s="228"/>
      <c r="I23" s="228"/>
      <c r="J23" s="229"/>
    </row>
    <row r="24" spans="1:10" ht="12.75">
      <c r="A24" s="90">
        <v>38074</v>
      </c>
      <c r="B24" s="215">
        <f t="shared" si="0"/>
        <v>3</v>
      </c>
      <c r="C24" s="154">
        <f>C23-D24</f>
        <v>181869019</v>
      </c>
      <c r="D24" s="154">
        <v>2570000</v>
      </c>
      <c r="E24" s="473"/>
      <c r="F24" s="41"/>
      <c r="G24" s="41"/>
      <c r="H24" s="155"/>
      <c r="I24" s="155"/>
      <c r="J24" s="156"/>
    </row>
    <row r="25" spans="1:10" ht="12.75">
      <c r="A25" s="84">
        <v>38077</v>
      </c>
      <c r="B25" s="215">
        <f t="shared" si="0"/>
        <v>3</v>
      </c>
      <c r="C25" s="138">
        <f t="shared" si="1"/>
        <v>181869019</v>
      </c>
      <c r="D25" s="138"/>
      <c r="E25" s="474">
        <v>0.05</v>
      </c>
      <c r="F25" s="86">
        <v>2328853</v>
      </c>
      <c r="G25" s="86">
        <v>466078</v>
      </c>
      <c r="H25" s="148"/>
      <c r="I25" s="148"/>
      <c r="J25" s="149"/>
    </row>
    <row r="26" spans="1:10" ht="12.75">
      <c r="A26" s="84">
        <v>38166</v>
      </c>
      <c r="B26" s="215">
        <f t="shared" si="0"/>
        <v>89</v>
      </c>
      <c r="C26" s="138">
        <f t="shared" si="1"/>
        <v>179299019</v>
      </c>
      <c r="D26" s="138">
        <v>2570000</v>
      </c>
      <c r="E26" s="474"/>
      <c r="F26" s="41"/>
      <c r="G26" s="41"/>
      <c r="H26" s="148"/>
      <c r="I26" s="148"/>
      <c r="J26" s="149"/>
    </row>
    <row r="27" spans="1:10" ht="12.75">
      <c r="A27" s="84">
        <v>38168</v>
      </c>
      <c r="B27" s="217">
        <f t="shared" si="0"/>
        <v>2</v>
      </c>
      <c r="C27" s="138">
        <f t="shared" si="1"/>
        <v>179299019</v>
      </c>
      <c r="D27" s="138"/>
      <c r="E27" s="474">
        <v>0.05</v>
      </c>
      <c r="F27" s="86">
        <v>2297908</v>
      </c>
      <c r="G27" s="86">
        <v>459582</v>
      </c>
      <c r="H27" s="148"/>
      <c r="I27" s="148"/>
      <c r="J27" s="149"/>
    </row>
    <row r="28" spans="1:10" ht="12.75">
      <c r="A28" s="84">
        <v>38258</v>
      </c>
      <c r="B28" s="91">
        <f t="shared" si="0"/>
        <v>90</v>
      </c>
      <c r="C28" s="138">
        <f t="shared" si="1"/>
        <v>176729019</v>
      </c>
      <c r="D28" s="138">
        <v>2570000</v>
      </c>
      <c r="E28" s="474"/>
      <c r="F28" s="41"/>
      <c r="G28" s="41"/>
      <c r="H28" s="148"/>
      <c r="I28" s="148"/>
      <c r="J28" s="149"/>
    </row>
    <row r="29" spans="1:10" ht="12.75">
      <c r="A29" s="84">
        <v>38260</v>
      </c>
      <c r="B29" s="91">
        <f t="shared" si="0"/>
        <v>2</v>
      </c>
      <c r="C29" s="41">
        <f t="shared" si="1"/>
        <v>176729019</v>
      </c>
      <c r="D29" s="138"/>
      <c r="E29" s="474">
        <f>E27</f>
        <v>0.05</v>
      </c>
      <c r="F29" s="86">
        <v>2290329</v>
      </c>
      <c r="G29" s="86">
        <v>458066</v>
      </c>
      <c r="H29" s="148"/>
      <c r="I29" s="148"/>
      <c r="J29" s="149"/>
    </row>
    <row r="30" spans="1:10" ht="12.75">
      <c r="A30" s="84">
        <v>38335</v>
      </c>
      <c r="B30" s="108">
        <f t="shared" si="0"/>
        <v>75</v>
      </c>
      <c r="C30" s="41">
        <f t="shared" si="1"/>
        <v>151748693</v>
      </c>
      <c r="D30" s="138">
        <v>24980326</v>
      </c>
      <c r="E30" s="474"/>
      <c r="F30" s="86"/>
      <c r="G30" s="86"/>
      <c r="H30" s="148"/>
      <c r="I30" s="148"/>
      <c r="J30" s="149"/>
    </row>
    <row r="31" spans="1:10" ht="12.75">
      <c r="A31" s="84">
        <v>38349</v>
      </c>
      <c r="B31" s="108">
        <f t="shared" si="0"/>
        <v>14</v>
      </c>
      <c r="C31" s="41">
        <f t="shared" si="1"/>
        <v>149670000</v>
      </c>
      <c r="D31" s="138">
        <v>2078693</v>
      </c>
      <c r="E31" s="474"/>
      <c r="F31" s="41"/>
      <c r="G31" s="41"/>
      <c r="H31" s="148"/>
      <c r="I31" s="148"/>
      <c r="J31" s="149"/>
    </row>
    <row r="32" spans="1:10" ht="12.75">
      <c r="A32" s="142">
        <v>38352</v>
      </c>
      <c r="B32" s="108">
        <f t="shared" si="0"/>
        <v>3</v>
      </c>
      <c r="C32" s="99">
        <f t="shared" si="1"/>
        <v>149670000</v>
      </c>
      <c r="D32" s="143"/>
      <c r="E32" s="475">
        <v>0.0308</v>
      </c>
      <c r="F32" s="86">
        <v>1363613</v>
      </c>
      <c r="G32" s="86">
        <v>439671</v>
      </c>
      <c r="H32" s="150">
        <f>SUM(F24:G32)</f>
        <v>10104100</v>
      </c>
      <c r="I32" s="150">
        <f>SUM(D24:D32)</f>
        <v>34769019</v>
      </c>
      <c r="J32" s="151">
        <f>SUM(H32:I32)</f>
        <v>44873119</v>
      </c>
    </row>
    <row r="33" spans="1:10" ht="12.75">
      <c r="A33" s="103">
        <v>38440</v>
      </c>
      <c r="B33" s="104">
        <f t="shared" si="0"/>
        <v>88</v>
      </c>
      <c r="C33" s="42">
        <f t="shared" si="1"/>
        <v>147591250</v>
      </c>
      <c r="D33" s="138">
        <v>2078750</v>
      </c>
      <c r="E33" s="474"/>
      <c r="F33" s="42"/>
      <c r="G33" s="42"/>
      <c r="H33" s="140"/>
      <c r="I33" s="140"/>
      <c r="J33" s="141"/>
    </row>
    <row r="34" spans="1:10" ht="12.75">
      <c r="A34" s="84">
        <v>38442</v>
      </c>
      <c r="B34" s="91">
        <f t="shared" si="0"/>
        <v>2</v>
      </c>
      <c r="C34" s="86">
        <f t="shared" si="1"/>
        <v>147591250</v>
      </c>
      <c r="D34" s="138"/>
      <c r="E34" s="474">
        <v>0.0144</v>
      </c>
      <c r="F34" s="86">
        <v>545464</v>
      </c>
      <c r="G34" s="86">
        <v>374060</v>
      </c>
      <c r="H34" s="148"/>
      <c r="I34" s="148"/>
      <c r="J34" s="149"/>
    </row>
    <row r="35" spans="1:10" ht="12.75">
      <c r="A35" s="84">
        <v>38473</v>
      </c>
      <c r="B35" s="91">
        <f>A35-A34</f>
        <v>31</v>
      </c>
      <c r="C35" s="86">
        <f>C34-D35</f>
        <v>147591250</v>
      </c>
      <c r="D35" s="138"/>
      <c r="E35" s="474">
        <v>0.0149</v>
      </c>
      <c r="F35" s="86"/>
      <c r="G35" s="86"/>
      <c r="H35" s="148"/>
      <c r="I35" s="148"/>
      <c r="J35" s="149"/>
    </row>
    <row r="36" spans="1:10" ht="12.75">
      <c r="A36" s="84">
        <v>38531</v>
      </c>
      <c r="B36" s="91">
        <f>A36-A34</f>
        <v>89</v>
      </c>
      <c r="C36" s="86">
        <f>C34-D36</f>
        <v>145512500</v>
      </c>
      <c r="D36" s="138">
        <v>2078750</v>
      </c>
      <c r="E36" s="474"/>
      <c r="F36" s="41"/>
      <c r="G36" s="41"/>
      <c r="H36" s="148"/>
      <c r="I36" s="148"/>
      <c r="J36" s="149"/>
    </row>
    <row r="37" spans="1:10" ht="12.75">
      <c r="A37" s="84">
        <v>38533</v>
      </c>
      <c r="B37" s="91">
        <f t="shared" si="0"/>
        <v>2</v>
      </c>
      <c r="C37" s="86">
        <f t="shared" si="1"/>
        <v>145512500</v>
      </c>
      <c r="D37" s="138"/>
      <c r="E37" s="474">
        <v>0.021</v>
      </c>
      <c r="F37" s="86">
        <v>848888</v>
      </c>
      <c r="G37" s="86">
        <v>372962</v>
      </c>
      <c r="H37" s="148"/>
      <c r="I37" s="148"/>
      <c r="J37" s="149"/>
    </row>
    <row r="38" spans="1:10" ht="12.75">
      <c r="A38" s="84">
        <v>38623</v>
      </c>
      <c r="B38" s="91">
        <f t="shared" si="0"/>
        <v>90</v>
      </c>
      <c r="C38" s="86">
        <f t="shared" si="1"/>
        <v>143433750</v>
      </c>
      <c r="D38" s="138">
        <v>2078750</v>
      </c>
      <c r="E38" s="474"/>
      <c r="F38" s="41"/>
      <c r="G38" s="41"/>
      <c r="H38" s="148"/>
      <c r="I38" s="148"/>
      <c r="J38" s="149"/>
    </row>
    <row r="39" spans="1:10" ht="12.75">
      <c r="A39" s="84">
        <v>38625</v>
      </c>
      <c r="B39" s="91">
        <f t="shared" si="0"/>
        <v>2</v>
      </c>
      <c r="C39" s="86">
        <f t="shared" si="1"/>
        <v>143433750</v>
      </c>
      <c r="D39" s="138"/>
      <c r="E39" s="474">
        <v>0.028</v>
      </c>
      <c r="F39" s="86">
        <v>867659</v>
      </c>
      <c r="G39" s="86">
        <v>371750</v>
      </c>
      <c r="H39" s="148"/>
      <c r="I39" s="148"/>
      <c r="J39" s="149"/>
    </row>
    <row r="40" spans="1:10" ht="12.75">
      <c r="A40" s="84">
        <v>38657</v>
      </c>
      <c r="B40" s="91">
        <f t="shared" si="0"/>
        <v>32</v>
      </c>
      <c r="C40" s="41">
        <f t="shared" si="1"/>
        <v>143433750</v>
      </c>
      <c r="D40" s="154"/>
      <c r="E40" s="473">
        <v>0.0188</v>
      </c>
      <c r="F40" s="86"/>
      <c r="G40" s="86"/>
      <c r="H40" s="148"/>
      <c r="I40" s="148"/>
      <c r="J40" s="149"/>
    </row>
    <row r="41" spans="1:10" ht="12.75">
      <c r="A41" s="84">
        <v>38714</v>
      </c>
      <c r="B41" s="91">
        <f t="shared" si="0"/>
        <v>57</v>
      </c>
      <c r="C41" s="41">
        <f t="shared" si="1"/>
        <v>141355000</v>
      </c>
      <c r="D41" s="154">
        <v>2078750</v>
      </c>
      <c r="E41" s="473"/>
      <c r="F41" s="41"/>
      <c r="G41" s="41"/>
      <c r="H41" s="148"/>
      <c r="I41" s="148"/>
      <c r="J41" s="149"/>
    </row>
    <row r="42" spans="1:10" ht="12.75">
      <c r="A42" s="142">
        <v>38716</v>
      </c>
      <c r="B42" s="98">
        <f t="shared" si="0"/>
        <v>2</v>
      </c>
      <c r="C42" s="99">
        <f t="shared" si="1"/>
        <v>141355000</v>
      </c>
      <c r="D42" s="144"/>
      <c r="E42" s="476">
        <v>0.0243</v>
      </c>
      <c r="F42" s="86">
        <v>819443</v>
      </c>
      <c r="G42" s="86">
        <v>362453</v>
      </c>
      <c r="H42" s="150">
        <f>SUM(F33:G42)</f>
        <v>4562679</v>
      </c>
      <c r="I42" s="150">
        <f>SUM(D33:D42)</f>
        <v>8315000</v>
      </c>
      <c r="J42" s="151">
        <f>SUM(H42:I42)</f>
        <v>12877679</v>
      </c>
    </row>
    <row r="43" spans="1:10" ht="12.75">
      <c r="A43" s="103">
        <v>38804</v>
      </c>
      <c r="B43" s="85">
        <f t="shared" si="0"/>
        <v>88</v>
      </c>
      <c r="C43" s="138">
        <f t="shared" si="1"/>
        <v>139276250</v>
      </c>
      <c r="D43" s="138">
        <v>2078750</v>
      </c>
      <c r="E43" s="474"/>
      <c r="F43" s="42"/>
      <c r="G43" s="42"/>
      <c r="H43" s="140"/>
      <c r="I43" s="140"/>
      <c r="J43" s="141"/>
    </row>
    <row r="44" spans="1:10" ht="12.75">
      <c r="A44" s="84">
        <v>38807</v>
      </c>
      <c r="B44" s="91">
        <f t="shared" si="0"/>
        <v>3</v>
      </c>
      <c r="C44" s="138">
        <f t="shared" si="1"/>
        <v>139276250</v>
      </c>
      <c r="D44" s="138"/>
      <c r="E44" s="474">
        <v>0.027</v>
      </c>
      <c r="F44" s="86">
        <v>961100</v>
      </c>
      <c r="G44" s="86">
        <v>357141</v>
      </c>
      <c r="H44" s="148"/>
      <c r="I44" s="148"/>
      <c r="J44" s="149"/>
    </row>
    <row r="45" spans="1:10" ht="12.75">
      <c r="A45" s="84">
        <v>38896</v>
      </c>
      <c r="B45" s="91">
        <f t="shared" si="0"/>
        <v>89</v>
      </c>
      <c r="C45" s="138">
        <f t="shared" si="1"/>
        <v>137197500</v>
      </c>
      <c r="D45" s="138">
        <v>2078750</v>
      </c>
      <c r="E45" s="474"/>
      <c r="F45" s="41"/>
      <c r="G45" s="41"/>
      <c r="H45" s="148"/>
      <c r="I45" s="148"/>
      <c r="J45" s="149"/>
    </row>
    <row r="46" spans="1:10" ht="12.75">
      <c r="A46" s="84">
        <v>38898</v>
      </c>
      <c r="B46" s="91">
        <f t="shared" si="0"/>
        <v>2</v>
      </c>
      <c r="C46" s="138">
        <f t="shared" si="1"/>
        <v>137197500</v>
      </c>
      <c r="D46" s="138"/>
      <c r="E46" s="474">
        <v>0.0316</v>
      </c>
      <c r="F46" s="86">
        <v>1110363</v>
      </c>
      <c r="G46" s="86">
        <v>351944</v>
      </c>
      <c r="H46" s="148"/>
      <c r="I46" s="148"/>
      <c r="J46" s="149"/>
    </row>
    <row r="47" spans="1:10" ht="12.75">
      <c r="A47" s="84">
        <v>38929</v>
      </c>
      <c r="B47" s="91">
        <f>A47-A46</f>
        <v>31</v>
      </c>
      <c r="C47" s="138">
        <f t="shared" si="1"/>
        <v>137197500</v>
      </c>
      <c r="D47" s="138"/>
      <c r="E47" s="474">
        <v>0.0322</v>
      </c>
      <c r="F47" s="86"/>
      <c r="G47" s="86"/>
      <c r="H47" s="148"/>
      <c r="I47" s="148"/>
      <c r="J47" s="149"/>
    </row>
    <row r="48" spans="1:10" ht="12.75">
      <c r="A48" s="84">
        <v>38960</v>
      </c>
      <c r="B48" s="91">
        <f>A48-A47</f>
        <v>31</v>
      </c>
      <c r="C48" s="138">
        <f aca="true" t="shared" si="2" ref="C48:C53">C47-D48</f>
        <v>137197500</v>
      </c>
      <c r="D48" s="138"/>
      <c r="E48" s="474">
        <v>0.0309</v>
      </c>
      <c r="F48" s="86"/>
      <c r="G48" s="86"/>
      <c r="H48" s="148"/>
      <c r="I48" s="148"/>
      <c r="J48" s="149"/>
    </row>
    <row r="49" spans="1:10" ht="12.75">
      <c r="A49" s="84">
        <v>38988</v>
      </c>
      <c r="B49" s="91">
        <f>A49-A48</f>
        <v>28</v>
      </c>
      <c r="C49" s="138">
        <f t="shared" si="2"/>
        <v>135118750</v>
      </c>
      <c r="D49" s="138">
        <v>2078750</v>
      </c>
      <c r="E49" s="474"/>
      <c r="F49" s="41"/>
      <c r="G49" s="41"/>
      <c r="H49" s="148"/>
      <c r="I49" s="148"/>
      <c r="J49" s="149"/>
    </row>
    <row r="50" spans="1:10" ht="12.75">
      <c r="A50" s="84">
        <v>38989</v>
      </c>
      <c r="B50" s="91">
        <f t="shared" si="0"/>
        <v>1</v>
      </c>
      <c r="C50" s="138">
        <f t="shared" si="2"/>
        <v>135118750</v>
      </c>
      <c r="D50" s="138"/>
      <c r="E50" s="474">
        <v>0.0283</v>
      </c>
      <c r="F50" s="86">
        <v>1028038</v>
      </c>
      <c r="G50" s="86">
        <v>346747</v>
      </c>
      <c r="H50" s="148"/>
      <c r="I50" s="148"/>
      <c r="J50" s="149"/>
    </row>
    <row r="51" spans="1:10" ht="12.75">
      <c r="A51" s="84">
        <v>38991</v>
      </c>
      <c r="B51" s="91">
        <f>A51-A50</f>
        <v>2</v>
      </c>
      <c r="C51" s="138">
        <f t="shared" si="2"/>
        <v>135118750</v>
      </c>
      <c r="D51" s="138"/>
      <c r="E51" s="474">
        <v>0.0283</v>
      </c>
      <c r="F51" s="86"/>
      <c r="G51" s="86"/>
      <c r="H51" s="148"/>
      <c r="I51" s="148"/>
      <c r="J51" s="149"/>
    </row>
    <row r="52" spans="1:10" ht="12.75">
      <c r="A52" s="84">
        <v>39022</v>
      </c>
      <c r="B52" s="91">
        <f>A52-A51</f>
        <v>31</v>
      </c>
      <c r="C52" s="138">
        <f t="shared" si="2"/>
        <v>135118750</v>
      </c>
      <c r="D52" s="138"/>
      <c r="E52" s="474">
        <v>0.0382</v>
      </c>
      <c r="F52" s="86"/>
      <c r="G52" s="86"/>
      <c r="H52" s="148"/>
      <c r="I52" s="148"/>
      <c r="J52" s="149"/>
    </row>
    <row r="53" spans="1:10" ht="12.75">
      <c r="A53" s="84">
        <v>39052</v>
      </c>
      <c r="B53" s="108">
        <f t="shared" si="0"/>
        <v>30</v>
      </c>
      <c r="C53" s="138">
        <f t="shared" si="2"/>
        <v>135118750</v>
      </c>
      <c r="D53" s="138"/>
      <c r="E53" s="474">
        <v>0.0356</v>
      </c>
      <c r="F53" s="86"/>
      <c r="G53" s="86"/>
      <c r="H53" s="148"/>
      <c r="I53" s="148"/>
      <c r="J53" s="149"/>
    </row>
    <row r="54" spans="1:10" ht="12.75">
      <c r="A54" s="84">
        <v>39079</v>
      </c>
      <c r="B54" s="108">
        <f t="shared" si="0"/>
        <v>27</v>
      </c>
      <c r="C54" s="138">
        <f>C51-D54</f>
        <v>133040000</v>
      </c>
      <c r="D54" s="138">
        <v>2078750</v>
      </c>
      <c r="E54" s="474"/>
      <c r="F54" s="41"/>
      <c r="G54" s="41"/>
      <c r="H54" s="148"/>
      <c r="I54" s="148"/>
      <c r="J54" s="149"/>
    </row>
    <row r="55" spans="1:10" ht="12.75">
      <c r="A55" s="97">
        <v>39080</v>
      </c>
      <c r="B55" s="98">
        <f t="shared" si="0"/>
        <v>1</v>
      </c>
      <c r="C55" s="144">
        <f t="shared" si="1"/>
        <v>133040000</v>
      </c>
      <c r="D55" s="144"/>
      <c r="E55" s="476">
        <v>0.0328</v>
      </c>
      <c r="F55" s="99">
        <v>1207359</v>
      </c>
      <c r="G55" s="99">
        <v>341492</v>
      </c>
      <c r="H55" s="145">
        <f>SUM(F43:G55)</f>
        <v>5704184</v>
      </c>
      <c r="I55" s="145">
        <f>SUM(D43:D55)</f>
        <v>8315000</v>
      </c>
      <c r="J55" s="146">
        <f>SUM(H55:I55)</f>
        <v>14019184</v>
      </c>
    </row>
    <row r="56" spans="1:10" ht="12.75">
      <c r="A56" s="103">
        <v>39114</v>
      </c>
      <c r="B56" s="104">
        <f>A56-A55</f>
        <v>34</v>
      </c>
      <c r="C56" s="42">
        <f>C55-D56</f>
        <v>133040000</v>
      </c>
      <c r="D56" s="139"/>
      <c r="E56" s="477">
        <v>0.0314</v>
      </c>
      <c r="F56" s="42"/>
      <c r="G56" s="42"/>
      <c r="H56" s="140"/>
      <c r="I56" s="140"/>
      <c r="J56" s="141"/>
    </row>
    <row r="57" spans="1:10" ht="12.75">
      <c r="A57" s="84">
        <v>39169</v>
      </c>
      <c r="B57" s="85">
        <f>A57-A56</f>
        <v>55</v>
      </c>
      <c r="C57" s="86">
        <f>C56-D57</f>
        <v>130961250</v>
      </c>
      <c r="D57" s="138">
        <v>2078750</v>
      </c>
      <c r="E57" s="474"/>
      <c r="F57" s="86"/>
      <c r="G57" s="86"/>
      <c r="H57" s="148"/>
      <c r="I57" s="148"/>
      <c r="J57" s="149"/>
    </row>
    <row r="58" spans="1:10" ht="12.75">
      <c r="A58" s="84">
        <v>39171</v>
      </c>
      <c r="B58" s="91">
        <f t="shared" si="0"/>
        <v>2</v>
      </c>
      <c r="C58" s="86">
        <f t="shared" si="1"/>
        <v>130961250</v>
      </c>
      <c r="D58" s="138"/>
      <c r="E58" s="474">
        <v>0.0301</v>
      </c>
      <c r="F58" s="86">
        <v>1029788</v>
      </c>
      <c r="G58" s="86">
        <v>336180</v>
      </c>
      <c r="H58" s="148"/>
      <c r="I58" s="148"/>
      <c r="J58" s="149"/>
    </row>
    <row r="59" spans="1:10" ht="12.75">
      <c r="A59" s="84">
        <v>39261</v>
      </c>
      <c r="B59" s="91">
        <f t="shared" si="0"/>
        <v>90</v>
      </c>
      <c r="C59" s="86">
        <f t="shared" si="1"/>
        <v>128882500</v>
      </c>
      <c r="D59" s="138">
        <v>2078750</v>
      </c>
      <c r="E59" s="474"/>
      <c r="F59" s="41"/>
      <c r="G59" s="41"/>
      <c r="H59" s="148"/>
      <c r="I59" s="148"/>
      <c r="J59" s="149"/>
    </row>
    <row r="60" spans="1:10" ht="12.75">
      <c r="A60" s="84">
        <v>39262</v>
      </c>
      <c r="B60" s="91">
        <f t="shared" si="0"/>
        <v>1</v>
      </c>
      <c r="C60" s="86">
        <f t="shared" si="1"/>
        <v>128882500</v>
      </c>
      <c r="D60" s="138"/>
      <c r="E60" s="474">
        <v>0.0286</v>
      </c>
      <c r="F60" s="86">
        <v>965009</v>
      </c>
      <c r="G60" s="86">
        <v>330983</v>
      </c>
      <c r="H60" s="148"/>
      <c r="I60" s="148"/>
      <c r="J60" s="149"/>
    </row>
    <row r="61" spans="1:10" ht="12.75">
      <c r="A61" s="90">
        <v>39353</v>
      </c>
      <c r="B61" s="91">
        <f t="shared" si="0"/>
        <v>91</v>
      </c>
      <c r="C61" s="41">
        <f t="shared" si="1"/>
        <v>126803750</v>
      </c>
      <c r="D61" s="138">
        <v>2078750</v>
      </c>
      <c r="E61" s="473"/>
      <c r="F61" s="41"/>
      <c r="G61" s="41"/>
      <c r="H61" s="155"/>
      <c r="I61" s="155"/>
      <c r="J61" s="156"/>
    </row>
    <row r="62" spans="1:10" ht="12.75">
      <c r="A62" s="90">
        <v>39353</v>
      </c>
      <c r="B62" s="91">
        <f t="shared" si="0"/>
        <v>0</v>
      </c>
      <c r="C62" s="41">
        <f t="shared" si="1"/>
        <v>126803750</v>
      </c>
      <c r="D62" s="138"/>
      <c r="E62" s="473">
        <v>0.029</v>
      </c>
      <c r="F62" s="41">
        <v>946177</v>
      </c>
      <c r="G62" s="41">
        <v>325786</v>
      </c>
      <c r="H62" s="155"/>
      <c r="I62" s="155"/>
      <c r="J62" s="156"/>
    </row>
    <row r="63" spans="1:10" ht="12.75">
      <c r="A63" s="84">
        <v>39444</v>
      </c>
      <c r="B63" s="91">
        <f t="shared" si="0"/>
        <v>91</v>
      </c>
      <c r="C63" s="86">
        <f t="shared" si="1"/>
        <v>124725000</v>
      </c>
      <c r="D63" s="138">
        <v>2078750</v>
      </c>
      <c r="E63" s="474"/>
      <c r="F63" s="41"/>
      <c r="G63" s="41"/>
      <c r="H63" s="148"/>
      <c r="I63" s="148"/>
      <c r="J63" s="149"/>
    </row>
    <row r="64" spans="1:10" ht="12.75">
      <c r="A64" s="97">
        <v>39445</v>
      </c>
      <c r="B64" s="98">
        <f aca="true" t="shared" si="3" ref="B64:B69">A64-A63</f>
        <v>1</v>
      </c>
      <c r="C64" s="99">
        <f aca="true" t="shared" si="4" ref="C64:C69">C63-D64</f>
        <v>124725000</v>
      </c>
      <c r="D64" s="144"/>
      <c r="E64" s="476">
        <v>0.0324</v>
      </c>
      <c r="F64" s="99">
        <v>1046156</v>
      </c>
      <c r="G64" s="99">
        <v>323996</v>
      </c>
      <c r="H64" s="145">
        <f>SUM(F57:G64)</f>
        <v>5304075</v>
      </c>
      <c r="I64" s="145">
        <f>SUM(D57:D64)</f>
        <v>8315000</v>
      </c>
      <c r="J64" s="146">
        <f>SUM(H64:I64)</f>
        <v>13619075</v>
      </c>
    </row>
    <row r="65" spans="1:10" ht="12.75">
      <c r="A65" s="103">
        <v>39479</v>
      </c>
      <c r="B65" s="104">
        <f t="shared" si="3"/>
        <v>34</v>
      </c>
      <c r="C65" s="42">
        <f t="shared" si="4"/>
        <v>124725000</v>
      </c>
      <c r="D65" s="139"/>
      <c r="E65" s="477">
        <v>0.0316</v>
      </c>
      <c r="F65" s="42"/>
      <c r="G65" s="139"/>
      <c r="H65" s="140"/>
      <c r="I65" s="140"/>
      <c r="J65" s="141"/>
    </row>
    <row r="66" spans="1:10" ht="12.75">
      <c r="A66" s="90">
        <v>39535</v>
      </c>
      <c r="B66" s="91">
        <f t="shared" si="3"/>
        <v>56</v>
      </c>
      <c r="C66" s="41">
        <f t="shared" si="4"/>
        <v>122646250</v>
      </c>
      <c r="D66" s="154">
        <v>2078750</v>
      </c>
      <c r="E66" s="176"/>
      <c r="F66" s="41"/>
      <c r="G66" s="154"/>
      <c r="H66" s="155"/>
      <c r="I66" s="155"/>
      <c r="J66" s="156"/>
    </row>
    <row r="67" spans="1:10" ht="12.75">
      <c r="A67" s="84">
        <v>39538</v>
      </c>
      <c r="B67" s="91">
        <f t="shared" si="3"/>
        <v>3</v>
      </c>
      <c r="C67" s="86">
        <f t="shared" si="4"/>
        <v>122646250</v>
      </c>
      <c r="D67" s="138"/>
      <c r="E67" s="170">
        <f>E65</f>
        <v>0.0316</v>
      </c>
      <c r="F67" s="86">
        <v>1018733</v>
      </c>
      <c r="G67" s="86">
        <v>322033</v>
      </c>
      <c r="H67" s="148"/>
      <c r="I67" s="148"/>
      <c r="J67" s="149"/>
    </row>
    <row r="68" spans="1:10" ht="12.75">
      <c r="A68" s="223">
        <v>39629</v>
      </c>
      <c r="B68" s="91">
        <f t="shared" si="3"/>
        <v>91</v>
      </c>
      <c r="C68" s="86">
        <f t="shared" si="4"/>
        <v>120567500</v>
      </c>
      <c r="D68" s="138">
        <v>2078750</v>
      </c>
      <c r="E68" s="230"/>
      <c r="F68" s="107"/>
      <c r="G68" s="171"/>
      <c r="H68" s="225"/>
      <c r="I68" s="225"/>
      <c r="J68" s="226"/>
    </row>
    <row r="69" spans="1:10" ht="12.75">
      <c r="A69" s="90">
        <v>39629</v>
      </c>
      <c r="B69" s="91">
        <f t="shared" si="3"/>
        <v>0</v>
      </c>
      <c r="C69" s="86">
        <f t="shared" si="4"/>
        <v>120567500</v>
      </c>
      <c r="D69" s="138"/>
      <c r="E69" s="95">
        <v>0.0324</v>
      </c>
      <c r="F69" s="41">
        <v>1092165</v>
      </c>
      <c r="G69" s="41">
        <v>310022</v>
      </c>
      <c r="H69" s="93"/>
      <c r="I69" s="93"/>
      <c r="J69" s="94"/>
    </row>
    <row r="70" spans="1:10" ht="12.75">
      <c r="A70" s="90">
        <v>39630</v>
      </c>
      <c r="B70" s="91">
        <f>A70-A69</f>
        <v>1</v>
      </c>
      <c r="C70" s="86">
        <f>C69-D70</f>
        <v>120567500</v>
      </c>
      <c r="D70" s="138"/>
      <c r="E70" s="95">
        <v>0.0381</v>
      </c>
      <c r="F70" s="41"/>
      <c r="G70" s="41"/>
      <c r="H70" s="93"/>
      <c r="I70" s="93"/>
      <c r="J70" s="94"/>
    </row>
    <row r="71" spans="1:10" ht="12.75">
      <c r="A71" s="90">
        <v>39661</v>
      </c>
      <c r="B71" s="91">
        <f>A71-A70</f>
        <v>31</v>
      </c>
      <c r="C71" s="86">
        <f>C70-D71</f>
        <v>120567500</v>
      </c>
      <c r="D71" s="138"/>
      <c r="E71" s="95">
        <v>0.035</v>
      </c>
      <c r="F71" s="41"/>
      <c r="G71" s="41"/>
      <c r="H71" s="93"/>
      <c r="I71" s="93"/>
      <c r="J71" s="94"/>
    </row>
    <row r="72" spans="1:10" ht="12.75">
      <c r="A72" s="90">
        <v>39719</v>
      </c>
      <c r="B72" s="91">
        <f>A72-A71</f>
        <v>58</v>
      </c>
      <c r="C72" s="86">
        <f>C71-D72</f>
        <v>118488750</v>
      </c>
      <c r="D72" s="138">
        <v>2078750</v>
      </c>
      <c r="E72" s="95"/>
      <c r="F72" s="41"/>
      <c r="G72" s="41"/>
      <c r="H72" s="93"/>
      <c r="I72" s="93"/>
      <c r="J72" s="94"/>
    </row>
    <row r="73" spans="1:10" ht="12.75">
      <c r="A73" s="84">
        <v>39721</v>
      </c>
      <c r="B73" s="85">
        <f t="shared" si="0"/>
        <v>2</v>
      </c>
      <c r="C73" s="86">
        <f>C72-D73</f>
        <v>118488750</v>
      </c>
      <c r="D73" s="138"/>
      <c r="E73" s="110">
        <v>0.035</v>
      </c>
      <c r="F73" s="138">
        <v>1087196</v>
      </c>
      <c r="G73" s="86">
        <v>308059</v>
      </c>
      <c r="H73" s="88"/>
      <c r="I73" s="88"/>
      <c r="J73" s="89"/>
    </row>
    <row r="74" spans="1:10" ht="12.75">
      <c r="A74" s="90">
        <v>39810</v>
      </c>
      <c r="B74" s="91">
        <f t="shared" si="0"/>
        <v>89</v>
      </c>
      <c r="C74" s="41">
        <f t="shared" si="1"/>
        <v>116410000</v>
      </c>
      <c r="D74" s="138">
        <v>2078750</v>
      </c>
      <c r="E74" s="95"/>
      <c r="F74" s="41"/>
      <c r="G74" s="41"/>
      <c r="H74" s="93"/>
      <c r="I74" s="93"/>
      <c r="J74" s="94"/>
    </row>
    <row r="75" spans="1:10" ht="12.75">
      <c r="A75" s="97">
        <v>39813</v>
      </c>
      <c r="B75" s="98">
        <f t="shared" si="0"/>
        <v>3</v>
      </c>
      <c r="C75" s="144">
        <f t="shared" si="1"/>
        <v>116410000</v>
      </c>
      <c r="D75" s="144"/>
      <c r="E75" s="177">
        <v>0.028</v>
      </c>
      <c r="F75" s="99">
        <f>((C75+D75)*E75/360*B75)+((C74+D74)*E75/360*B74)</f>
        <v>847367.7916666666</v>
      </c>
      <c r="G75" s="86">
        <f>((C75+D75)*$D$4/360*B75)+((C74+D74)*$D$4/360*B74)</f>
        <v>302631.3541666666</v>
      </c>
      <c r="H75" s="145">
        <f>SUM(F66:G75)</f>
        <v>5288207.145833334</v>
      </c>
      <c r="I75" s="145">
        <f>SUM(D66:D75)</f>
        <v>8315000</v>
      </c>
      <c r="J75" s="146">
        <f>SUM(H75:I75)</f>
        <v>13603207.145833334</v>
      </c>
    </row>
    <row r="76" spans="1:10" ht="12.75">
      <c r="A76" s="103">
        <v>39900</v>
      </c>
      <c r="B76" s="104">
        <f t="shared" si="0"/>
        <v>87</v>
      </c>
      <c r="C76" s="42">
        <f t="shared" si="1"/>
        <v>114331250</v>
      </c>
      <c r="D76" s="139">
        <v>2078750</v>
      </c>
      <c r="E76" s="174"/>
      <c r="F76" s="42"/>
      <c r="G76" s="139"/>
      <c r="H76" s="140"/>
      <c r="I76" s="140"/>
      <c r="J76" s="141"/>
    </row>
    <row r="77" spans="1:10" ht="12.75">
      <c r="A77" s="84">
        <v>39903</v>
      </c>
      <c r="B77" s="91">
        <f t="shared" si="0"/>
        <v>3</v>
      </c>
      <c r="C77" s="86">
        <f t="shared" si="1"/>
        <v>114331250</v>
      </c>
      <c r="D77" s="138"/>
      <c r="E77" s="170">
        <f>E75</f>
        <v>0.028</v>
      </c>
      <c r="F77" s="86">
        <f>((C77+D77)*E77/360*B77)+((C76+D76)*E77/360*B76)</f>
        <v>814384.9583333333</v>
      </c>
      <c r="G77" s="86">
        <f>((C77+D77)*$D$4/360*B77)+((C76+D76)*$D$4/360*B76)</f>
        <v>290851.7708333334</v>
      </c>
      <c r="H77" s="148"/>
      <c r="I77" s="148"/>
      <c r="J77" s="149"/>
    </row>
    <row r="78" spans="1:10" ht="12.75">
      <c r="A78" s="84">
        <v>39992</v>
      </c>
      <c r="B78" s="91">
        <f t="shared" si="0"/>
        <v>89</v>
      </c>
      <c r="C78" s="86">
        <f t="shared" si="1"/>
        <v>112252500</v>
      </c>
      <c r="D78" s="138">
        <v>2078750</v>
      </c>
      <c r="E78" s="170"/>
      <c r="F78" s="41"/>
      <c r="G78" s="171"/>
      <c r="H78" s="148"/>
      <c r="I78" s="148"/>
      <c r="J78" s="149"/>
    </row>
    <row r="79" spans="1:10" ht="12.75">
      <c r="A79" s="84">
        <v>39994</v>
      </c>
      <c r="B79" s="91">
        <f t="shared" si="0"/>
        <v>2</v>
      </c>
      <c r="C79" s="86">
        <f t="shared" si="1"/>
        <v>112252500</v>
      </c>
      <c r="D79" s="138"/>
      <c r="E79" s="170">
        <f>E77</f>
        <v>0.028</v>
      </c>
      <c r="F79" s="86">
        <f>((C79+D79)*E79/360*B79)+((C78+D78)*E79/360*B78)</f>
        <v>808887.8194444444</v>
      </c>
      <c r="G79" s="86">
        <f>((C79+D79)*$D$4/360*B79)+((C78+D78)*$D$4/360*B78)</f>
        <v>288888.50694444444</v>
      </c>
      <c r="H79" s="148"/>
      <c r="I79" s="148"/>
      <c r="J79" s="149"/>
    </row>
    <row r="80" spans="1:10" ht="12.75">
      <c r="A80" s="84">
        <v>40084</v>
      </c>
      <c r="B80" s="91">
        <f t="shared" si="0"/>
        <v>90</v>
      </c>
      <c r="C80" s="86">
        <f t="shared" si="1"/>
        <v>110173750</v>
      </c>
      <c r="D80" s="138">
        <v>2078750</v>
      </c>
      <c r="E80" s="170"/>
      <c r="F80" s="41"/>
      <c r="G80" s="41"/>
      <c r="H80" s="148"/>
      <c r="I80" s="148"/>
      <c r="J80" s="149"/>
    </row>
    <row r="81" spans="1:10" ht="12.75">
      <c r="A81" s="84">
        <v>40086</v>
      </c>
      <c r="B81" s="91">
        <f t="shared" si="0"/>
        <v>2</v>
      </c>
      <c r="C81" s="86">
        <f t="shared" si="1"/>
        <v>110173750</v>
      </c>
      <c r="D81" s="138"/>
      <c r="E81" s="170">
        <f>E79</f>
        <v>0.028</v>
      </c>
      <c r="F81" s="86">
        <f>((C81+D81)*E81/360*B81)+((C80+D80)*E81/360*B80)</f>
        <v>802905.6388888889</v>
      </c>
      <c r="G81" s="86">
        <f>((C81+D81)*$D$4/360*B81)+((C80+D80)*$D$4/360*B80)</f>
        <v>286752.0138888889</v>
      </c>
      <c r="H81" s="148"/>
      <c r="I81" s="148"/>
      <c r="J81" s="149"/>
    </row>
    <row r="82" spans="1:10" ht="12.75">
      <c r="A82" s="84">
        <v>40175</v>
      </c>
      <c r="B82" s="91">
        <f t="shared" si="0"/>
        <v>89</v>
      </c>
      <c r="C82" s="86">
        <f t="shared" si="1"/>
        <v>108095000</v>
      </c>
      <c r="D82" s="138">
        <v>2078750</v>
      </c>
      <c r="E82" s="170"/>
      <c r="F82" s="41"/>
      <c r="G82" s="41"/>
      <c r="H82" s="148"/>
      <c r="I82" s="148"/>
      <c r="J82" s="149"/>
    </row>
    <row r="83" spans="1:10" ht="12.75">
      <c r="A83" s="142">
        <v>40178</v>
      </c>
      <c r="B83" s="98">
        <f t="shared" si="0"/>
        <v>3</v>
      </c>
      <c r="C83" s="175">
        <f t="shared" si="1"/>
        <v>108095000</v>
      </c>
      <c r="D83" s="143"/>
      <c r="E83" s="172">
        <f>E81</f>
        <v>0.028</v>
      </c>
      <c r="F83" s="86">
        <f>((C83+D83)*E83/360*B83)+((C82+D82)*E83/360*B82)</f>
        <v>787869.3472222222</v>
      </c>
      <c r="G83" s="86">
        <f>((C83+D83)*$D$4/360*B83)+((C82+D82)*$D$4/360*B82)</f>
        <v>281381.90972222225</v>
      </c>
      <c r="H83" s="150">
        <f>SUM(F76:G83)</f>
        <v>4361921.965277778</v>
      </c>
      <c r="I83" s="150">
        <f>SUM(D76:D83)</f>
        <v>8315000</v>
      </c>
      <c r="J83" s="151">
        <f>SUM(H83:I83)</f>
        <v>12676921.965277778</v>
      </c>
    </row>
    <row r="84" spans="1:10" ht="12.75">
      <c r="A84" s="103">
        <v>40265</v>
      </c>
      <c r="B84" s="85">
        <f t="shared" si="0"/>
        <v>87</v>
      </c>
      <c r="C84" s="138">
        <f t="shared" si="1"/>
        <v>106016250</v>
      </c>
      <c r="D84" s="138">
        <v>2078750</v>
      </c>
      <c r="E84" s="170"/>
      <c r="F84" s="42"/>
      <c r="G84" s="139"/>
      <c r="H84" s="140"/>
      <c r="I84" s="140"/>
      <c r="J84" s="141"/>
    </row>
    <row r="85" spans="1:10" ht="12.75">
      <c r="A85" s="84">
        <v>40268</v>
      </c>
      <c r="B85" s="91">
        <f t="shared" si="0"/>
        <v>3</v>
      </c>
      <c r="C85" s="138">
        <f t="shared" si="1"/>
        <v>106016250</v>
      </c>
      <c r="D85" s="138"/>
      <c r="E85" s="170">
        <f>E83</f>
        <v>0.028</v>
      </c>
      <c r="F85" s="86">
        <f>((C85+D85)*E85/360*B85)+((C84+D84)*E85/360*B84)</f>
        <v>756179.9583333334</v>
      </c>
      <c r="G85" s="86">
        <f>((C85+D85)*$D$4/360*B85)+((C84+D84)*$D$4/360*B84)</f>
        <v>270064.2708333333</v>
      </c>
      <c r="H85" s="148"/>
      <c r="I85" s="148"/>
      <c r="J85" s="149"/>
    </row>
    <row r="86" spans="1:10" ht="12.75">
      <c r="A86" s="84">
        <v>40357</v>
      </c>
      <c r="B86" s="91">
        <f aca="true" t="shared" si="5" ref="B86:B149">A86-A85</f>
        <v>89</v>
      </c>
      <c r="C86" s="138">
        <f t="shared" si="1"/>
        <v>103937500</v>
      </c>
      <c r="D86" s="138">
        <v>2078750</v>
      </c>
      <c r="E86" s="170"/>
      <c r="F86" s="41"/>
      <c r="G86" s="171"/>
      <c r="H86" s="148"/>
      <c r="I86" s="148"/>
      <c r="J86" s="149"/>
    </row>
    <row r="87" spans="1:10" ht="12.75">
      <c r="A87" s="84">
        <v>40359</v>
      </c>
      <c r="B87" s="91">
        <f t="shared" si="5"/>
        <v>2</v>
      </c>
      <c r="C87" s="138">
        <f t="shared" si="1"/>
        <v>103937500</v>
      </c>
      <c r="D87" s="138"/>
      <c r="E87" s="170">
        <f>E85</f>
        <v>0.028</v>
      </c>
      <c r="F87" s="86">
        <f>((C87+D87)*E87/360*B87)+((C86+D86)*E87/360*B86)</f>
        <v>750036.0972222222</v>
      </c>
      <c r="G87" s="86">
        <f>((C87+D87)*$D$4/360*B87)+((C86+D86)*$D$4/360*B86)</f>
        <v>267870.03472222225</v>
      </c>
      <c r="H87" s="148"/>
      <c r="I87" s="148"/>
      <c r="J87" s="149"/>
    </row>
    <row r="88" spans="1:10" ht="12.75">
      <c r="A88" s="84">
        <v>40449</v>
      </c>
      <c r="B88" s="91">
        <f t="shared" si="5"/>
        <v>90</v>
      </c>
      <c r="C88" s="138">
        <f t="shared" si="1"/>
        <v>101858750</v>
      </c>
      <c r="D88" s="138">
        <v>2078750</v>
      </c>
      <c r="E88" s="170"/>
      <c r="F88" s="41"/>
      <c r="G88" s="41"/>
      <c r="H88" s="148"/>
      <c r="I88" s="148"/>
      <c r="J88" s="149"/>
    </row>
    <row r="89" spans="1:10" ht="12.75">
      <c r="A89" s="84">
        <v>40451</v>
      </c>
      <c r="B89" s="91">
        <f t="shared" si="5"/>
        <v>2</v>
      </c>
      <c r="C89" s="138">
        <f>C88-D89</f>
        <v>101858750</v>
      </c>
      <c r="D89" s="138"/>
      <c r="E89" s="170">
        <f>E87</f>
        <v>0.028</v>
      </c>
      <c r="F89" s="86">
        <f>((C89+D89)*E89/360*B89)+((C88+D88)*E89/360*B88)</f>
        <v>743407.1944444445</v>
      </c>
      <c r="G89" s="86">
        <f>((C89+D89)*$D$4/360*B89)+((C88+D88)*$D$4/360*B88)</f>
        <v>265502.56944444444</v>
      </c>
      <c r="H89" s="148"/>
      <c r="I89" s="148"/>
      <c r="J89" s="149"/>
    </row>
    <row r="90" spans="1:10" ht="12.75">
      <c r="A90" s="84">
        <v>40540</v>
      </c>
      <c r="B90" s="91">
        <f t="shared" si="5"/>
        <v>89</v>
      </c>
      <c r="C90" s="138">
        <f t="shared" si="1"/>
        <v>99780000</v>
      </c>
      <c r="D90" s="138">
        <v>2078750</v>
      </c>
      <c r="E90" s="170"/>
      <c r="F90" s="41"/>
      <c r="G90" s="41"/>
      <c r="H90" s="148"/>
      <c r="I90" s="148"/>
      <c r="J90" s="149"/>
    </row>
    <row r="91" spans="1:10" ht="12.75">
      <c r="A91" s="142">
        <v>40543</v>
      </c>
      <c r="B91" s="108">
        <f t="shared" si="5"/>
        <v>3</v>
      </c>
      <c r="C91" s="171">
        <f t="shared" si="1"/>
        <v>99780000</v>
      </c>
      <c r="D91" s="143"/>
      <c r="E91" s="172">
        <f>E89</f>
        <v>0.028</v>
      </c>
      <c r="F91" s="86">
        <f>((C91+D91)*E91/360*B91)+((C90+D90)*E91/360*B90)</f>
        <v>728370.9027777779</v>
      </c>
      <c r="G91" s="86">
        <f>((C91+D91)*$D$4/360*B91)+((C90+D90)*$D$4/360*B90)</f>
        <v>260132.46527777778</v>
      </c>
      <c r="H91" s="150">
        <f>SUM(F84:G91)</f>
        <v>4041563.4930555564</v>
      </c>
      <c r="I91" s="150">
        <f>SUM(D84:D91)</f>
        <v>8315000</v>
      </c>
      <c r="J91" s="151">
        <f>SUM(H91:I91)</f>
        <v>12356563.493055556</v>
      </c>
    </row>
    <row r="92" spans="1:10" ht="12.75">
      <c r="A92" s="103">
        <v>40630</v>
      </c>
      <c r="B92" s="104">
        <f t="shared" si="5"/>
        <v>87</v>
      </c>
      <c r="C92" s="42">
        <f t="shared" si="1"/>
        <v>97701250</v>
      </c>
      <c r="D92" s="138">
        <v>2078750</v>
      </c>
      <c r="E92" s="170"/>
      <c r="F92" s="42"/>
      <c r="G92" s="139"/>
      <c r="H92" s="140"/>
      <c r="I92" s="140"/>
      <c r="J92" s="141"/>
    </row>
    <row r="93" spans="1:10" ht="12.75">
      <c r="A93" s="84">
        <v>40633</v>
      </c>
      <c r="B93" s="91">
        <f t="shared" si="5"/>
        <v>3</v>
      </c>
      <c r="C93" s="86">
        <f t="shared" si="1"/>
        <v>97701250</v>
      </c>
      <c r="D93" s="138"/>
      <c r="E93" s="170">
        <f>E91</f>
        <v>0.028</v>
      </c>
      <c r="F93" s="86">
        <f>((C93+D93)*E93/360*B93)+((C92+D92)*E93/360*B92)</f>
        <v>697974.9583333334</v>
      </c>
      <c r="G93" s="86">
        <f>((C93+D93)*$D$4/360*B93)+((C92+D92)*$D$4/360*B92)</f>
        <v>249276.77083333334</v>
      </c>
      <c r="H93" s="148"/>
      <c r="I93" s="148"/>
      <c r="J93" s="149"/>
    </row>
    <row r="94" spans="1:10" ht="12.75">
      <c r="A94" s="84">
        <v>40722</v>
      </c>
      <c r="B94" s="91">
        <f t="shared" si="5"/>
        <v>89</v>
      </c>
      <c r="C94" s="86">
        <f t="shared" si="1"/>
        <v>95622500</v>
      </c>
      <c r="D94" s="138">
        <v>2078750</v>
      </c>
      <c r="E94" s="170"/>
      <c r="F94" s="41"/>
      <c r="G94" s="171"/>
      <c r="H94" s="148"/>
      <c r="I94" s="148"/>
      <c r="J94" s="149"/>
    </row>
    <row r="95" spans="1:10" ht="12.75">
      <c r="A95" s="84">
        <v>40724</v>
      </c>
      <c r="B95" s="91">
        <f t="shared" si="5"/>
        <v>2</v>
      </c>
      <c r="C95" s="86">
        <f t="shared" si="1"/>
        <v>95622500</v>
      </c>
      <c r="D95" s="138"/>
      <c r="E95" s="170">
        <f>E93</f>
        <v>0.028</v>
      </c>
      <c r="F95" s="86">
        <f>((C95+D95)*E95/360*B95)+((C94+D94)*E95/360*B94)</f>
        <v>691184.375</v>
      </c>
      <c r="G95" s="86">
        <f>((C95+D95)*$D$4/360*B95)+((C94+D94)*$D$4/360*B94)</f>
        <v>246851.56250000003</v>
      </c>
      <c r="H95" s="148"/>
      <c r="I95" s="148"/>
      <c r="J95" s="149"/>
    </row>
    <row r="96" spans="1:10" ht="12.75">
      <c r="A96" s="84">
        <v>40814</v>
      </c>
      <c r="B96" s="91">
        <f t="shared" si="5"/>
        <v>90</v>
      </c>
      <c r="C96" s="86">
        <f t="shared" si="1"/>
        <v>93543750</v>
      </c>
      <c r="D96" s="138">
        <v>2078750</v>
      </c>
      <c r="E96" s="170"/>
      <c r="F96" s="41"/>
      <c r="G96" s="41"/>
      <c r="H96" s="148"/>
      <c r="I96" s="148"/>
      <c r="J96" s="149"/>
    </row>
    <row r="97" spans="1:10" ht="12.75">
      <c r="A97" s="84">
        <v>40816</v>
      </c>
      <c r="B97" s="91">
        <f t="shared" si="5"/>
        <v>2</v>
      </c>
      <c r="C97" s="86">
        <f t="shared" si="1"/>
        <v>93543750</v>
      </c>
      <c r="D97" s="138"/>
      <c r="E97" s="170">
        <f>E95</f>
        <v>0.028</v>
      </c>
      <c r="F97" s="86">
        <f>((C97+D97)*E97/360*B97)+((C96+D96)*E97/360*B96)</f>
        <v>683908.75</v>
      </c>
      <c r="G97" s="86">
        <f>((C97+D97)*$D$4/360*B97)+((C96+D96)*$D$4/360*B96)</f>
        <v>244253.125</v>
      </c>
      <c r="H97" s="148"/>
      <c r="I97" s="148"/>
      <c r="J97" s="149"/>
    </row>
    <row r="98" spans="1:10" ht="12.75">
      <c r="A98" s="84">
        <v>40905</v>
      </c>
      <c r="B98" s="91">
        <f t="shared" si="5"/>
        <v>89</v>
      </c>
      <c r="C98" s="86">
        <f t="shared" si="1"/>
        <v>91465000</v>
      </c>
      <c r="D98" s="138">
        <v>2078750</v>
      </c>
      <c r="E98" s="170"/>
      <c r="F98" s="41"/>
      <c r="G98" s="41"/>
      <c r="H98" s="148"/>
      <c r="I98" s="148"/>
      <c r="J98" s="149"/>
    </row>
    <row r="99" spans="1:10" ht="12.75">
      <c r="A99" s="142">
        <v>40908</v>
      </c>
      <c r="B99" s="98">
        <f t="shared" si="5"/>
        <v>3</v>
      </c>
      <c r="C99" s="175">
        <f aca="true" t="shared" si="6" ref="C99:C106">C98-D99</f>
        <v>91465000</v>
      </c>
      <c r="D99" s="143"/>
      <c r="E99" s="172">
        <f>E97</f>
        <v>0.028</v>
      </c>
      <c r="F99" s="86">
        <f>((C99+D99)*E99/360*B99)+((C98+D98)*E99/360*B98)</f>
        <v>668872.4583333334</v>
      </c>
      <c r="G99" s="86">
        <f>((C99+D99)*$D$4/360*B99)+((C98+D98)*$D$4/360*B98)</f>
        <v>238883.02083333334</v>
      </c>
      <c r="H99" s="150">
        <f>SUM(F92:G99)</f>
        <v>3721205.020833334</v>
      </c>
      <c r="I99" s="150">
        <f>SUM(D92:D99)</f>
        <v>8315000</v>
      </c>
      <c r="J99" s="151">
        <f>SUM(H99:I99)</f>
        <v>12036205.020833334</v>
      </c>
    </row>
    <row r="100" spans="1:10" ht="12.75">
      <c r="A100" s="103">
        <v>40996</v>
      </c>
      <c r="B100" s="85">
        <f t="shared" si="5"/>
        <v>88</v>
      </c>
      <c r="C100" s="138">
        <f t="shared" si="6"/>
        <v>89386250</v>
      </c>
      <c r="D100" s="138">
        <v>2078750</v>
      </c>
      <c r="E100" s="170"/>
      <c r="F100" s="42"/>
      <c r="G100" s="139"/>
      <c r="H100" s="140"/>
      <c r="I100" s="140"/>
      <c r="J100" s="141"/>
    </row>
    <row r="101" spans="1:10" ht="12.75">
      <c r="A101" s="84">
        <v>40999</v>
      </c>
      <c r="B101" s="91">
        <f t="shared" si="5"/>
        <v>3</v>
      </c>
      <c r="C101" s="138">
        <f t="shared" si="6"/>
        <v>89386250</v>
      </c>
      <c r="D101" s="138"/>
      <c r="E101" s="170">
        <f>E99</f>
        <v>0.028</v>
      </c>
      <c r="F101" s="86">
        <f>((C101+D101)*E101/360*B101)+((C100+D100)*E101/360*B100)</f>
        <v>646883.9027777778</v>
      </c>
      <c r="G101" s="86">
        <f>((C101+D101)*$D$4/360*B101)+((C100+D100)*$D$4/360*B100)</f>
        <v>231029.96527777775</v>
      </c>
      <c r="H101" s="148"/>
      <c r="I101" s="148"/>
      <c r="J101" s="149"/>
    </row>
    <row r="102" spans="1:10" ht="12.75">
      <c r="A102" s="84">
        <v>41088</v>
      </c>
      <c r="B102" s="91">
        <f t="shared" si="5"/>
        <v>89</v>
      </c>
      <c r="C102" s="138">
        <f t="shared" si="6"/>
        <v>87307500</v>
      </c>
      <c r="D102" s="138">
        <v>2078750</v>
      </c>
      <c r="E102" s="170"/>
      <c r="F102" s="41"/>
      <c r="G102" s="171"/>
      <c r="H102" s="148"/>
      <c r="I102" s="148"/>
      <c r="J102" s="149"/>
    </row>
    <row r="103" spans="1:10" ht="12.75">
      <c r="A103" s="84">
        <v>41090</v>
      </c>
      <c r="B103" s="91">
        <f t="shared" si="5"/>
        <v>2</v>
      </c>
      <c r="C103" s="138">
        <f t="shared" si="6"/>
        <v>87307500</v>
      </c>
      <c r="D103" s="138"/>
      <c r="E103" s="170">
        <f>E101</f>
        <v>0.028</v>
      </c>
      <c r="F103" s="86">
        <f>((C103+D103)*E103/360*B103)+((C102+D102)*E103/360*B102)</f>
        <v>632332.6527777778</v>
      </c>
      <c r="G103" s="86">
        <f>((C103+D103)*$D$4/360*B103)+((C102+D102)*$D$4/360*B102)</f>
        <v>225833.09027777775</v>
      </c>
      <c r="H103" s="148"/>
      <c r="I103" s="148"/>
      <c r="J103" s="149"/>
    </row>
    <row r="104" spans="1:10" ht="12.75">
      <c r="A104" s="84">
        <v>41180</v>
      </c>
      <c r="B104" s="91">
        <f t="shared" si="5"/>
        <v>90</v>
      </c>
      <c r="C104" s="138">
        <f t="shared" si="6"/>
        <v>85228750</v>
      </c>
      <c r="D104" s="138">
        <v>2078750</v>
      </c>
      <c r="E104" s="170"/>
      <c r="F104" s="41"/>
      <c r="G104" s="41"/>
      <c r="H104" s="148"/>
      <c r="I104" s="148"/>
      <c r="J104" s="149"/>
    </row>
    <row r="105" spans="1:10" ht="12.75">
      <c r="A105" s="84">
        <v>41182</v>
      </c>
      <c r="B105" s="91">
        <f t="shared" si="5"/>
        <v>2</v>
      </c>
      <c r="C105" s="138">
        <f t="shared" si="6"/>
        <v>85228750</v>
      </c>
      <c r="D105" s="138"/>
      <c r="E105" s="170">
        <f>E103</f>
        <v>0.028</v>
      </c>
      <c r="F105" s="86">
        <f>((C105+D105)*E105/360*B105)+((C104+D104)*E105/360*B104)</f>
        <v>624410.3055555555</v>
      </c>
      <c r="G105" s="86">
        <f>((C105+D105)*$D$4/360*B105)+((C104+D104)*$D$4/360*B104)</f>
        <v>223003.68055555556</v>
      </c>
      <c r="H105" s="148"/>
      <c r="I105" s="148"/>
      <c r="J105" s="149"/>
    </row>
    <row r="106" spans="1:10" ht="12.75">
      <c r="A106" s="84">
        <v>41271</v>
      </c>
      <c r="B106" s="91">
        <f t="shared" si="5"/>
        <v>89</v>
      </c>
      <c r="C106" s="138">
        <f t="shared" si="6"/>
        <v>83150000</v>
      </c>
      <c r="D106" s="138">
        <v>2078750</v>
      </c>
      <c r="E106" s="170"/>
      <c r="F106" s="41"/>
      <c r="G106" s="41"/>
      <c r="H106" s="148"/>
      <c r="I106" s="148"/>
      <c r="J106" s="149"/>
    </row>
    <row r="107" spans="1:10" ht="12.75">
      <c r="A107" s="142">
        <v>41274</v>
      </c>
      <c r="B107" s="108">
        <f t="shared" si="5"/>
        <v>3</v>
      </c>
      <c r="C107" s="171">
        <f>C106-D107</f>
        <v>83150000</v>
      </c>
      <c r="D107" s="143"/>
      <c r="E107" s="172">
        <f>E105</f>
        <v>0.028</v>
      </c>
      <c r="F107" s="86">
        <f>((C107+D107)*E107/360*B107)+((C106+D106)*E107/360*B106)</f>
        <v>609374.0138888888</v>
      </c>
      <c r="G107" s="86">
        <f>((C107+D107)*$D$4/360*B107)+((C106+D106)*$D$4/360*B106)</f>
        <v>217633.57638888888</v>
      </c>
      <c r="H107" s="150">
        <f>SUM(F100:G107)</f>
        <v>3410501.1875</v>
      </c>
      <c r="I107" s="150">
        <f>SUM(D100:D107)</f>
        <v>8315000</v>
      </c>
      <c r="J107" s="151">
        <f>SUM(H107:I107)</f>
        <v>11725501.1875</v>
      </c>
    </row>
    <row r="108" spans="1:10" ht="12.75">
      <c r="A108" s="103">
        <v>41361</v>
      </c>
      <c r="B108" s="104">
        <f t="shared" si="5"/>
        <v>87</v>
      </c>
      <c r="C108" s="42">
        <f aca="true" t="shared" si="7" ref="C108:C124">C107-D108</f>
        <v>81071250</v>
      </c>
      <c r="D108" s="138">
        <v>2078750</v>
      </c>
      <c r="E108" s="170"/>
      <c r="F108" s="42"/>
      <c r="G108" s="139"/>
      <c r="H108" s="140"/>
      <c r="I108" s="140"/>
      <c r="J108" s="141"/>
    </row>
    <row r="109" spans="1:10" ht="12.75">
      <c r="A109" s="84">
        <v>41364</v>
      </c>
      <c r="B109" s="91">
        <f t="shared" si="5"/>
        <v>3</v>
      </c>
      <c r="C109" s="86">
        <f t="shared" si="7"/>
        <v>81071250</v>
      </c>
      <c r="D109" s="138"/>
      <c r="E109" s="170">
        <f>E107</f>
        <v>0.028</v>
      </c>
      <c r="F109" s="86">
        <f>((C109+D109)*E109/360*B109)+((C108+D108)*E109/360*B108)</f>
        <v>581564.9583333334</v>
      </c>
      <c r="G109" s="86">
        <f>((C109+D109)*$D$4/360*B109)+((C108+D108)*$D$4/360*B108)</f>
        <v>207701.77083333334</v>
      </c>
      <c r="H109" s="148"/>
      <c r="I109" s="148"/>
      <c r="J109" s="149"/>
    </row>
    <row r="110" spans="1:10" ht="12.75">
      <c r="A110" s="84">
        <v>41453</v>
      </c>
      <c r="B110" s="91">
        <f t="shared" si="5"/>
        <v>89</v>
      </c>
      <c r="C110" s="86">
        <f t="shared" si="7"/>
        <v>78992500</v>
      </c>
      <c r="D110" s="138">
        <v>2078750</v>
      </c>
      <c r="E110" s="170"/>
      <c r="F110" s="41"/>
      <c r="G110" s="171"/>
      <c r="H110" s="148"/>
      <c r="I110" s="148"/>
      <c r="J110" s="149"/>
    </row>
    <row r="111" spans="1:10" ht="12.75">
      <c r="A111" s="84">
        <v>41455</v>
      </c>
      <c r="B111" s="91">
        <f t="shared" si="5"/>
        <v>2</v>
      </c>
      <c r="C111" s="86">
        <f t="shared" si="7"/>
        <v>78992500</v>
      </c>
      <c r="D111" s="138"/>
      <c r="E111" s="170">
        <f>E109</f>
        <v>0.028</v>
      </c>
      <c r="F111" s="86">
        <f>((C111+D111)*E111/360*B111)+((C110+D110)*E111/360*B110)</f>
        <v>573480.9305555556</v>
      </c>
      <c r="G111" s="86">
        <f>((C111+D111)*$D$4/360*B111)+((C110+D110)*$D$4/360*B110)</f>
        <v>204814.61805555553</v>
      </c>
      <c r="H111" s="148"/>
      <c r="I111" s="148"/>
      <c r="J111" s="149"/>
    </row>
    <row r="112" spans="1:10" ht="12.75">
      <c r="A112" s="90">
        <v>41545</v>
      </c>
      <c r="B112" s="91">
        <f t="shared" si="5"/>
        <v>90</v>
      </c>
      <c r="C112" s="41">
        <f t="shared" si="7"/>
        <v>76913750</v>
      </c>
      <c r="D112" s="138">
        <v>2078750</v>
      </c>
      <c r="E112" s="176"/>
      <c r="F112" s="41"/>
      <c r="G112" s="41"/>
      <c r="H112" s="155"/>
      <c r="I112" s="155"/>
      <c r="J112" s="156"/>
    </row>
    <row r="113" spans="1:10" ht="12.75">
      <c r="A113" s="90">
        <v>41547</v>
      </c>
      <c r="B113" s="91">
        <f t="shared" si="5"/>
        <v>2</v>
      </c>
      <c r="C113" s="41">
        <f t="shared" si="7"/>
        <v>76913750</v>
      </c>
      <c r="D113" s="138"/>
      <c r="E113" s="176">
        <f>E111</f>
        <v>0.028</v>
      </c>
      <c r="F113" s="41">
        <f>((C113+D113)*E113/360*B113)+((C112+D112)*E113/360*B112)</f>
        <v>564911.8611111111</v>
      </c>
      <c r="G113" s="86">
        <f>((C113+D113)*$D$4/360*B113)+((C112+D112)*$D$4/360*B112)</f>
        <v>201754.23611111115</v>
      </c>
      <c r="H113" s="155"/>
      <c r="I113" s="155"/>
      <c r="J113" s="156"/>
    </row>
    <row r="114" spans="1:10" ht="12.75">
      <c r="A114" s="84">
        <v>41636</v>
      </c>
      <c r="B114" s="91">
        <f t="shared" si="5"/>
        <v>89</v>
      </c>
      <c r="C114" s="86">
        <f t="shared" si="7"/>
        <v>74835000</v>
      </c>
      <c r="D114" s="138">
        <v>2078750</v>
      </c>
      <c r="E114" s="170"/>
      <c r="F114" s="41"/>
      <c r="G114" s="41"/>
      <c r="H114" s="148"/>
      <c r="I114" s="148"/>
      <c r="J114" s="149"/>
    </row>
    <row r="115" spans="1:10" ht="12.75">
      <c r="A115" s="97">
        <v>41639</v>
      </c>
      <c r="B115" s="98">
        <f t="shared" si="5"/>
        <v>3</v>
      </c>
      <c r="C115" s="99">
        <f t="shared" si="7"/>
        <v>74835000</v>
      </c>
      <c r="D115" s="143"/>
      <c r="E115" s="188">
        <f>E113</f>
        <v>0.028</v>
      </c>
      <c r="F115" s="99">
        <f>((C115+D115)*E115/360*B115)+((C114+D114)*E115/360*B114)</f>
        <v>549875.5694444445</v>
      </c>
      <c r="G115" s="86">
        <f>((C115+D115)*$D$4/360*B115)+((C114+D114)*$D$4/360*B114)</f>
        <v>196384.13194444447</v>
      </c>
      <c r="H115" s="101">
        <f>SUM(F108:G115)</f>
        <v>3080488.076388889</v>
      </c>
      <c r="I115" s="101">
        <f>SUM(D108:D115)</f>
        <v>8315000</v>
      </c>
      <c r="J115" s="102">
        <f>SUM(H115:I115)</f>
        <v>11395488.076388888</v>
      </c>
    </row>
    <row r="116" spans="1:10" ht="12.75">
      <c r="A116" s="103">
        <v>41726</v>
      </c>
      <c r="B116" s="104">
        <f t="shared" si="5"/>
        <v>87</v>
      </c>
      <c r="C116" s="42">
        <f t="shared" si="7"/>
        <v>72756250</v>
      </c>
      <c r="D116" s="138">
        <v>2078750</v>
      </c>
      <c r="E116" s="105"/>
      <c r="F116" s="42"/>
      <c r="G116" s="42"/>
      <c r="H116" s="152"/>
      <c r="I116" s="152"/>
      <c r="J116" s="153"/>
    </row>
    <row r="117" spans="1:10" ht="12.75">
      <c r="A117" s="84">
        <v>41729</v>
      </c>
      <c r="B117" s="85">
        <f t="shared" si="5"/>
        <v>3</v>
      </c>
      <c r="C117" s="138">
        <f t="shared" si="7"/>
        <v>72756250</v>
      </c>
      <c r="D117" s="138"/>
      <c r="E117" s="170">
        <f>E115</f>
        <v>0.028</v>
      </c>
      <c r="F117" s="86">
        <f>((C117+D117)*E117/360*B117)+((C116+D116)*E117/360*B116)</f>
        <v>523359.9583333333</v>
      </c>
      <c r="G117" s="86">
        <f>((C117+D117)*$D$4/360*B117)+((C116+D116)*$D$4/360*B116)</f>
        <v>186914.27083333334</v>
      </c>
      <c r="H117" s="148"/>
      <c r="I117" s="148"/>
      <c r="J117" s="149"/>
    </row>
    <row r="118" spans="1:10" ht="12.75">
      <c r="A118" s="84">
        <v>41818</v>
      </c>
      <c r="B118" s="91">
        <f t="shared" si="5"/>
        <v>89</v>
      </c>
      <c r="C118" s="138">
        <f t="shared" si="7"/>
        <v>70677500</v>
      </c>
      <c r="D118" s="138">
        <v>2078750</v>
      </c>
      <c r="E118" s="170"/>
      <c r="F118" s="41"/>
      <c r="G118" s="171"/>
      <c r="H118" s="148"/>
      <c r="I118" s="148"/>
      <c r="J118" s="149"/>
    </row>
    <row r="119" spans="1:10" ht="12.75">
      <c r="A119" s="90">
        <v>41820</v>
      </c>
      <c r="B119" s="91">
        <f t="shared" si="5"/>
        <v>2</v>
      </c>
      <c r="C119" s="41">
        <f t="shared" si="7"/>
        <v>70677500</v>
      </c>
      <c r="D119" s="138"/>
      <c r="E119" s="95">
        <f>E117</f>
        <v>0.028</v>
      </c>
      <c r="F119" s="86">
        <f>((C119+D119)*E119/360*B119)+((C118+D118)*E119/360*B118)</f>
        <v>514629.2083333333</v>
      </c>
      <c r="G119" s="86">
        <f>((C119+D119)*$D$4/360*B119)+((C118+D118)*$D$4/360*B118)</f>
        <v>183796.1458333333</v>
      </c>
      <c r="H119" s="93"/>
      <c r="I119" s="93"/>
      <c r="J119" s="94"/>
    </row>
    <row r="120" spans="1:10" ht="12.75">
      <c r="A120" s="90">
        <v>41910</v>
      </c>
      <c r="B120" s="91">
        <f t="shared" si="5"/>
        <v>90</v>
      </c>
      <c r="C120" s="41">
        <f t="shared" si="7"/>
        <v>68598750</v>
      </c>
      <c r="D120" s="138">
        <v>2078750</v>
      </c>
      <c r="E120" s="95"/>
      <c r="F120" s="86"/>
      <c r="G120" s="41"/>
      <c r="H120" s="93"/>
      <c r="I120" s="93"/>
      <c r="J120" s="94"/>
    </row>
    <row r="121" spans="1:10" ht="12.75">
      <c r="A121" s="84">
        <v>41912</v>
      </c>
      <c r="B121" s="91">
        <f t="shared" si="5"/>
        <v>2</v>
      </c>
      <c r="C121" s="138">
        <f t="shared" si="7"/>
        <v>68598750</v>
      </c>
      <c r="D121" s="138"/>
      <c r="E121" s="170">
        <f>E119</f>
        <v>0.028</v>
      </c>
      <c r="F121" s="86">
        <f>((C121+D121)*E121/360*B121)+((C120+D120)*E121/360*B120)</f>
        <v>505413.4166666667</v>
      </c>
      <c r="G121" s="86">
        <f>((C121+D121)*$D$4/360*B121)+((C120+D120)*$D$4/360*B120)</f>
        <v>180504.79166666666</v>
      </c>
      <c r="H121" s="148"/>
      <c r="I121" s="148"/>
      <c r="J121" s="149"/>
    </row>
    <row r="122" spans="1:10" ht="12.75">
      <c r="A122" s="84">
        <v>42001</v>
      </c>
      <c r="B122" s="91">
        <f t="shared" si="5"/>
        <v>89</v>
      </c>
      <c r="C122" s="138">
        <f t="shared" si="7"/>
        <v>66520000</v>
      </c>
      <c r="D122" s="138">
        <v>2078750</v>
      </c>
      <c r="E122" s="170"/>
      <c r="F122" s="41"/>
      <c r="G122" s="41"/>
      <c r="H122" s="148"/>
      <c r="I122" s="148"/>
      <c r="J122" s="149"/>
    </row>
    <row r="123" spans="1:10" ht="12.75">
      <c r="A123" s="97">
        <v>42004</v>
      </c>
      <c r="B123" s="98">
        <f t="shared" si="5"/>
        <v>3</v>
      </c>
      <c r="C123" s="144">
        <f t="shared" si="7"/>
        <v>66520000</v>
      </c>
      <c r="D123" s="144"/>
      <c r="E123" s="177">
        <f>E121</f>
        <v>0.028</v>
      </c>
      <c r="F123" s="99">
        <f>((C123+D123)*E123/360*B123)+((C122+D122)*E123/360*B122)</f>
        <v>490377.12499999994</v>
      </c>
      <c r="G123" s="99">
        <f>((C123+D123)*$D$4/360*B123)+((C122+D122)*$D$4/360*B122)</f>
        <v>175134.6875</v>
      </c>
      <c r="H123" s="145">
        <f>SUM(F116:G123)</f>
        <v>2760129.6041666665</v>
      </c>
      <c r="I123" s="145">
        <f>SUM(D116:D123)</f>
        <v>8315000</v>
      </c>
      <c r="J123" s="146">
        <f>SUM(H123:I123)</f>
        <v>11075129.604166666</v>
      </c>
    </row>
    <row r="124" spans="1:10" ht="12.75">
      <c r="A124" s="103">
        <v>42091</v>
      </c>
      <c r="B124" s="104">
        <f t="shared" si="5"/>
        <v>87</v>
      </c>
      <c r="C124" s="42">
        <f t="shared" si="7"/>
        <v>64441250</v>
      </c>
      <c r="D124" s="139">
        <v>2078750</v>
      </c>
      <c r="E124" s="174"/>
      <c r="F124" s="42"/>
      <c r="G124" s="139"/>
      <c r="H124" s="140"/>
      <c r="I124" s="140"/>
      <c r="J124" s="141"/>
    </row>
    <row r="125" spans="1:10" ht="12.75">
      <c r="A125" s="84">
        <v>42094</v>
      </c>
      <c r="B125" s="91">
        <f t="shared" si="5"/>
        <v>3</v>
      </c>
      <c r="C125" s="86">
        <f>C124-D125</f>
        <v>64441250</v>
      </c>
      <c r="D125" s="138"/>
      <c r="E125" s="170">
        <f>E123</f>
        <v>0.028</v>
      </c>
      <c r="F125" s="86">
        <f>((C125+D125)*E125/360*B125)+((C124+D124)*E125/360*B124)</f>
        <v>465154.9583333333</v>
      </c>
      <c r="G125" s="86">
        <f>((C125+D125)*$D$4/360*B125)+((C124+D124)*$D$4/360*B124)</f>
        <v>166126.7708333333</v>
      </c>
      <c r="H125" s="148"/>
      <c r="I125" s="148"/>
      <c r="J125" s="149"/>
    </row>
    <row r="126" spans="1:10" ht="12.75">
      <c r="A126" s="90">
        <v>42183</v>
      </c>
      <c r="B126" s="91">
        <f t="shared" si="5"/>
        <v>89</v>
      </c>
      <c r="C126" s="41">
        <f aca="true" t="shared" si="8" ref="C126:C143">C125-D126</f>
        <v>62362500</v>
      </c>
      <c r="D126" s="138">
        <v>2078750</v>
      </c>
      <c r="E126" s="95"/>
      <c r="F126" s="41"/>
      <c r="G126" s="171"/>
      <c r="H126" s="93"/>
      <c r="I126" s="93"/>
      <c r="J126" s="94"/>
    </row>
    <row r="127" spans="1:10" ht="12.75">
      <c r="A127" s="90">
        <v>42185</v>
      </c>
      <c r="B127" s="91">
        <f t="shared" si="5"/>
        <v>2</v>
      </c>
      <c r="C127" s="41">
        <f t="shared" si="8"/>
        <v>62362500</v>
      </c>
      <c r="D127" s="138"/>
      <c r="E127" s="95">
        <f>E125</f>
        <v>0.028</v>
      </c>
      <c r="F127" s="86">
        <f>((C127+D127)*E127/360*B127)+((C126+D126)*E127/360*B126)</f>
        <v>455777.4861111111</v>
      </c>
      <c r="G127" s="86">
        <f>((C127+D127)*$D$4/360*B127)+((C126+D126)*$D$4/360*B126)</f>
        <v>162777.67361111112</v>
      </c>
      <c r="H127" s="93"/>
      <c r="I127" s="93"/>
      <c r="J127" s="94"/>
    </row>
    <row r="128" spans="1:10" ht="12.75">
      <c r="A128" s="90">
        <v>42275</v>
      </c>
      <c r="B128" s="91">
        <f t="shared" si="5"/>
        <v>90</v>
      </c>
      <c r="C128" s="41">
        <f t="shared" si="8"/>
        <v>60283750</v>
      </c>
      <c r="D128" s="138">
        <v>2078750</v>
      </c>
      <c r="E128" s="176"/>
      <c r="F128" s="41"/>
      <c r="G128" s="41"/>
      <c r="H128" s="155"/>
      <c r="I128" s="155"/>
      <c r="J128" s="156"/>
    </row>
    <row r="129" spans="1:10" ht="12.75">
      <c r="A129" s="90">
        <v>42277</v>
      </c>
      <c r="B129" s="91">
        <f t="shared" si="5"/>
        <v>2</v>
      </c>
      <c r="C129" s="41">
        <f t="shared" si="8"/>
        <v>60283750</v>
      </c>
      <c r="D129" s="138"/>
      <c r="E129" s="176">
        <f>E127</f>
        <v>0.028</v>
      </c>
      <c r="F129" s="86">
        <f>((C129+D129)*E129/360*B129)+((C128+D128)*E129/360*B128)</f>
        <v>445914.97222222225</v>
      </c>
      <c r="G129" s="86">
        <f>((C129+D129)*$D$4/360*B129)+((C128+D128)*$D$4/360*B128)</f>
        <v>159255.34722222222</v>
      </c>
      <c r="H129" s="155"/>
      <c r="I129" s="155"/>
      <c r="J129" s="156"/>
    </row>
    <row r="130" spans="1:10" ht="12.75">
      <c r="A130" s="84">
        <v>42366</v>
      </c>
      <c r="B130" s="91">
        <f t="shared" si="5"/>
        <v>89</v>
      </c>
      <c r="C130" s="86">
        <f t="shared" si="8"/>
        <v>58205000</v>
      </c>
      <c r="D130" s="138">
        <v>2078750</v>
      </c>
      <c r="E130" s="170"/>
      <c r="F130" s="41"/>
      <c r="G130" s="41"/>
      <c r="H130" s="148"/>
      <c r="I130" s="148"/>
      <c r="J130" s="149"/>
    </row>
    <row r="131" spans="1:10" ht="12.75">
      <c r="A131" s="97">
        <v>42369</v>
      </c>
      <c r="B131" s="98">
        <f t="shared" si="5"/>
        <v>3</v>
      </c>
      <c r="C131" s="99">
        <f t="shared" si="8"/>
        <v>58205000</v>
      </c>
      <c r="D131" s="144"/>
      <c r="E131" s="177">
        <f>E129</f>
        <v>0.028</v>
      </c>
      <c r="F131" s="99">
        <f>((C131+D131)*E131/360*B131)+((C130+D130)*E131/360*B130)</f>
        <v>430878.6805555556</v>
      </c>
      <c r="G131" s="86">
        <f>((C131+D131)*$D$4/360*B131)+((C130+D130)*$D$4/360*B130)</f>
        <v>153885.24305555553</v>
      </c>
      <c r="H131" s="145">
        <f>SUM(F124:G131)</f>
        <v>2439771.1319444445</v>
      </c>
      <c r="I131" s="145">
        <f>SUM(D124:D131)</f>
        <v>8315000</v>
      </c>
      <c r="J131" s="146">
        <f>SUM(H131:I131)</f>
        <v>10754771.131944444</v>
      </c>
    </row>
    <row r="132" spans="1:10" ht="12.75">
      <c r="A132" s="103">
        <v>42457</v>
      </c>
      <c r="B132" s="85">
        <f t="shared" si="5"/>
        <v>88</v>
      </c>
      <c r="C132" s="138">
        <f t="shared" si="8"/>
        <v>56126250</v>
      </c>
      <c r="D132" s="138">
        <v>2078750</v>
      </c>
      <c r="E132" s="170"/>
      <c r="F132" s="42"/>
      <c r="G132" s="139"/>
      <c r="H132" s="140"/>
      <c r="I132" s="140"/>
      <c r="J132" s="141"/>
    </row>
    <row r="133" spans="1:10" ht="12.75">
      <c r="A133" s="84">
        <v>42460</v>
      </c>
      <c r="B133" s="91">
        <f t="shared" si="5"/>
        <v>3</v>
      </c>
      <c r="C133" s="138">
        <f t="shared" si="8"/>
        <v>56126250</v>
      </c>
      <c r="D133" s="138"/>
      <c r="E133" s="170">
        <f>E131</f>
        <v>0.028</v>
      </c>
      <c r="F133" s="86">
        <f>((C133+D133)*E133/360*B133)+((C132+D132)*E133/360*B132)</f>
        <v>411477.0138888889</v>
      </c>
      <c r="G133" s="86">
        <f>((C133+D133)*$D$4/360*B133)+((C132+D132)*$D$4/360*B132)</f>
        <v>146956.0763888889</v>
      </c>
      <c r="H133" s="148"/>
      <c r="I133" s="148"/>
      <c r="J133" s="149"/>
    </row>
    <row r="134" spans="1:10" ht="12.75">
      <c r="A134" s="84">
        <v>42549</v>
      </c>
      <c r="B134" s="91">
        <f t="shared" si="5"/>
        <v>89</v>
      </c>
      <c r="C134" s="138">
        <f t="shared" si="8"/>
        <v>54047500</v>
      </c>
      <c r="D134" s="138">
        <v>2078750</v>
      </c>
      <c r="E134" s="170"/>
      <c r="F134" s="41"/>
      <c r="G134" s="171"/>
      <c r="H134" s="148"/>
      <c r="I134" s="148"/>
      <c r="J134" s="149"/>
    </row>
    <row r="135" spans="1:10" ht="12.75">
      <c r="A135" s="84">
        <v>42551</v>
      </c>
      <c r="B135" s="91">
        <f t="shared" si="5"/>
        <v>2</v>
      </c>
      <c r="C135" s="138">
        <f t="shared" si="8"/>
        <v>54047500</v>
      </c>
      <c r="D135" s="138"/>
      <c r="E135" s="170">
        <f>E133</f>
        <v>0.028</v>
      </c>
      <c r="F135" s="86">
        <f>((C135+D135)*E135/360*B135)+((C134+D134)*E135/360*B134)</f>
        <v>396925.7638888889</v>
      </c>
      <c r="G135" s="86">
        <f>((C135+D135)*$D$4/360*B135)+((C134+D134)*$D$4/360*B134)</f>
        <v>141759.20138888888</v>
      </c>
      <c r="H135" s="148"/>
      <c r="I135" s="148"/>
      <c r="J135" s="149"/>
    </row>
    <row r="136" spans="1:10" ht="12.75">
      <c r="A136" s="84">
        <v>42641</v>
      </c>
      <c r="B136" s="91">
        <f t="shared" si="5"/>
        <v>90</v>
      </c>
      <c r="C136" s="138">
        <f t="shared" si="8"/>
        <v>51968750</v>
      </c>
      <c r="D136" s="138">
        <v>2078750</v>
      </c>
      <c r="E136" s="170"/>
      <c r="F136" s="41"/>
      <c r="G136" s="41"/>
      <c r="H136" s="148"/>
      <c r="I136" s="148"/>
      <c r="J136" s="149"/>
    </row>
    <row r="137" spans="1:10" ht="12.75">
      <c r="A137" s="84">
        <v>42643</v>
      </c>
      <c r="B137" s="91">
        <f t="shared" si="5"/>
        <v>2</v>
      </c>
      <c r="C137" s="138">
        <f t="shared" si="8"/>
        <v>51968750</v>
      </c>
      <c r="D137" s="138"/>
      <c r="E137" s="170">
        <f>E135</f>
        <v>0.028</v>
      </c>
      <c r="F137" s="86">
        <f>((C137+D137)*E137/360*B137)+((C136+D136)*E137/360*B136)</f>
        <v>386416.52777777775</v>
      </c>
      <c r="G137" s="86">
        <f>((C137+D137)*$D$4/360*B137)+((C136+D136)*$D$4/360*B136)</f>
        <v>138005.90277777778</v>
      </c>
      <c r="H137" s="148"/>
      <c r="I137" s="148"/>
      <c r="J137" s="149"/>
    </row>
    <row r="138" spans="1:10" ht="12.75">
      <c r="A138" s="84">
        <v>42732</v>
      </c>
      <c r="B138" s="91">
        <f t="shared" si="5"/>
        <v>89</v>
      </c>
      <c r="C138" s="138">
        <f t="shared" si="8"/>
        <v>49890000</v>
      </c>
      <c r="D138" s="138">
        <v>2078750</v>
      </c>
      <c r="E138" s="170"/>
      <c r="F138" s="41"/>
      <c r="G138" s="41"/>
      <c r="H138" s="148"/>
      <c r="I138" s="148"/>
      <c r="J138" s="149"/>
    </row>
    <row r="139" spans="1:10" ht="12.75">
      <c r="A139" s="97">
        <v>42735</v>
      </c>
      <c r="B139" s="98">
        <f t="shared" si="5"/>
        <v>3</v>
      </c>
      <c r="C139" s="144">
        <f t="shared" si="8"/>
        <v>49890000</v>
      </c>
      <c r="D139" s="144"/>
      <c r="E139" s="177">
        <f>E137</f>
        <v>0.028</v>
      </c>
      <c r="F139" s="99">
        <f>((C139+D139)*E139/360*B139)+((C138+D138)*E139/360*B138)</f>
        <v>371380.23611111107</v>
      </c>
      <c r="G139" s="86">
        <f>((C139+D139)*$D$4/360*B139)+((C138+D138)*$D$4/360*B138)</f>
        <v>132635.79861111112</v>
      </c>
      <c r="H139" s="145">
        <f>SUM(F132:G139)</f>
        <v>2125556.520833333</v>
      </c>
      <c r="I139" s="145">
        <f>SUM(D132:D139)</f>
        <v>8315000</v>
      </c>
      <c r="J139" s="146">
        <f>SUM(H139:I139)</f>
        <v>10440556.520833332</v>
      </c>
    </row>
    <row r="140" spans="1:10" ht="12.75">
      <c r="A140" s="103">
        <v>42822</v>
      </c>
      <c r="B140" s="104">
        <f t="shared" si="5"/>
        <v>87</v>
      </c>
      <c r="C140" s="42">
        <f t="shared" si="8"/>
        <v>47811250</v>
      </c>
      <c r="D140" s="139">
        <v>2078750</v>
      </c>
      <c r="E140" s="174"/>
      <c r="F140" s="42"/>
      <c r="G140" s="139"/>
      <c r="H140" s="140"/>
      <c r="I140" s="140"/>
      <c r="J140" s="141"/>
    </row>
    <row r="141" spans="1:10" ht="12.75">
      <c r="A141" s="84">
        <v>42825</v>
      </c>
      <c r="B141" s="91">
        <f t="shared" si="5"/>
        <v>3</v>
      </c>
      <c r="C141" s="86">
        <f t="shared" si="8"/>
        <v>47811250</v>
      </c>
      <c r="D141" s="138"/>
      <c r="E141" s="170">
        <f>E139</f>
        <v>0.028</v>
      </c>
      <c r="F141" s="86">
        <f>((C141+D141)*E141/360*B141)+((C140+D140)*E141/360*B140)</f>
        <v>348744.9583333333</v>
      </c>
      <c r="G141" s="86">
        <f>((C141+D141)*$D$4/360*B141)+((C140+D140)*$D$4/360*B140)</f>
        <v>124551.77083333333</v>
      </c>
      <c r="H141" s="148"/>
      <c r="I141" s="148"/>
      <c r="J141" s="149"/>
    </row>
    <row r="142" spans="1:10" ht="12.75">
      <c r="A142" s="84">
        <v>42914</v>
      </c>
      <c r="B142" s="91">
        <f t="shared" si="5"/>
        <v>89</v>
      </c>
      <c r="C142" s="86">
        <f t="shared" si="8"/>
        <v>45732500</v>
      </c>
      <c r="D142" s="138">
        <v>2078750</v>
      </c>
      <c r="E142" s="170"/>
      <c r="F142" s="41"/>
      <c r="G142" s="171"/>
      <c r="H142" s="148"/>
      <c r="I142" s="148"/>
      <c r="J142" s="149"/>
    </row>
    <row r="143" spans="1:10" ht="12.75">
      <c r="A143" s="84">
        <v>42916</v>
      </c>
      <c r="B143" s="91">
        <f t="shared" si="5"/>
        <v>2</v>
      </c>
      <c r="C143" s="86">
        <f t="shared" si="8"/>
        <v>45732500</v>
      </c>
      <c r="D143" s="138"/>
      <c r="E143" s="170">
        <f>E141</f>
        <v>0.028</v>
      </c>
      <c r="F143" s="86">
        <f>((C143+D143)*E143/360*B143)+((C142+D142)*E143/360*B142)</f>
        <v>338074.0416666667</v>
      </c>
      <c r="G143" s="86">
        <f>((C143+D143)*$D$4/360*B143)+((C142+D142)*$D$4/360*B142)</f>
        <v>120740.72916666667</v>
      </c>
      <c r="H143" s="148"/>
      <c r="I143" s="148"/>
      <c r="J143" s="149"/>
    </row>
    <row r="144" spans="1:10" ht="12.75">
      <c r="A144" s="84">
        <v>43006</v>
      </c>
      <c r="B144" s="91">
        <f t="shared" si="5"/>
        <v>90</v>
      </c>
      <c r="C144" s="86">
        <f>C143-D144</f>
        <v>43653750</v>
      </c>
      <c r="D144" s="138">
        <v>2078750</v>
      </c>
      <c r="E144" s="170"/>
      <c r="F144" s="41"/>
      <c r="G144" s="41"/>
      <c r="H144" s="148"/>
      <c r="I144" s="148"/>
      <c r="J144" s="149"/>
    </row>
    <row r="145" spans="1:10" ht="12.75">
      <c r="A145" s="84">
        <v>43008</v>
      </c>
      <c r="B145" s="91">
        <f t="shared" si="5"/>
        <v>2</v>
      </c>
      <c r="C145" s="86">
        <f aca="true" t="shared" si="9" ref="C145:C159">C144-D145</f>
        <v>43653750</v>
      </c>
      <c r="D145" s="138"/>
      <c r="E145" s="170">
        <f>E143</f>
        <v>0.028</v>
      </c>
      <c r="F145" s="86">
        <f>((C145+D145)*E145/360*B145)+((C144+D144)*E145/360*B144)</f>
        <v>326918.0833333333</v>
      </c>
      <c r="G145" s="86">
        <f>((C145+D145)*$D$4/360*B145)+((C144+D144)*$D$4/360*B144)</f>
        <v>116756.45833333333</v>
      </c>
      <c r="H145" s="148"/>
      <c r="I145" s="148"/>
      <c r="J145" s="149"/>
    </row>
    <row r="146" spans="1:10" ht="12.75">
      <c r="A146" s="84">
        <v>43097</v>
      </c>
      <c r="B146" s="91">
        <f t="shared" si="5"/>
        <v>89</v>
      </c>
      <c r="C146" s="86">
        <f t="shared" si="9"/>
        <v>41575000</v>
      </c>
      <c r="D146" s="138">
        <v>2078750</v>
      </c>
      <c r="E146" s="170"/>
      <c r="F146" s="41"/>
      <c r="G146" s="41"/>
      <c r="H146" s="148"/>
      <c r="I146" s="148"/>
      <c r="J146" s="149"/>
    </row>
    <row r="147" spans="1:10" ht="12.75">
      <c r="A147" s="142">
        <v>43100</v>
      </c>
      <c r="B147" s="98">
        <f t="shared" si="5"/>
        <v>3</v>
      </c>
      <c r="C147" s="175">
        <f t="shared" si="9"/>
        <v>41575000</v>
      </c>
      <c r="D147" s="143"/>
      <c r="E147" s="172">
        <f>E145</f>
        <v>0.028</v>
      </c>
      <c r="F147" s="86">
        <f>((C147+D147)*E147/360*B147)+((C146+D146)*E147/360*B146)</f>
        <v>311881.7916666666</v>
      </c>
      <c r="G147" s="86">
        <f>((C147+D147)*$D$4/360*B147)+((C146+D146)*$D$4/360*B146)</f>
        <v>111386.35416666667</v>
      </c>
      <c r="H147" s="150">
        <f>SUM(F140:G147)</f>
        <v>1799054.1874999998</v>
      </c>
      <c r="I147" s="150">
        <f>SUM(D140:D147)</f>
        <v>8315000</v>
      </c>
      <c r="J147" s="151">
        <f>SUM(H147:I147)</f>
        <v>10114054.1875</v>
      </c>
    </row>
    <row r="148" spans="1:10" ht="12.75">
      <c r="A148" s="103">
        <v>43187</v>
      </c>
      <c r="B148" s="85">
        <f t="shared" si="5"/>
        <v>87</v>
      </c>
      <c r="C148" s="138">
        <f t="shared" si="9"/>
        <v>39496250</v>
      </c>
      <c r="D148" s="138">
        <v>2078750</v>
      </c>
      <c r="E148" s="170"/>
      <c r="F148" s="42"/>
      <c r="G148" s="139"/>
      <c r="H148" s="140"/>
      <c r="I148" s="140"/>
      <c r="J148" s="141"/>
    </row>
    <row r="149" spans="1:10" ht="12.75">
      <c r="A149" s="84">
        <v>43190</v>
      </c>
      <c r="B149" s="91">
        <f t="shared" si="5"/>
        <v>3</v>
      </c>
      <c r="C149" s="138">
        <f t="shared" si="9"/>
        <v>39496250</v>
      </c>
      <c r="D149" s="138"/>
      <c r="E149" s="170">
        <f>E147</f>
        <v>0.028</v>
      </c>
      <c r="F149" s="86">
        <f>((C149+D149)*E149/360*B149)+((C148+D148)*E149/360*B148)</f>
        <v>290539.9583333334</v>
      </c>
      <c r="G149" s="86">
        <f>((C149+D149)*$D$4/360*B149)+((C148+D148)*$D$4/360*B148)</f>
        <v>103764.27083333334</v>
      </c>
      <c r="H149" s="148"/>
      <c r="I149" s="148"/>
      <c r="J149" s="149"/>
    </row>
    <row r="150" spans="1:10" ht="12.75">
      <c r="A150" s="84">
        <v>43279</v>
      </c>
      <c r="B150" s="91">
        <f aca="true" t="shared" si="10" ref="B150:B186">A150-A149</f>
        <v>89</v>
      </c>
      <c r="C150" s="138">
        <f t="shared" si="9"/>
        <v>37417500</v>
      </c>
      <c r="D150" s="138">
        <v>2078750</v>
      </c>
      <c r="E150" s="170"/>
      <c r="F150" s="41"/>
      <c r="G150" s="171"/>
      <c r="H150" s="148"/>
      <c r="I150" s="148"/>
      <c r="J150" s="149"/>
    </row>
    <row r="151" spans="1:10" ht="12.75">
      <c r="A151" s="84">
        <v>43281</v>
      </c>
      <c r="B151" s="91">
        <f t="shared" si="10"/>
        <v>2</v>
      </c>
      <c r="C151" s="138">
        <f t="shared" si="9"/>
        <v>37417500</v>
      </c>
      <c r="D151" s="138"/>
      <c r="E151" s="170">
        <f>E149</f>
        <v>0.028</v>
      </c>
      <c r="F151" s="86">
        <f>((C151+D151)*E151/360*B151)+((C150+D150)*E151/360*B150)</f>
        <v>279222.31944444444</v>
      </c>
      <c r="G151" s="86">
        <f>((C151+D151)*$D$4/360*B151)+((C150+D150)*$D$4/360*B150)</f>
        <v>99722.25694444445</v>
      </c>
      <c r="H151" s="148"/>
      <c r="I151" s="148"/>
      <c r="J151" s="149"/>
    </row>
    <row r="152" spans="1:10" ht="12.75">
      <c r="A152" s="84">
        <v>43371</v>
      </c>
      <c r="B152" s="91">
        <f t="shared" si="10"/>
        <v>90</v>
      </c>
      <c r="C152" s="138">
        <f t="shared" si="9"/>
        <v>35338750</v>
      </c>
      <c r="D152" s="138">
        <v>2078750</v>
      </c>
      <c r="E152" s="170"/>
      <c r="F152" s="41"/>
      <c r="G152" s="41"/>
      <c r="H152" s="148"/>
      <c r="I152" s="148"/>
      <c r="J152" s="149"/>
    </row>
    <row r="153" spans="1:10" ht="12.75">
      <c r="A153" s="84">
        <v>43373</v>
      </c>
      <c r="B153" s="91">
        <f t="shared" si="10"/>
        <v>2</v>
      </c>
      <c r="C153" s="138">
        <f t="shared" si="9"/>
        <v>35338750</v>
      </c>
      <c r="D153" s="138"/>
      <c r="E153" s="170">
        <f>E151</f>
        <v>0.028</v>
      </c>
      <c r="F153" s="86">
        <f>((C153+D153)*E153/360*B153)+((C152+D152)*E153/360*B152)</f>
        <v>267419.6388888889</v>
      </c>
      <c r="G153" s="86">
        <f>((C153+D153)*$D$4/360*B153)+((C152+D152)*$D$4/360*B152)</f>
        <v>95507.01388888889</v>
      </c>
      <c r="H153" s="148"/>
      <c r="I153" s="148"/>
      <c r="J153" s="149"/>
    </row>
    <row r="154" spans="1:10" ht="12.75">
      <c r="A154" s="84">
        <v>43462</v>
      </c>
      <c r="B154" s="91">
        <f t="shared" si="10"/>
        <v>89</v>
      </c>
      <c r="C154" s="138">
        <f t="shared" si="9"/>
        <v>33260000</v>
      </c>
      <c r="D154" s="138">
        <v>2078750</v>
      </c>
      <c r="E154" s="170"/>
      <c r="F154" s="41"/>
      <c r="G154" s="41"/>
      <c r="H154" s="148"/>
      <c r="I154" s="148"/>
      <c r="J154" s="149"/>
    </row>
    <row r="155" spans="1:10" ht="12.75">
      <c r="A155" s="142">
        <v>43465</v>
      </c>
      <c r="B155" s="108">
        <f t="shared" si="10"/>
        <v>3</v>
      </c>
      <c r="C155" s="171">
        <f t="shared" si="9"/>
        <v>33260000</v>
      </c>
      <c r="D155" s="143"/>
      <c r="E155" s="172">
        <f>E153</f>
        <v>0.028</v>
      </c>
      <c r="F155" s="86">
        <f>((C155+D155)*E155/360*B155)+((C154+D154)*E155/360*B154)</f>
        <v>252383.3472222222</v>
      </c>
      <c r="G155" s="86">
        <f>((C155+D155)*$D$4/360*B155)+((C154+D154)*$D$4/360*B154)</f>
        <v>90136.90972222223</v>
      </c>
      <c r="H155" s="150">
        <f>SUM(F148:G155)</f>
        <v>1478695.715277778</v>
      </c>
      <c r="I155" s="150">
        <f>SUM(D148:D155)</f>
        <v>8315000</v>
      </c>
      <c r="J155" s="151">
        <f>SUM(H155:I155)</f>
        <v>9793695.715277778</v>
      </c>
    </row>
    <row r="156" spans="1:10" ht="12.75">
      <c r="A156" s="103">
        <v>43552</v>
      </c>
      <c r="B156" s="104">
        <f t="shared" si="10"/>
        <v>87</v>
      </c>
      <c r="C156" s="42">
        <f t="shared" si="9"/>
        <v>31181250</v>
      </c>
      <c r="D156" s="138">
        <v>2078750</v>
      </c>
      <c r="E156" s="170"/>
      <c r="F156" s="42"/>
      <c r="G156" s="139"/>
      <c r="H156" s="140"/>
      <c r="I156" s="140"/>
      <c r="J156" s="141"/>
    </row>
    <row r="157" spans="1:10" ht="12.75">
      <c r="A157" s="84">
        <v>43555</v>
      </c>
      <c r="B157" s="91">
        <f t="shared" si="10"/>
        <v>3</v>
      </c>
      <c r="C157" s="86">
        <f t="shared" si="9"/>
        <v>31181250</v>
      </c>
      <c r="D157" s="138"/>
      <c r="E157" s="170">
        <f>E155</f>
        <v>0.028</v>
      </c>
      <c r="F157" s="86">
        <f>((C157+D157)*E157/360*B157)+((C156+D156)*E157/360*B156)</f>
        <v>232334.9583333333</v>
      </c>
      <c r="G157" s="86">
        <f>((C157+D157)*$D$4/360*B157)+((C156+D156)*$D$4/360*B156)</f>
        <v>82976.77083333333</v>
      </c>
      <c r="H157" s="148"/>
      <c r="I157" s="148"/>
      <c r="J157" s="149"/>
    </row>
    <row r="158" spans="1:10" ht="12.75">
      <c r="A158" s="84">
        <v>43644</v>
      </c>
      <c r="B158" s="91">
        <f t="shared" si="10"/>
        <v>89</v>
      </c>
      <c r="C158" s="86">
        <f t="shared" si="9"/>
        <v>29102500</v>
      </c>
      <c r="D158" s="138">
        <v>2078750</v>
      </c>
      <c r="E158" s="170"/>
      <c r="F158" s="41"/>
      <c r="G158" s="171"/>
      <c r="H158" s="148"/>
      <c r="I158" s="148"/>
      <c r="J158" s="149"/>
    </row>
    <row r="159" spans="1:10" ht="12.75">
      <c r="A159" s="90">
        <v>43646</v>
      </c>
      <c r="B159" s="91">
        <f t="shared" si="10"/>
        <v>2</v>
      </c>
      <c r="C159" s="41">
        <f t="shared" si="9"/>
        <v>29102500</v>
      </c>
      <c r="D159" s="138"/>
      <c r="E159" s="95">
        <f>E157</f>
        <v>0.028</v>
      </c>
      <c r="F159" s="41">
        <f>((C159+D159)*E159/360*B159)+((C158+D158)*E159/360*B158)</f>
        <v>220370.59722222225</v>
      </c>
      <c r="G159" s="86">
        <f>((C159+D159)*$D$4/360*B159)+((C158+D158)*$D$4/360*B158)</f>
        <v>78703.78472222223</v>
      </c>
      <c r="H159" s="93"/>
      <c r="I159" s="93"/>
      <c r="J159" s="94"/>
    </row>
    <row r="160" spans="1:10" ht="12.75">
      <c r="A160" s="90">
        <v>43736</v>
      </c>
      <c r="B160" s="91">
        <f t="shared" si="10"/>
        <v>90</v>
      </c>
      <c r="C160" s="41">
        <f>C159-D160</f>
        <v>27023750</v>
      </c>
      <c r="D160" s="41">
        <v>2078750</v>
      </c>
      <c r="E160" s="95"/>
      <c r="F160" s="41"/>
      <c r="G160" s="41"/>
      <c r="H160" s="93"/>
      <c r="I160" s="93"/>
      <c r="J160" s="94"/>
    </row>
    <row r="161" spans="1:10" ht="12.75">
      <c r="A161" s="90">
        <v>43738</v>
      </c>
      <c r="B161" s="91">
        <f t="shared" si="10"/>
        <v>2</v>
      </c>
      <c r="C161" s="41">
        <f aca="true" t="shared" si="11" ref="C161:C174">C160-D161</f>
        <v>27023750</v>
      </c>
      <c r="D161" s="154"/>
      <c r="E161" s="176">
        <f>E159</f>
        <v>0.028</v>
      </c>
      <c r="F161" s="41">
        <f>((C161+D161)*E161/360*B161)+((C160+D160)*E161/360*B160)</f>
        <v>207921.19444444444</v>
      </c>
      <c r="G161" s="86">
        <f>((C161+D161)*$D$4/360*B161)+((C160+D160)*$D$4/360*B160)</f>
        <v>74257.56944444444</v>
      </c>
      <c r="H161" s="155"/>
      <c r="I161" s="155"/>
      <c r="J161" s="156"/>
    </row>
    <row r="162" spans="1:10" ht="12.75">
      <c r="A162" s="84">
        <v>43827</v>
      </c>
      <c r="B162" s="91">
        <f t="shared" si="10"/>
        <v>89</v>
      </c>
      <c r="C162" s="86">
        <f t="shared" si="11"/>
        <v>24945000</v>
      </c>
      <c r="D162" s="138">
        <v>2078750</v>
      </c>
      <c r="E162" s="170"/>
      <c r="F162" s="41"/>
      <c r="G162" s="41"/>
      <c r="H162" s="148"/>
      <c r="I162" s="148"/>
      <c r="J162" s="149"/>
    </row>
    <row r="163" spans="1:10" ht="12.75">
      <c r="A163" s="142">
        <v>43830</v>
      </c>
      <c r="B163" s="98">
        <f t="shared" si="10"/>
        <v>3</v>
      </c>
      <c r="C163" s="175">
        <f t="shared" si="11"/>
        <v>24945000</v>
      </c>
      <c r="D163" s="143"/>
      <c r="E163" s="172">
        <f>E161</f>
        <v>0.028</v>
      </c>
      <c r="F163" s="99">
        <f>((C163+D163)*E163/360*B163)+((C162+D162)*E163/360*B162)</f>
        <v>192884.90277777778</v>
      </c>
      <c r="G163" s="86">
        <f>((C163+D163)*$D$4/360*B163)+((C162+D162)*$D$4/360*B162)</f>
        <v>68887.46527777777</v>
      </c>
      <c r="H163" s="150">
        <f>SUM(F156:G163)</f>
        <v>1158337.2430555555</v>
      </c>
      <c r="I163" s="150">
        <f>SUM(D156:D163)</f>
        <v>8315000</v>
      </c>
      <c r="J163" s="151">
        <f>SUM(H163:I163)</f>
        <v>9473337.243055556</v>
      </c>
    </row>
    <row r="164" spans="1:10" ht="12.75">
      <c r="A164" s="103">
        <v>43918</v>
      </c>
      <c r="B164" s="85">
        <f t="shared" si="10"/>
        <v>88</v>
      </c>
      <c r="C164" s="138">
        <f t="shared" si="11"/>
        <v>22866250</v>
      </c>
      <c r="D164" s="138">
        <v>2078750</v>
      </c>
      <c r="E164" s="170"/>
      <c r="F164" s="86"/>
      <c r="G164" s="138"/>
      <c r="H164" s="140"/>
      <c r="I164" s="140"/>
      <c r="J164" s="141"/>
    </row>
    <row r="165" spans="1:10" ht="12.75">
      <c r="A165" s="84">
        <v>43921</v>
      </c>
      <c r="B165" s="91">
        <f t="shared" si="10"/>
        <v>3</v>
      </c>
      <c r="C165" s="138">
        <f t="shared" si="11"/>
        <v>22866250</v>
      </c>
      <c r="D165" s="138"/>
      <c r="E165" s="170">
        <f>E163</f>
        <v>0.028</v>
      </c>
      <c r="F165" s="86">
        <f>((C165+D165)*E165/360*B165)+((C164+D164)*E165/360*B164)</f>
        <v>176070.12500000003</v>
      </c>
      <c r="G165" s="86">
        <f>((C165+D165)*$D$4/360*B165)+((C164+D164)*$D$4/360*B164)</f>
        <v>62882.1875</v>
      </c>
      <c r="H165" s="148"/>
      <c r="I165" s="148"/>
      <c r="J165" s="149"/>
    </row>
    <row r="166" spans="1:10" ht="12.75">
      <c r="A166" s="90">
        <v>44010</v>
      </c>
      <c r="B166" s="91">
        <f t="shared" si="10"/>
        <v>89</v>
      </c>
      <c r="C166" s="41">
        <f t="shared" si="11"/>
        <v>20787500</v>
      </c>
      <c r="D166" s="138">
        <v>2078750</v>
      </c>
      <c r="E166" s="95"/>
      <c r="F166" s="41"/>
      <c r="G166" s="171"/>
      <c r="H166" s="93"/>
      <c r="I166" s="93"/>
      <c r="J166" s="94"/>
    </row>
    <row r="167" spans="1:10" ht="12.75">
      <c r="A167" s="90">
        <v>44012</v>
      </c>
      <c r="B167" s="91">
        <f t="shared" si="10"/>
        <v>2</v>
      </c>
      <c r="C167" s="41">
        <f t="shared" si="11"/>
        <v>20787500</v>
      </c>
      <c r="D167" s="138"/>
      <c r="E167" s="95">
        <f>E165</f>
        <v>0.028</v>
      </c>
      <c r="F167" s="86">
        <f>((C167+D167)*E167/360*B167)+((C166+D166)*E167/360*B166)</f>
        <v>161518.875</v>
      </c>
      <c r="G167" s="86">
        <f>((C167+D167)*$D$4/360*B167)+((C166+D166)*$D$4/360*B166)</f>
        <v>57685.31249999999</v>
      </c>
      <c r="H167" s="93"/>
      <c r="I167" s="93"/>
      <c r="J167" s="94"/>
    </row>
    <row r="168" spans="1:10" ht="12.75">
      <c r="A168" s="90">
        <v>44102</v>
      </c>
      <c r="B168" s="91">
        <f t="shared" si="10"/>
        <v>90</v>
      </c>
      <c r="C168" s="154">
        <f t="shared" si="11"/>
        <v>18708750</v>
      </c>
      <c r="D168" s="138">
        <v>2078750</v>
      </c>
      <c r="E168" s="176"/>
      <c r="F168" s="41"/>
      <c r="G168" s="41"/>
      <c r="H168" s="155"/>
      <c r="I168" s="155"/>
      <c r="J168" s="156"/>
    </row>
    <row r="169" spans="1:10" ht="12.75">
      <c r="A169" s="84">
        <v>44104</v>
      </c>
      <c r="B169" s="91">
        <f t="shared" si="10"/>
        <v>2</v>
      </c>
      <c r="C169" s="138">
        <f t="shared" si="11"/>
        <v>18708750</v>
      </c>
      <c r="D169" s="138"/>
      <c r="E169" s="170">
        <f>E167</f>
        <v>0.028</v>
      </c>
      <c r="F169" s="86">
        <f>((C169+D169)*E169/360*B169)+((C168+D168)*E169/360*B168)</f>
        <v>148422.75</v>
      </c>
      <c r="G169" s="86">
        <f>((C169+D169)*$D$4/360*B169)+((C168+D168)*$D$4/360*B168)</f>
        <v>53008.125</v>
      </c>
      <c r="H169" s="148"/>
      <c r="I169" s="148"/>
      <c r="J169" s="149"/>
    </row>
    <row r="170" spans="1:10" ht="12.75">
      <c r="A170" s="84">
        <v>44193</v>
      </c>
      <c r="B170" s="91">
        <f t="shared" si="10"/>
        <v>89</v>
      </c>
      <c r="C170" s="138">
        <f t="shared" si="11"/>
        <v>16630000</v>
      </c>
      <c r="D170" s="138">
        <v>2078750</v>
      </c>
      <c r="E170" s="170"/>
      <c r="F170" s="41"/>
      <c r="G170" s="41"/>
      <c r="H170" s="148"/>
      <c r="I170" s="148"/>
      <c r="J170" s="149"/>
    </row>
    <row r="171" spans="1:10" ht="12.75">
      <c r="A171" s="142">
        <v>44196</v>
      </c>
      <c r="B171" s="108">
        <f t="shared" si="10"/>
        <v>3</v>
      </c>
      <c r="C171" s="171">
        <f t="shared" si="11"/>
        <v>16630000</v>
      </c>
      <c r="D171" s="143"/>
      <c r="E171" s="172">
        <f>E169</f>
        <v>0.028</v>
      </c>
      <c r="F171" s="86">
        <f>((C171+D171)*E171/360*B171)+((C170+D170)*E171/360*B170)</f>
        <v>133386.45833333334</v>
      </c>
      <c r="G171" s="86">
        <f>((C171+D171)*$D$4/360*B171)+((C170+D170)*$D$4/360*B170)</f>
        <v>47638.020833333336</v>
      </c>
      <c r="H171" s="150">
        <f>SUM(F164:G171)</f>
        <v>840611.8541666667</v>
      </c>
      <c r="I171" s="150">
        <f>SUM(D164:D171)</f>
        <v>8315000</v>
      </c>
      <c r="J171" s="151">
        <f>SUM(H171:I171)</f>
        <v>9155611.854166666</v>
      </c>
    </row>
    <row r="172" spans="1:10" ht="12.75">
      <c r="A172" s="103">
        <v>44283</v>
      </c>
      <c r="B172" s="104">
        <f t="shared" si="10"/>
        <v>87</v>
      </c>
      <c r="C172" s="42">
        <f t="shared" si="11"/>
        <v>14551250</v>
      </c>
      <c r="D172" s="138">
        <v>2078750</v>
      </c>
      <c r="E172" s="170"/>
      <c r="F172" s="42"/>
      <c r="G172" s="139"/>
      <c r="H172" s="140"/>
      <c r="I172" s="140"/>
      <c r="J172" s="141"/>
    </row>
    <row r="173" spans="1:10" ht="12.75">
      <c r="A173" s="84">
        <v>44286</v>
      </c>
      <c r="B173" s="91">
        <f t="shared" si="10"/>
        <v>3</v>
      </c>
      <c r="C173" s="86">
        <f t="shared" si="11"/>
        <v>14551250</v>
      </c>
      <c r="D173" s="138"/>
      <c r="E173" s="170">
        <f>E171</f>
        <v>0.028</v>
      </c>
      <c r="F173" s="86">
        <f>((C173+D173)*E173/360*B173)+((C172+D172)*E173/360*B172)</f>
        <v>115924.95833333333</v>
      </c>
      <c r="G173" s="86">
        <f>((C173+D173)*$D$4/360*B173)+((C172+D172)*$D$4/360*B172)</f>
        <v>41401.77083333333</v>
      </c>
      <c r="H173" s="148"/>
      <c r="I173" s="148"/>
      <c r="J173" s="149"/>
    </row>
    <row r="174" spans="1:10" ht="12.75">
      <c r="A174" s="84">
        <v>44375</v>
      </c>
      <c r="B174" s="91">
        <f t="shared" si="10"/>
        <v>89</v>
      </c>
      <c r="C174" s="86">
        <f t="shared" si="11"/>
        <v>12472500</v>
      </c>
      <c r="D174" s="138">
        <v>2078750</v>
      </c>
      <c r="E174" s="170"/>
      <c r="F174" s="41"/>
      <c r="G174" s="171"/>
      <c r="H174" s="148"/>
      <c r="I174" s="148"/>
      <c r="J174" s="149"/>
    </row>
    <row r="175" spans="1:10" ht="12.75">
      <c r="A175" s="84">
        <v>44377</v>
      </c>
      <c r="B175" s="91">
        <f t="shared" si="10"/>
        <v>2</v>
      </c>
      <c r="C175" s="86">
        <f>C174-D175</f>
        <v>12472500</v>
      </c>
      <c r="D175" s="138"/>
      <c r="E175" s="170">
        <f>E173</f>
        <v>0.028</v>
      </c>
      <c r="F175" s="86">
        <f>((C175+D175)*E175/360*B175)+((C174+D174)*E175/360*B174)</f>
        <v>102667.15277777778</v>
      </c>
      <c r="G175" s="86">
        <f>((C175+D175)*$D$4/360*B175)+((C174+D174)*$D$4/360*B174)</f>
        <v>36666.84027777778</v>
      </c>
      <c r="H175" s="148"/>
      <c r="I175" s="148"/>
      <c r="J175" s="149"/>
    </row>
    <row r="176" spans="1:10" ht="12.75">
      <c r="A176" s="84">
        <v>44467</v>
      </c>
      <c r="B176" s="91">
        <f t="shared" si="10"/>
        <v>90</v>
      </c>
      <c r="C176" s="86">
        <f aca="true" t="shared" si="12" ref="C176:C184">C175-D176</f>
        <v>10393750</v>
      </c>
      <c r="D176" s="138">
        <v>2078750</v>
      </c>
      <c r="E176" s="170"/>
      <c r="F176" s="41"/>
      <c r="G176" s="41"/>
      <c r="H176" s="148"/>
      <c r="I176" s="148"/>
      <c r="J176" s="149"/>
    </row>
    <row r="177" spans="1:10" ht="12.75">
      <c r="A177" s="84">
        <v>44469</v>
      </c>
      <c r="B177" s="91">
        <f t="shared" si="10"/>
        <v>2</v>
      </c>
      <c r="C177" s="86">
        <f t="shared" si="12"/>
        <v>10393750</v>
      </c>
      <c r="D177" s="138"/>
      <c r="E177" s="170">
        <f>E175</f>
        <v>0.028</v>
      </c>
      <c r="F177" s="86">
        <f>((C177+D177)*E177/360*B177)+((C176+D176)*E177/360*B176)</f>
        <v>88924.30555555556</v>
      </c>
      <c r="G177" s="86">
        <f>((C177+D177)*$D$4/360*B177)+((C176+D176)*$D$4/360*B176)</f>
        <v>31758.680555555555</v>
      </c>
      <c r="H177" s="148"/>
      <c r="I177" s="148"/>
      <c r="J177" s="149"/>
    </row>
    <row r="178" spans="1:10" ht="12.75">
      <c r="A178" s="84">
        <v>44558</v>
      </c>
      <c r="B178" s="91">
        <f t="shared" si="10"/>
        <v>89</v>
      </c>
      <c r="C178" s="86">
        <f t="shared" si="12"/>
        <v>8315000</v>
      </c>
      <c r="D178" s="138">
        <v>2078750</v>
      </c>
      <c r="E178" s="170"/>
      <c r="F178" s="41"/>
      <c r="G178" s="41"/>
      <c r="H178" s="148"/>
      <c r="I178" s="148"/>
      <c r="J178" s="149"/>
    </row>
    <row r="179" spans="1:10" ht="12.75">
      <c r="A179" s="97">
        <v>44561</v>
      </c>
      <c r="B179" s="98">
        <f t="shared" si="10"/>
        <v>3</v>
      </c>
      <c r="C179" s="99">
        <f t="shared" si="12"/>
        <v>8315000</v>
      </c>
      <c r="D179" s="144"/>
      <c r="E179" s="177">
        <f>E177</f>
        <v>0.028</v>
      </c>
      <c r="F179" s="99">
        <f>((C179+D179)*E179/360*B179)+((C178+D178)*E179/360*B178)</f>
        <v>73888.0138888889</v>
      </c>
      <c r="G179" s="99">
        <f>((C179+D179)*$D$4/360*B179)+((C178+D178)*$D$4/360*B178)</f>
        <v>26388.57638888889</v>
      </c>
      <c r="H179" s="145">
        <f>SUM(F172:G179)</f>
        <v>517620.2986111111</v>
      </c>
      <c r="I179" s="145">
        <f>SUM(D172:D179)</f>
        <v>8315000</v>
      </c>
      <c r="J179" s="146">
        <f>SUM(H179:I179)</f>
        <v>8832620.298611112</v>
      </c>
    </row>
    <row r="180" spans="1:10" ht="12.75">
      <c r="A180" s="103">
        <v>44648</v>
      </c>
      <c r="B180" s="104">
        <f t="shared" si="10"/>
        <v>87</v>
      </c>
      <c r="C180" s="139">
        <f t="shared" si="12"/>
        <v>6236250</v>
      </c>
      <c r="D180" s="139">
        <v>2078750</v>
      </c>
      <c r="E180" s="174"/>
      <c r="F180" s="42"/>
      <c r="G180" s="139"/>
      <c r="H180" s="140"/>
      <c r="I180" s="140"/>
      <c r="J180" s="141"/>
    </row>
    <row r="181" spans="1:10" ht="12.75">
      <c r="A181" s="90">
        <v>44651</v>
      </c>
      <c r="B181" s="91">
        <f t="shared" si="10"/>
        <v>3</v>
      </c>
      <c r="C181" s="154">
        <f t="shared" si="12"/>
        <v>6236250</v>
      </c>
      <c r="D181" s="138"/>
      <c r="E181" s="176">
        <f>E179</f>
        <v>0.028</v>
      </c>
      <c r="F181" s="86">
        <f>((C181+D181)*E181/360*B181)+((C180+D180)*E181/360*B180)</f>
        <v>57719.95833333333</v>
      </c>
      <c r="G181" s="86">
        <f>((C181+D181)*$D$4/360*B181)+((C180+D180)*$D$4/360*B180)</f>
        <v>20614.270833333332</v>
      </c>
      <c r="H181" s="155"/>
      <c r="I181" s="155"/>
      <c r="J181" s="156"/>
    </row>
    <row r="182" spans="1:10" ht="12.75">
      <c r="A182" s="90">
        <v>44740</v>
      </c>
      <c r="B182" s="91">
        <f t="shared" si="10"/>
        <v>89</v>
      </c>
      <c r="C182" s="154">
        <f t="shared" si="12"/>
        <v>4157500</v>
      </c>
      <c r="D182" s="138">
        <v>2078750</v>
      </c>
      <c r="E182" s="176"/>
      <c r="F182" s="41"/>
      <c r="G182" s="171"/>
      <c r="H182" s="155"/>
      <c r="I182" s="155"/>
      <c r="J182" s="156"/>
    </row>
    <row r="183" spans="1:10" ht="12.75">
      <c r="A183" s="84">
        <v>44742</v>
      </c>
      <c r="B183" s="91">
        <f t="shared" si="10"/>
        <v>2</v>
      </c>
      <c r="C183" s="138">
        <f t="shared" si="12"/>
        <v>4157500</v>
      </c>
      <c r="D183" s="138"/>
      <c r="E183" s="170">
        <f>E181</f>
        <v>0.028</v>
      </c>
      <c r="F183" s="86">
        <f>((C183+D183)*E183/360*B183)+((C182+D182)*E183/360*B182)</f>
        <v>43815.430555555555</v>
      </c>
      <c r="G183" s="86">
        <f>((C183+D183)*$D$4/360*B183)+((C182+D182)*$D$4/360*B182)</f>
        <v>15648.368055555555</v>
      </c>
      <c r="H183" s="148"/>
      <c r="I183" s="148"/>
      <c r="J183" s="149"/>
    </row>
    <row r="184" spans="1:10" ht="12.75">
      <c r="A184" s="84">
        <v>44832</v>
      </c>
      <c r="B184" s="91">
        <f t="shared" si="10"/>
        <v>90</v>
      </c>
      <c r="C184" s="138">
        <f t="shared" si="12"/>
        <v>2078750</v>
      </c>
      <c r="D184" s="138">
        <v>2078750</v>
      </c>
      <c r="E184" s="95"/>
      <c r="F184" s="91"/>
      <c r="G184" s="41"/>
      <c r="H184" s="91"/>
      <c r="I184" s="91"/>
      <c r="J184" s="231"/>
    </row>
    <row r="185" spans="1:10" ht="12.75">
      <c r="A185" s="84">
        <v>44834</v>
      </c>
      <c r="B185" s="91">
        <f t="shared" si="10"/>
        <v>2</v>
      </c>
      <c r="C185" s="138">
        <f>C184-D185</f>
        <v>2078750</v>
      </c>
      <c r="D185" s="138"/>
      <c r="E185" s="95">
        <f>E183</f>
        <v>0.028</v>
      </c>
      <c r="F185" s="86">
        <f>((C185+D185)*E185/360*B185)+((C184+D184)*E185/360*B184)</f>
        <v>29425.861111111106</v>
      </c>
      <c r="G185" s="86">
        <f>((C185+D185)*$D$4/360*B185)+((C184+D184)*$D$4/360*B184)</f>
        <v>10509.236111111111</v>
      </c>
      <c r="H185" s="91"/>
      <c r="I185" s="91"/>
      <c r="J185" s="231"/>
    </row>
    <row r="186" spans="1:10" ht="13.5" thickBot="1">
      <c r="A186" s="84">
        <v>44923</v>
      </c>
      <c r="B186" s="91">
        <f t="shared" si="10"/>
        <v>89</v>
      </c>
      <c r="C186" s="138">
        <f>C185-D186</f>
        <v>0</v>
      </c>
      <c r="D186" s="138">
        <v>2078750</v>
      </c>
      <c r="E186" s="232">
        <f>E185</f>
        <v>0.028</v>
      </c>
      <c r="F186" s="86">
        <f>((C186+D186)*E186/360*B186)</f>
        <v>14389.569444444443</v>
      </c>
      <c r="G186" s="86">
        <f>((C185+D185)*$D$4/360*B185)</f>
        <v>115.48611111111111</v>
      </c>
      <c r="H186" s="93">
        <f>SUM(F180:G186)</f>
        <v>192238.18055555556</v>
      </c>
      <c r="I186" s="93">
        <f>SUM(D180:D186)</f>
        <v>8315000</v>
      </c>
      <c r="J186" s="94">
        <f>SUM(H186:I186)</f>
        <v>8507238.180555556</v>
      </c>
    </row>
    <row r="187" spans="1:10" ht="13.5" thickTop="1">
      <c r="A187" s="157" t="s">
        <v>14</v>
      </c>
      <c r="B187" s="158"/>
      <c r="C187" s="159"/>
      <c r="D187" s="160">
        <f>SUM(D8:D186)</f>
        <v>187075039</v>
      </c>
      <c r="E187" s="178"/>
      <c r="F187" s="160">
        <f>SUM(F8:F186)</f>
        <v>51420987.04166669</v>
      </c>
      <c r="G187" s="160">
        <f>SUM(G8:G186)</f>
        <v>16610830.58333334</v>
      </c>
      <c r="H187" s="160">
        <f>SUM(H8:H186)</f>
        <v>68031817.625</v>
      </c>
      <c r="I187" s="160">
        <f>SUM(I8:I186)</f>
        <v>187075039</v>
      </c>
      <c r="J187" s="179">
        <f>SUM(J8:J186)</f>
        <v>255106856.625</v>
      </c>
    </row>
    <row r="189" spans="1:10" ht="12.75">
      <c r="A189" s="162"/>
      <c r="J189" s="121"/>
    </row>
    <row r="190" ht="12.75">
      <c r="J190" s="121"/>
    </row>
    <row r="191" spans="1:7" ht="12.75">
      <c r="A191" s="58" t="s">
        <v>86</v>
      </c>
      <c r="F191" s="287">
        <v>12499470</v>
      </c>
      <c r="G191" s="287"/>
    </row>
    <row r="192" spans="1:7" ht="12.75">
      <c r="A192" s="58" t="s">
        <v>87</v>
      </c>
      <c r="F192" s="287">
        <v>10226303</v>
      </c>
      <c r="G192" s="287"/>
    </row>
    <row r="193" spans="1:7" ht="12.75">
      <c r="A193" s="58" t="s">
        <v>88</v>
      </c>
      <c r="F193" s="287">
        <v>56942030</v>
      </c>
      <c r="G193" s="287"/>
    </row>
    <row r="194" spans="1:7" ht="12.75">
      <c r="A194" s="58" t="s">
        <v>89</v>
      </c>
      <c r="F194" s="287">
        <v>22256001</v>
      </c>
      <c r="G194" s="287"/>
    </row>
    <row r="195" spans="1:7" ht="12.75">
      <c r="A195" s="58" t="s">
        <v>90</v>
      </c>
      <c r="F195" s="287">
        <v>22955624</v>
      </c>
      <c r="G195" s="287"/>
    </row>
    <row r="196" spans="1:7" ht="12.75">
      <c r="A196" s="58" t="s">
        <v>91</v>
      </c>
      <c r="F196" s="287">
        <v>22221280</v>
      </c>
      <c r="G196" s="287"/>
    </row>
    <row r="197" spans="1:7" ht="13.5" thickBot="1">
      <c r="A197" s="285" t="s">
        <v>92</v>
      </c>
      <c r="B197" s="285"/>
      <c r="C197" s="285"/>
      <c r="D197" s="285"/>
      <c r="E197" s="286"/>
      <c r="F197" s="288">
        <v>39974331</v>
      </c>
      <c r="G197" s="295"/>
    </row>
    <row r="198" spans="1:7" ht="13.5" thickTop="1">
      <c r="A198" s="162" t="s">
        <v>93</v>
      </c>
      <c r="B198" s="162"/>
      <c r="C198" s="162"/>
      <c r="D198" s="162"/>
      <c r="E198" s="164"/>
      <c r="F198" s="289">
        <f>SUM(F191:F197)</f>
        <v>187075039</v>
      </c>
      <c r="G198" s="289"/>
    </row>
    <row r="199" spans="1:7" ht="13.5" thickBot="1">
      <c r="A199" s="285" t="s">
        <v>102</v>
      </c>
      <c r="B199" s="285"/>
      <c r="C199" s="285"/>
      <c r="D199" s="285"/>
      <c r="E199" s="286"/>
      <c r="F199" s="288">
        <v>-24980326</v>
      </c>
      <c r="G199" s="295"/>
    </row>
    <row r="200" spans="1:7" ht="13.5" thickTop="1">
      <c r="A200" s="162" t="s">
        <v>93</v>
      </c>
      <c r="B200" s="162"/>
      <c r="C200" s="162"/>
      <c r="D200" s="162"/>
      <c r="E200" s="164"/>
      <c r="F200" s="289">
        <f>SUM(F198:F199)</f>
        <v>162094713</v>
      </c>
      <c r="G200" s="289"/>
    </row>
    <row r="202" spans="3:7" ht="12.75">
      <c r="C202" s="121"/>
      <c r="D202" s="292"/>
      <c r="F202" s="287"/>
      <c r="G202" s="287"/>
    </row>
    <row r="203" spans="3:7" ht="12.75">
      <c r="C203" s="121"/>
      <c r="D203" s="292"/>
      <c r="F203" s="287"/>
      <c r="G203" s="287"/>
    </row>
    <row r="204" spans="3:5" ht="12.75">
      <c r="C204" s="121"/>
      <c r="D204" s="121"/>
      <c r="E204" s="58"/>
    </row>
    <row r="205" spans="3:5" ht="12.75">
      <c r="C205" s="121"/>
      <c r="D205" s="121"/>
      <c r="E205" s="58"/>
    </row>
    <row r="206" spans="3:7" ht="12.75">
      <c r="C206" s="121"/>
      <c r="D206" s="121"/>
      <c r="E206" s="58"/>
      <c r="F206" s="121"/>
      <c r="G206" s="121"/>
    </row>
  </sheetData>
  <sheetProtection/>
  <printOptions horizontalCentered="1"/>
  <pageMargins left="0.5905511811023623" right="0.3937007874015748" top="0.7874015748031497" bottom="0.5905511811023623" header="0.1968503937007874" footer="0.1968503937007874"/>
  <pageSetup horizontalDpi="300" verticalDpi="300" orientation="portrait" paperSize="9" scale="90" r:id="rId1"/>
  <headerFooter alignWithMargins="0">
    <oddHeader xml:space="preserve">&amp;C&amp;"Times New Roman CE,Félkövér"&amp;12Adósságszolgálat számítása az OTP tájékoztatása alapján&amp;"Times New Roman CE,Félkövér dőlt"
Kecelhegyen bérlakás építésre 2002. december-2003. októberben felvett hitel  </oddHeader>
    <oddFooter>&amp;L&amp;9&amp;D
C:\Andi\adósságszolgálat\&amp;F\&amp;A&amp;R&amp;P/&amp;N</oddFooter>
  </headerFooter>
  <rowBreaks count="2" manualBreakCount="2">
    <brk id="115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pane ySplit="6" topLeftCell="BM85" activePane="bottomLeft" state="frozen"/>
      <selection pane="topLeft" activeCell="F64" sqref="F64"/>
      <selection pane="bottomLeft" activeCell="F64" sqref="F64"/>
    </sheetView>
  </sheetViews>
  <sheetFormatPr defaultColWidth="9.00390625" defaultRowHeight="12.75"/>
  <cols>
    <col min="1" max="1" width="11.375" style="58" bestFit="1" customWidth="1"/>
    <col min="2" max="2" width="6.50390625" style="58" customWidth="1"/>
    <col min="3" max="3" width="12.125" style="121" customWidth="1"/>
    <col min="4" max="4" width="12.875" style="121" bestFit="1" customWidth="1"/>
    <col min="5" max="5" width="9.00390625" style="58" customWidth="1"/>
    <col min="6" max="7" width="11.625" style="58" bestFit="1" customWidth="1"/>
    <col min="8" max="8" width="12.625" style="58" bestFit="1" customWidth="1"/>
    <col min="9" max="9" width="12.50390625" style="58" customWidth="1"/>
    <col min="10" max="10" width="9.375" style="58" customWidth="1"/>
    <col min="11" max="11" width="10.125" style="58" bestFit="1" customWidth="1"/>
    <col min="12" max="16384" width="9.375" style="58" customWidth="1"/>
  </cols>
  <sheetData>
    <row r="1" spans="1:9" ht="12.75">
      <c r="A1" s="233" t="s">
        <v>234</v>
      </c>
      <c r="B1" s="162"/>
      <c r="C1" s="163"/>
      <c r="D1" s="163"/>
      <c r="F1" s="163"/>
      <c r="G1" s="163"/>
      <c r="H1" s="163"/>
      <c r="I1" s="163"/>
    </row>
    <row r="2" spans="1:9" ht="12.75">
      <c r="A2" s="135" t="s">
        <v>0</v>
      </c>
      <c r="B2" s="133"/>
      <c r="C2" s="132"/>
      <c r="D2" s="132"/>
      <c r="E2" s="132"/>
      <c r="F2" s="132"/>
      <c r="G2" s="132"/>
      <c r="H2" s="132"/>
      <c r="I2" s="132"/>
    </row>
    <row r="3" spans="1:9" ht="12.75">
      <c r="A3" s="134"/>
      <c r="B3" s="133"/>
      <c r="C3" s="132"/>
      <c r="D3" s="132"/>
      <c r="E3" s="132"/>
      <c r="F3" s="132"/>
      <c r="G3" s="132"/>
      <c r="H3" s="132"/>
      <c r="I3" s="133" t="s">
        <v>2</v>
      </c>
    </row>
    <row r="4" spans="1:9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</row>
    <row r="5" spans="1:9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</row>
    <row r="6" spans="1:9" ht="12.75">
      <c r="A6" s="78"/>
      <c r="B6" s="79"/>
      <c r="C6" s="80"/>
      <c r="D6" s="80"/>
      <c r="E6" s="80"/>
      <c r="F6" s="81"/>
      <c r="G6" s="81"/>
      <c r="H6" s="82" t="s">
        <v>13</v>
      </c>
      <c r="I6" s="83" t="s">
        <v>12</v>
      </c>
    </row>
    <row r="7" spans="1:9" ht="12.75">
      <c r="A7" s="103">
        <v>36526</v>
      </c>
      <c r="B7" s="234"/>
      <c r="C7" s="139">
        <v>200000000</v>
      </c>
      <c r="D7" s="139"/>
      <c r="E7" s="53"/>
      <c r="F7" s="139"/>
      <c r="G7" s="140"/>
      <c r="H7" s="140"/>
      <c r="I7" s="141"/>
    </row>
    <row r="8" spans="1:9" ht="12.75">
      <c r="A8" s="84">
        <v>36556</v>
      </c>
      <c r="B8" s="137">
        <f aca="true" t="shared" si="0" ref="B8:B43">A8-A7</f>
        <v>30</v>
      </c>
      <c r="C8" s="138">
        <f aca="true" t="shared" si="1" ref="C8:C42">C7-D8</f>
        <v>195000000</v>
      </c>
      <c r="D8" s="138">
        <v>5000000</v>
      </c>
      <c r="E8" s="53"/>
      <c r="F8" s="138"/>
      <c r="G8" s="148"/>
      <c r="H8" s="148"/>
      <c r="I8" s="149"/>
    </row>
    <row r="9" spans="1:9" ht="12.75">
      <c r="A9" s="84">
        <v>36584</v>
      </c>
      <c r="B9" s="137">
        <f t="shared" si="0"/>
        <v>28</v>
      </c>
      <c r="C9" s="138">
        <f t="shared" si="1"/>
        <v>190000000</v>
      </c>
      <c r="D9" s="138">
        <v>5000000</v>
      </c>
      <c r="E9" s="53"/>
      <c r="F9" s="138"/>
      <c r="G9" s="148"/>
      <c r="H9" s="148"/>
      <c r="I9" s="149"/>
    </row>
    <row r="10" spans="1:9" ht="12.75">
      <c r="A10" s="84">
        <v>36616</v>
      </c>
      <c r="B10" s="137">
        <f t="shared" si="0"/>
        <v>32</v>
      </c>
      <c r="C10" s="138">
        <f t="shared" si="1"/>
        <v>190000000</v>
      </c>
      <c r="D10" s="138"/>
      <c r="E10" s="53">
        <v>0.1362</v>
      </c>
      <c r="F10" s="138">
        <f>((C8+D8)*E10/365*B8)+((C9+D9)*E10/365*B9)+(C10*E10/365*B10)</f>
        <v>6545063.013698629</v>
      </c>
      <c r="G10" s="148"/>
      <c r="H10" s="148"/>
      <c r="I10" s="149"/>
    </row>
    <row r="11" spans="1:9" ht="12.75">
      <c r="A11" s="84">
        <v>36646</v>
      </c>
      <c r="B11" s="137">
        <f t="shared" si="0"/>
        <v>30</v>
      </c>
      <c r="C11" s="138">
        <f t="shared" si="1"/>
        <v>185000000</v>
      </c>
      <c r="D11" s="138">
        <v>5000000</v>
      </c>
      <c r="E11" s="53"/>
      <c r="F11" s="138"/>
      <c r="G11" s="148"/>
      <c r="H11" s="148"/>
      <c r="I11" s="149"/>
    </row>
    <row r="12" spans="1:9" ht="12.75">
      <c r="A12" s="84">
        <v>36677</v>
      </c>
      <c r="B12" s="137">
        <f t="shared" si="0"/>
        <v>31</v>
      </c>
      <c r="C12" s="138">
        <f t="shared" si="1"/>
        <v>180000000</v>
      </c>
      <c r="D12" s="138">
        <v>5000000</v>
      </c>
      <c r="E12" s="53"/>
      <c r="F12" s="138"/>
      <c r="G12" s="148"/>
      <c r="H12" s="148"/>
      <c r="I12" s="149"/>
    </row>
    <row r="13" spans="1:9" ht="12.75">
      <c r="A13" s="84">
        <v>36707</v>
      </c>
      <c r="B13" s="137">
        <f t="shared" si="0"/>
        <v>30</v>
      </c>
      <c r="C13" s="138">
        <f t="shared" si="1"/>
        <v>180000000</v>
      </c>
      <c r="D13" s="138"/>
      <c r="E13" s="53">
        <v>0.1105</v>
      </c>
      <c r="F13" s="138">
        <f>((C11+D11)*E13/365*B11)+((C12+D12)*E13/365*B12)+(C13*E13/365*B13)</f>
        <v>5096623.287671233</v>
      </c>
      <c r="G13" s="148"/>
      <c r="H13" s="148"/>
      <c r="I13" s="149"/>
    </row>
    <row r="14" spans="1:9" ht="12.75">
      <c r="A14" s="84">
        <v>36738</v>
      </c>
      <c r="B14" s="137">
        <f t="shared" si="0"/>
        <v>31</v>
      </c>
      <c r="C14" s="138">
        <f t="shared" si="1"/>
        <v>175000000</v>
      </c>
      <c r="D14" s="138">
        <v>5000000</v>
      </c>
      <c r="E14" s="53"/>
      <c r="F14" s="138"/>
      <c r="G14" s="148"/>
      <c r="H14" s="148"/>
      <c r="I14" s="149"/>
    </row>
    <row r="15" spans="1:9" ht="12.75">
      <c r="A15" s="84">
        <v>36769</v>
      </c>
      <c r="B15" s="137">
        <f t="shared" si="0"/>
        <v>31</v>
      </c>
      <c r="C15" s="138">
        <f t="shared" si="1"/>
        <v>170000000</v>
      </c>
      <c r="D15" s="138">
        <v>5000000</v>
      </c>
      <c r="E15" s="53"/>
      <c r="F15" s="138"/>
      <c r="G15" s="148"/>
      <c r="H15" s="148"/>
      <c r="I15" s="149"/>
    </row>
    <row r="16" spans="1:9" ht="12.75">
      <c r="A16" s="84">
        <v>36799</v>
      </c>
      <c r="B16" s="137">
        <f t="shared" si="0"/>
        <v>30</v>
      </c>
      <c r="C16" s="138">
        <f t="shared" si="1"/>
        <v>170000000</v>
      </c>
      <c r="D16" s="138"/>
      <c r="E16" s="53">
        <v>0.1116</v>
      </c>
      <c r="F16" s="138">
        <f>((C14+D14)*E16/365*B14)+((C15+D15)*E16/365*B15)+(C16*E16/365*B16)</f>
        <v>4924158.904109589</v>
      </c>
      <c r="G16" s="148"/>
      <c r="H16" s="148"/>
      <c r="I16" s="149"/>
    </row>
    <row r="17" spans="1:9" ht="12.75">
      <c r="A17" s="84">
        <v>36830</v>
      </c>
      <c r="B17" s="137">
        <f t="shared" si="0"/>
        <v>31</v>
      </c>
      <c r="C17" s="138">
        <f t="shared" si="1"/>
        <v>165000000</v>
      </c>
      <c r="D17" s="138">
        <v>5000000</v>
      </c>
      <c r="E17" s="53"/>
      <c r="F17" s="138"/>
      <c r="G17" s="148"/>
      <c r="H17" s="148"/>
      <c r="I17" s="149"/>
    </row>
    <row r="18" spans="1:9" ht="12.75">
      <c r="A18" s="84">
        <v>36860</v>
      </c>
      <c r="B18" s="137">
        <f t="shared" si="0"/>
        <v>30</v>
      </c>
      <c r="C18" s="138">
        <f t="shared" si="1"/>
        <v>160000000</v>
      </c>
      <c r="D18" s="138">
        <v>5000000</v>
      </c>
      <c r="E18" s="53"/>
      <c r="F18" s="138"/>
      <c r="G18" s="148"/>
      <c r="H18" s="148"/>
      <c r="I18" s="149"/>
    </row>
    <row r="19" spans="1:9" ht="12.75">
      <c r="A19" s="142">
        <v>36891</v>
      </c>
      <c r="B19" s="235">
        <f t="shared" si="0"/>
        <v>31</v>
      </c>
      <c r="C19" s="143">
        <f t="shared" si="1"/>
        <v>160000000</v>
      </c>
      <c r="D19" s="143"/>
      <c r="E19" s="100">
        <f>E16</f>
        <v>0.1116</v>
      </c>
      <c r="F19" s="144">
        <f>((C17+D17)*E19/365*B17)+((C18+D18)*E19/365*B18)+(C19*E19/365*B19)</f>
        <v>4641336.98630137</v>
      </c>
      <c r="G19" s="150">
        <f>SUM(F10:F19)</f>
        <v>21207182.19178082</v>
      </c>
      <c r="H19" s="150">
        <f>SUM(D8:D19)</f>
        <v>40000000</v>
      </c>
      <c r="I19" s="151">
        <f>SUM(G19:H19)</f>
        <v>61207182.19178082</v>
      </c>
    </row>
    <row r="20" spans="1:9" ht="12.75">
      <c r="A20" s="84">
        <v>36922</v>
      </c>
      <c r="B20" s="137">
        <f t="shared" si="0"/>
        <v>31</v>
      </c>
      <c r="C20" s="138">
        <f t="shared" si="1"/>
        <v>155000000</v>
      </c>
      <c r="D20" s="138">
        <v>5000000</v>
      </c>
      <c r="E20" s="53"/>
      <c r="F20" s="138"/>
      <c r="G20" s="148"/>
      <c r="H20" s="148"/>
      <c r="I20" s="149"/>
    </row>
    <row r="21" spans="1:9" ht="12.75">
      <c r="A21" s="84">
        <v>36950</v>
      </c>
      <c r="B21" s="137">
        <f t="shared" si="0"/>
        <v>28</v>
      </c>
      <c r="C21" s="138">
        <f t="shared" si="1"/>
        <v>150000000</v>
      </c>
      <c r="D21" s="138">
        <v>5000000</v>
      </c>
      <c r="E21" s="53"/>
      <c r="F21" s="138"/>
      <c r="G21" s="148"/>
      <c r="H21" s="148"/>
      <c r="I21" s="149"/>
    </row>
    <row r="22" spans="1:9" ht="12.75">
      <c r="A22" s="90">
        <v>36981</v>
      </c>
      <c r="B22" s="236">
        <f t="shared" si="0"/>
        <v>31</v>
      </c>
      <c r="C22" s="154">
        <f t="shared" si="1"/>
        <v>150000000</v>
      </c>
      <c r="D22" s="154"/>
      <c r="E22" s="53">
        <f>F22/(((C20+D20)*B20)+((C21+D21)*B21)+(C22*B22))*365</f>
        <v>0.12508128745519714</v>
      </c>
      <c r="F22" s="138">
        <v>4780504</v>
      </c>
      <c r="G22" s="155"/>
      <c r="H22" s="155"/>
      <c r="I22" s="156"/>
    </row>
    <row r="23" spans="1:9" ht="12.75">
      <c r="A23" s="90">
        <v>37011</v>
      </c>
      <c r="B23" s="236">
        <f t="shared" si="0"/>
        <v>30</v>
      </c>
      <c r="C23" s="154">
        <f t="shared" si="1"/>
        <v>145000000</v>
      </c>
      <c r="D23" s="154">
        <v>5000000</v>
      </c>
      <c r="E23" s="53"/>
      <c r="F23" s="154"/>
      <c r="G23" s="155"/>
      <c r="H23" s="155"/>
      <c r="I23" s="156"/>
    </row>
    <row r="24" spans="1:9" ht="12.75">
      <c r="A24" s="84">
        <v>37042</v>
      </c>
      <c r="B24" s="137">
        <f t="shared" si="0"/>
        <v>31</v>
      </c>
      <c r="C24" s="138">
        <f t="shared" si="1"/>
        <v>140000000</v>
      </c>
      <c r="D24" s="138">
        <v>5000000</v>
      </c>
      <c r="E24" s="53"/>
      <c r="F24" s="138"/>
      <c r="G24" s="148"/>
      <c r="H24" s="148"/>
      <c r="I24" s="149"/>
    </row>
    <row r="25" spans="1:9" ht="12.75">
      <c r="A25" s="90">
        <v>37072</v>
      </c>
      <c r="B25" s="236">
        <f t="shared" si="0"/>
        <v>30</v>
      </c>
      <c r="C25" s="154">
        <f t="shared" si="1"/>
        <v>140000000</v>
      </c>
      <c r="D25" s="154"/>
      <c r="E25" s="53">
        <f>F25/(((C23+D23)*B23)+((C24+D24)*B24)+(C25*B25))*365</f>
        <v>0.12392879992421371</v>
      </c>
      <c r="F25" s="138">
        <v>4480111</v>
      </c>
      <c r="G25" s="155"/>
      <c r="H25" s="155"/>
      <c r="I25" s="156"/>
    </row>
    <row r="26" spans="1:9" ht="12.75">
      <c r="A26" s="90">
        <v>37103</v>
      </c>
      <c r="B26" s="236">
        <f t="shared" si="0"/>
        <v>31</v>
      </c>
      <c r="C26" s="154">
        <f t="shared" si="1"/>
        <v>135000000</v>
      </c>
      <c r="D26" s="154">
        <v>5000000</v>
      </c>
      <c r="E26" s="237"/>
      <c r="F26" s="154"/>
      <c r="G26" s="155"/>
      <c r="H26" s="155"/>
      <c r="I26" s="156"/>
    </row>
    <row r="27" spans="1:9" ht="12.75">
      <c r="A27" s="84">
        <v>37134</v>
      </c>
      <c r="B27" s="137">
        <f t="shared" si="0"/>
        <v>31</v>
      </c>
      <c r="C27" s="138">
        <f t="shared" si="1"/>
        <v>130000000</v>
      </c>
      <c r="D27" s="138">
        <v>5000000</v>
      </c>
      <c r="E27" s="53"/>
      <c r="F27" s="138"/>
      <c r="G27" s="148"/>
      <c r="H27" s="148"/>
      <c r="I27" s="149"/>
    </row>
    <row r="28" spans="1:9" ht="12.75">
      <c r="A28" s="84">
        <v>37164</v>
      </c>
      <c r="B28" s="137">
        <f t="shared" si="0"/>
        <v>30</v>
      </c>
      <c r="C28" s="138">
        <f t="shared" si="1"/>
        <v>130000000</v>
      </c>
      <c r="D28" s="138"/>
      <c r="E28" s="53">
        <f>F28/(((C26+D26)*B26)+((C27+D27)*B27)+(C28*B28))*365</f>
        <v>0.11154079798792757</v>
      </c>
      <c r="F28" s="138">
        <v>3796971</v>
      </c>
      <c r="G28" s="148"/>
      <c r="H28" s="148"/>
      <c r="I28" s="149"/>
    </row>
    <row r="29" spans="1:9" ht="12.75">
      <c r="A29" s="84">
        <v>37195</v>
      </c>
      <c r="B29" s="137">
        <f t="shared" si="0"/>
        <v>31</v>
      </c>
      <c r="C29" s="138">
        <f t="shared" si="1"/>
        <v>125000000</v>
      </c>
      <c r="D29" s="138">
        <v>5000000</v>
      </c>
      <c r="E29" s="53"/>
      <c r="F29" s="138"/>
      <c r="G29" s="148"/>
      <c r="H29" s="148"/>
      <c r="I29" s="149"/>
    </row>
    <row r="30" spans="1:9" ht="12.75">
      <c r="A30" s="84">
        <v>37225</v>
      </c>
      <c r="B30" s="137">
        <f t="shared" si="0"/>
        <v>30</v>
      </c>
      <c r="C30" s="138">
        <f t="shared" si="1"/>
        <v>120000000</v>
      </c>
      <c r="D30" s="138">
        <v>5000000</v>
      </c>
      <c r="E30" s="53"/>
      <c r="F30" s="138"/>
      <c r="G30" s="148"/>
      <c r="H30" s="148"/>
      <c r="I30" s="149"/>
    </row>
    <row r="31" spans="1:9" ht="12.75">
      <c r="A31" s="142">
        <v>37253</v>
      </c>
      <c r="B31" s="235">
        <f t="shared" si="0"/>
        <v>28</v>
      </c>
      <c r="C31" s="143">
        <f t="shared" si="1"/>
        <v>120000000</v>
      </c>
      <c r="D31" s="143"/>
      <c r="E31" s="100">
        <f>F31/(((C29+D29)*B29)+((C30+D30)*B30)+(C31*B31))*365</f>
        <v>0.1163699618491921</v>
      </c>
      <c r="F31" s="144">
        <v>3551675</v>
      </c>
      <c r="G31" s="150">
        <f>SUM(F22:F31)</f>
        <v>16609261</v>
      </c>
      <c r="H31" s="150">
        <f>SUM(D20:D31)</f>
        <v>40000000</v>
      </c>
      <c r="I31" s="151">
        <f>SUM(G31:H31)</f>
        <v>56609261</v>
      </c>
    </row>
    <row r="32" spans="1:9" ht="12.75">
      <c r="A32" s="84">
        <v>37287</v>
      </c>
      <c r="B32" s="137">
        <f t="shared" si="0"/>
        <v>34</v>
      </c>
      <c r="C32" s="138">
        <f t="shared" si="1"/>
        <v>115000000</v>
      </c>
      <c r="D32" s="138">
        <v>5000000</v>
      </c>
      <c r="E32" s="53"/>
      <c r="F32" s="138"/>
      <c r="G32" s="148"/>
      <c r="H32" s="148"/>
      <c r="I32" s="149"/>
    </row>
    <row r="33" spans="1:9" ht="12.75">
      <c r="A33" s="84">
        <v>37315</v>
      </c>
      <c r="B33" s="137">
        <f t="shared" si="0"/>
        <v>28</v>
      </c>
      <c r="C33" s="138">
        <f t="shared" si="1"/>
        <v>110000000</v>
      </c>
      <c r="D33" s="138">
        <v>5000000</v>
      </c>
      <c r="E33" s="53"/>
      <c r="F33" s="138"/>
      <c r="G33" s="148"/>
      <c r="H33" s="148"/>
      <c r="I33" s="149"/>
    </row>
    <row r="34" spans="1:9" ht="12.75">
      <c r="A34" s="84">
        <v>37344</v>
      </c>
      <c r="B34" s="137">
        <f t="shared" si="0"/>
        <v>29</v>
      </c>
      <c r="C34" s="138">
        <f t="shared" si="1"/>
        <v>110000000</v>
      </c>
      <c r="D34" s="138"/>
      <c r="E34" s="53">
        <f>F34/(((C32+D32)*B32)+((C33+D33)*B33)+(C34*B34))*365</f>
        <v>0.09974106911344137</v>
      </c>
      <c r="F34" s="138">
        <v>2866531</v>
      </c>
      <c r="G34" s="148"/>
      <c r="H34" s="148"/>
      <c r="I34" s="149"/>
    </row>
    <row r="35" spans="1:9" ht="12.75">
      <c r="A35" s="84">
        <v>37376</v>
      </c>
      <c r="B35" s="137">
        <f t="shared" si="0"/>
        <v>32</v>
      </c>
      <c r="C35" s="138">
        <f t="shared" si="1"/>
        <v>105000000</v>
      </c>
      <c r="D35" s="138">
        <v>5000000</v>
      </c>
      <c r="E35" s="53"/>
      <c r="F35" s="138"/>
      <c r="G35" s="148"/>
      <c r="H35" s="148"/>
      <c r="I35" s="149"/>
    </row>
    <row r="36" spans="1:9" ht="12.75">
      <c r="A36" s="84">
        <v>37407</v>
      </c>
      <c r="B36" s="137">
        <f t="shared" si="0"/>
        <v>31</v>
      </c>
      <c r="C36" s="138">
        <f t="shared" si="1"/>
        <v>100000000</v>
      </c>
      <c r="D36" s="138">
        <v>5000000</v>
      </c>
      <c r="E36" s="53"/>
      <c r="F36" s="138"/>
      <c r="G36" s="148"/>
      <c r="H36" s="148"/>
      <c r="I36" s="149"/>
    </row>
    <row r="37" spans="1:9" ht="12.75">
      <c r="A37" s="84">
        <v>37437</v>
      </c>
      <c r="B37" s="137">
        <f t="shared" si="0"/>
        <v>30</v>
      </c>
      <c r="C37" s="138">
        <f t="shared" si="1"/>
        <v>100000000</v>
      </c>
      <c r="D37" s="138"/>
      <c r="E37" s="53">
        <v>0.086</v>
      </c>
      <c r="F37" s="138">
        <v>2315568</v>
      </c>
      <c r="G37" s="148"/>
      <c r="H37" s="148"/>
      <c r="I37" s="149"/>
    </row>
    <row r="38" spans="1:9" ht="12.75">
      <c r="A38" s="84">
        <v>37468</v>
      </c>
      <c r="B38" s="137">
        <f t="shared" si="0"/>
        <v>31</v>
      </c>
      <c r="C38" s="138">
        <f t="shared" si="1"/>
        <v>95000000</v>
      </c>
      <c r="D38" s="138">
        <v>5000000</v>
      </c>
      <c r="E38" s="53"/>
      <c r="F38" s="138"/>
      <c r="G38" s="148"/>
      <c r="H38" s="148"/>
      <c r="I38" s="149"/>
    </row>
    <row r="39" spans="1:9" ht="12.75">
      <c r="A39" s="84">
        <v>37499</v>
      </c>
      <c r="B39" s="137">
        <f t="shared" si="0"/>
        <v>31</v>
      </c>
      <c r="C39" s="138">
        <f t="shared" si="1"/>
        <v>90000000</v>
      </c>
      <c r="D39" s="138">
        <v>5000000</v>
      </c>
      <c r="E39" s="53"/>
      <c r="F39" s="138"/>
      <c r="G39" s="148"/>
      <c r="H39" s="148"/>
      <c r="I39" s="149"/>
    </row>
    <row r="40" spans="1:9" ht="12.75">
      <c r="A40" s="84">
        <v>37529</v>
      </c>
      <c r="B40" s="137">
        <f t="shared" si="0"/>
        <v>30</v>
      </c>
      <c r="C40" s="138">
        <f t="shared" si="1"/>
        <v>90000000</v>
      </c>
      <c r="D40" s="138"/>
      <c r="E40" s="53">
        <v>0.0931</v>
      </c>
      <c r="F40" s="138">
        <v>2309946</v>
      </c>
      <c r="G40" s="148"/>
      <c r="H40" s="148"/>
      <c r="I40" s="149"/>
    </row>
    <row r="41" spans="1:9" ht="12.75">
      <c r="A41" s="84">
        <v>37560</v>
      </c>
      <c r="B41" s="137">
        <f t="shared" si="0"/>
        <v>31</v>
      </c>
      <c r="C41" s="138">
        <f t="shared" si="1"/>
        <v>85000000</v>
      </c>
      <c r="D41" s="138">
        <v>5000000</v>
      </c>
      <c r="E41" s="53"/>
      <c r="F41" s="138"/>
      <c r="G41" s="148"/>
      <c r="H41" s="148"/>
      <c r="I41" s="149"/>
    </row>
    <row r="42" spans="1:9" ht="12.75">
      <c r="A42" s="84">
        <v>37590</v>
      </c>
      <c r="B42" s="137">
        <f t="shared" si="0"/>
        <v>30</v>
      </c>
      <c r="C42" s="138">
        <f t="shared" si="1"/>
        <v>80000000</v>
      </c>
      <c r="D42" s="138">
        <v>5000000</v>
      </c>
      <c r="E42" s="53"/>
      <c r="F42" s="138"/>
      <c r="G42" s="148"/>
      <c r="H42" s="148"/>
      <c r="I42" s="149"/>
    </row>
    <row r="43" spans="1:9" ht="12.75">
      <c r="A43" s="97">
        <v>37621</v>
      </c>
      <c r="B43" s="238">
        <f t="shared" si="0"/>
        <v>31</v>
      </c>
      <c r="C43" s="239">
        <v>80000000</v>
      </c>
      <c r="D43" s="99"/>
      <c r="E43" s="188">
        <v>0.099</v>
      </c>
      <c r="F43" s="99">
        <v>2151775</v>
      </c>
      <c r="G43" s="101">
        <f>SUM(F34:F43)</f>
        <v>9643820</v>
      </c>
      <c r="H43" s="145">
        <f>SUM(D32:D43)</f>
        <v>40000000</v>
      </c>
      <c r="I43" s="146">
        <f>SUM(G43:H43)</f>
        <v>49643820</v>
      </c>
    </row>
    <row r="44" spans="1:9" ht="12.75">
      <c r="A44" s="84">
        <v>37652</v>
      </c>
      <c r="B44" s="85">
        <v>31</v>
      </c>
      <c r="C44" s="86">
        <f aca="true" t="shared" si="2" ref="C44:C104">C43-D44</f>
        <v>78720000</v>
      </c>
      <c r="D44" s="86">
        <v>1280000</v>
      </c>
      <c r="E44" s="85"/>
      <c r="F44" s="85"/>
      <c r="G44" s="85"/>
      <c r="H44" s="85"/>
      <c r="I44" s="240"/>
    </row>
    <row r="45" spans="1:9" ht="12.75">
      <c r="A45" s="90">
        <v>37680</v>
      </c>
      <c r="B45" s="91">
        <f aca="true" t="shared" si="3" ref="B45:B103">A45-A44</f>
        <v>28</v>
      </c>
      <c r="C45" s="41">
        <f t="shared" si="2"/>
        <v>77080000</v>
      </c>
      <c r="D45" s="41">
        <v>1640000</v>
      </c>
      <c r="E45" s="91"/>
      <c r="F45" s="91"/>
      <c r="G45" s="91"/>
      <c r="H45" s="91"/>
      <c r="I45" s="231"/>
    </row>
    <row r="46" spans="1:9" ht="12.75">
      <c r="A46" s="90">
        <v>37711</v>
      </c>
      <c r="B46" s="91">
        <f t="shared" si="3"/>
        <v>31</v>
      </c>
      <c r="C46" s="41">
        <f t="shared" si="2"/>
        <v>77080000</v>
      </c>
      <c r="D46" s="41"/>
      <c r="E46" s="92">
        <v>0.0857</v>
      </c>
      <c r="F46" s="41">
        <v>1686875</v>
      </c>
      <c r="G46" s="91"/>
      <c r="H46" s="91"/>
      <c r="I46" s="231"/>
    </row>
    <row r="47" spans="1:9" ht="12.75">
      <c r="A47" s="90">
        <v>37741</v>
      </c>
      <c r="B47" s="91">
        <f t="shared" si="3"/>
        <v>30</v>
      </c>
      <c r="C47" s="41">
        <f t="shared" si="2"/>
        <v>75440000</v>
      </c>
      <c r="D47" s="41">
        <v>1640000</v>
      </c>
      <c r="E47" s="91"/>
      <c r="F47" s="91"/>
      <c r="G47" s="91"/>
      <c r="H47" s="91"/>
      <c r="I47" s="231"/>
    </row>
    <row r="48" spans="1:9" ht="12.75">
      <c r="A48" s="90">
        <v>37772</v>
      </c>
      <c r="B48" s="91">
        <f t="shared" si="3"/>
        <v>31</v>
      </c>
      <c r="C48" s="41">
        <f t="shared" si="2"/>
        <v>73800000</v>
      </c>
      <c r="D48" s="41">
        <v>1640000</v>
      </c>
      <c r="E48" s="91"/>
      <c r="F48" s="91"/>
      <c r="G48" s="91"/>
      <c r="H48" s="91"/>
      <c r="I48" s="231"/>
    </row>
    <row r="49" spans="1:9" ht="12.75">
      <c r="A49" s="90">
        <v>37802</v>
      </c>
      <c r="B49" s="91">
        <f t="shared" si="3"/>
        <v>30</v>
      </c>
      <c r="C49" s="41">
        <f t="shared" si="2"/>
        <v>73800000</v>
      </c>
      <c r="D49" s="41"/>
      <c r="E49" s="92">
        <v>0.0674</v>
      </c>
      <c r="F49" s="41">
        <v>1289820</v>
      </c>
      <c r="G49" s="91"/>
      <c r="H49" s="91"/>
      <c r="I49" s="231"/>
    </row>
    <row r="50" spans="1:9" ht="12.75">
      <c r="A50" s="90">
        <v>37833</v>
      </c>
      <c r="B50" s="91">
        <f t="shared" si="3"/>
        <v>31</v>
      </c>
      <c r="C50" s="41">
        <f t="shared" si="2"/>
        <v>72160000</v>
      </c>
      <c r="D50" s="41">
        <v>1640000</v>
      </c>
      <c r="E50" s="91"/>
      <c r="F50" s="91"/>
      <c r="G50" s="91"/>
      <c r="H50" s="91"/>
      <c r="I50" s="231"/>
    </row>
    <row r="51" spans="1:9" ht="12.75">
      <c r="A51" s="90">
        <v>37864</v>
      </c>
      <c r="B51" s="91">
        <f t="shared" si="3"/>
        <v>31</v>
      </c>
      <c r="C51" s="41">
        <f t="shared" si="2"/>
        <v>70520000</v>
      </c>
      <c r="D51" s="41">
        <v>1640000</v>
      </c>
      <c r="E51" s="91"/>
      <c r="F51" s="91"/>
      <c r="G51" s="91"/>
      <c r="H51" s="91"/>
      <c r="I51" s="231"/>
    </row>
    <row r="52" spans="1:9" ht="12.75">
      <c r="A52" s="90">
        <v>37894</v>
      </c>
      <c r="B52" s="91">
        <f t="shared" si="3"/>
        <v>30</v>
      </c>
      <c r="C52" s="41">
        <f t="shared" si="2"/>
        <v>70520000</v>
      </c>
      <c r="D52" s="41"/>
      <c r="E52" s="92">
        <v>0.0851</v>
      </c>
      <c r="F52" s="41">
        <v>1566466</v>
      </c>
      <c r="G52" s="91"/>
      <c r="H52" s="91"/>
      <c r="I52" s="231"/>
    </row>
    <row r="53" spans="1:9" ht="12.75">
      <c r="A53" s="90">
        <v>37925</v>
      </c>
      <c r="B53" s="91">
        <f t="shared" si="3"/>
        <v>31</v>
      </c>
      <c r="C53" s="41">
        <f t="shared" si="2"/>
        <v>68880000</v>
      </c>
      <c r="D53" s="41">
        <v>1640000</v>
      </c>
      <c r="E53" s="91"/>
      <c r="F53" s="91"/>
      <c r="G53" s="91"/>
      <c r="H53" s="91"/>
      <c r="I53" s="231"/>
    </row>
    <row r="54" spans="1:11" ht="12.75">
      <c r="A54" s="90">
        <v>37955</v>
      </c>
      <c r="B54" s="91">
        <f t="shared" si="3"/>
        <v>30</v>
      </c>
      <c r="C54" s="41">
        <f t="shared" si="2"/>
        <v>67240000</v>
      </c>
      <c r="D54" s="41">
        <v>1640000</v>
      </c>
      <c r="E54" s="91"/>
      <c r="F54" s="91"/>
      <c r="G54" s="91"/>
      <c r="H54" s="91"/>
      <c r="I54" s="231"/>
      <c r="K54" s="121"/>
    </row>
    <row r="55" spans="1:9" ht="12.75">
      <c r="A55" s="97">
        <v>37986</v>
      </c>
      <c r="B55" s="98">
        <f t="shared" si="3"/>
        <v>31</v>
      </c>
      <c r="C55" s="99">
        <f t="shared" si="2"/>
        <v>67240000</v>
      </c>
      <c r="D55" s="99"/>
      <c r="E55" s="100">
        <v>0.0955</v>
      </c>
      <c r="F55" s="99">
        <v>1679017</v>
      </c>
      <c r="G55" s="101">
        <f>SUM(F46:F55)</f>
        <v>6222178</v>
      </c>
      <c r="H55" s="101">
        <f>SUM(D44:D55)</f>
        <v>12760000</v>
      </c>
      <c r="I55" s="102">
        <f>SUM(G55:H55)</f>
        <v>18982178</v>
      </c>
    </row>
    <row r="56" spans="1:9" ht="12.75">
      <c r="A56" s="84">
        <v>38017</v>
      </c>
      <c r="B56" s="85">
        <f t="shared" si="3"/>
        <v>31</v>
      </c>
      <c r="C56" s="86">
        <f t="shared" si="2"/>
        <v>65600000</v>
      </c>
      <c r="D56" s="41">
        <v>1640000</v>
      </c>
      <c r="E56" s="85"/>
      <c r="F56" s="85"/>
      <c r="G56" s="85"/>
      <c r="H56" s="85"/>
      <c r="I56" s="240"/>
    </row>
    <row r="57" spans="1:9" ht="12.75">
      <c r="A57" s="90">
        <v>38045</v>
      </c>
      <c r="B57" s="91">
        <f t="shared" si="3"/>
        <v>28</v>
      </c>
      <c r="C57" s="41">
        <f t="shared" si="2"/>
        <v>63960000</v>
      </c>
      <c r="D57" s="41">
        <v>1640000</v>
      </c>
      <c r="E57" s="91"/>
      <c r="F57" s="91"/>
      <c r="G57" s="91"/>
      <c r="H57" s="91"/>
      <c r="I57" s="231"/>
    </row>
    <row r="58" spans="1:11" ht="12.75">
      <c r="A58" s="90">
        <v>38077</v>
      </c>
      <c r="B58" s="91">
        <f t="shared" si="3"/>
        <v>32</v>
      </c>
      <c r="C58" s="41">
        <f t="shared" si="2"/>
        <v>63960000</v>
      </c>
      <c r="D58" s="41"/>
      <c r="E58" s="92">
        <v>0.1222</v>
      </c>
      <c r="F58" s="41">
        <v>2020804</v>
      </c>
      <c r="G58" s="91"/>
      <c r="H58" s="91"/>
      <c r="I58" s="231"/>
      <c r="K58" s="121"/>
    </row>
    <row r="59" spans="1:9" ht="12.75">
      <c r="A59" s="90">
        <v>38107</v>
      </c>
      <c r="B59" s="91">
        <f t="shared" si="3"/>
        <v>30</v>
      </c>
      <c r="C59" s="41">
        <f t="shared" si="2"/>
        <v>62320000</v>
      </c>
      <c r="D59" s="41">
        <v>1640000</v>
      </c>
      <c r="E59" s="91"/>
      <c r="F59" s="91"/>
      <c r="G59" s="91"/>
      <c r="H59" s="91"/>
      <c r="I59" s="231"/>
    </row>
    <row r="60" spans="1:9" ht="12.75">
      <c r="A60" s="90">
        <v>38138</v>
      </c>
      <c r="B60" s="91">
        <f t="shared" si="3"/>
        <v>31</v>
      </c>
      <c r="C60" s="41">
        <f t="shared" si="2"/>
        <v>60680000</v>
      </c>
      <c r="D60" s="41">
        <v>1640000</v>
      </c>
      <c r="E60" s="91"/>
      <c r="F60" s="91"/>
      <c r="G60" s="91"/>
      <c r="H60" s="91"/>
      <c r="I60" s="231"/>
    </row>
    <row r="61" spans="1:11" ht="12.75">
      <c r="A61" s="90">
        <v>38168</v>
      </c>
      <c r="B61" s="91">
        <f t="shared" si="3"/>
        <v>30</v>
      </c>
      <c r="C61" s="41">
        <f t="shared" si="2"/>
        <v>60680000</v>
      </c>
      <c r="D61" s="41"/>
      <c r="E61" s="92">
        <f>E58</f>
        <v>0.1222</v>
      </c>
      <c r="F61" s="241">
        <v>1925587</v>
      </c>
      <c r="G61" s="91"/>
      <c r="H61" s="91"/>
      <c r="I61" s="231"/>
      <c r="K61" s="121"/>
    </row>
    <row r="62" spans="1:9" ht="12.75">
      <c r="A62" s="90">
        <v>38199</v>
      </c>
      <c r="B62" s="91">
        <f t="shared" si="3"/>
        <v>31</v>
      </c>
      <c r="C62" s="41">
        <f t="shared" si="2"/>
        <v>59040000</v>
      </c>
      <c r="D62" s="41">
        <v>1640000</v>
      </c>
      <c r="E62" s="91"/>
      <c r="F62" s="91"/>
      <c r="G62" s="91"/>
      <c r="H62" s="91"/>
      <c r="I62" s="231"/>
    </row>
    <row r="63" spans="1:9" ht="12.75">
      <c r="A63" s="90">
        <v>38230</v>
      </c>
      <c r="B63" s="91">
        <f t="shared" si="3"/>
        <v>31</v>
      </c>
      <c r="C63" s="41">
        <f t="shared" si="2"/>
        <v>57400000</v>
      </c>
      <c r="D63" s="41">
        <v>1640000</v>
      </c>
      <c r="E63" s="91"/>
      <c r="F63" s="91"/>
      <c r="G63" s="91"/>
      <c r="H63" s="91"/>
      <c r="I63" s="231"/>
    </row>
    <row r="64" spans="1:9" ht="12.75">
      <c r="A64" s="90">
        <v>38260</v>
      </c>
      <c r="B64" s="91">
        <f t="shared" si="3"/>
        <v>30</v>
      </c>
      <c r="C64" s="41">
        <f t="shared" si="2"/>
        <v>57400000</v>
      </c>
      <c r="D64" s="41"/>
      <c r="E64" s="92">
        <v>0.1177</v>
      </c>
      <c r="F64" s="41">
        <v>1778225</v>
      </c>
      <c r="G64" s="91"/>
      <c r="H64" s="91"/>
      <c r="I64" s="231"/>
    </row>
    <row r="65" spans="1:9" ht="12.75">
      <c r="A65" s="90">
        <v>38291</v>
      </c>
      <c r="B65" s="91">
        <f t="shared" si="3"/>
        <v>31</v>
      </c>
      <c r="C65" s="41">
        <f t="shared" si="2"/>
        <v>55760000</v>
      </c>
      <c r="D65" s="41">
        <v>1640000</v>
      </c>
      <c r="E65" s="91"/>
      <c r="F65" s="91"/>
      <c r="G65" s="91"/>
      <c r="H65" s="91"/>
      <c r="I65" s="231"/>
    </row>
    <row r="66" spans="1:9" ht="12.75">
      <c r="A66" s="90">
        <v>38321</v>
      </c>
      <c r="B66" s="91">
        <f t="shared" si="3"/>
        <v>30</v>
      </c>
      <c r="C66" s="41">
        <f t="shared" si="2"/>
        <v>54120000</v>
      </c>
      <c r="D66" s="41">
        <v>1640000</v>
      </c>
      <c r="E66" s="91"/>
      <c r="F66" s="91"/>
      <c r="G66" s="91"/>
      <c r="H66" s="91"/>
      <c r="I66" s="231"/>
    </row>
    <row r="67" spans="1:9" ht="12.75">
      <c r="A67" s="97">
        <v>38352</v>
      </c>
      <c r="B67" s="98">
        <f t="shared" si="3"/>
        <v>31</v>
      </c>
      <c r="C67" s="99">
        <f t="shared" si="2"/>
        <v>54120000</v>
      </c>
      <c r="D67" s="99"/>
      <c r="E67" s="100">
        <v>0.112</v>
      </c>
      <c r="F67" s="99">
        <v>1597904</v>
      </c>
      <c r="G67" s="101">
        <f>SUM(F58:F67)</f>
        <v>7322520</v>
      </c>
      <c r="H67" s="101">
        <f>SUM(D56:D67)</f>
        <v>13120000</v>
      </c>
      <c r="I67" s="102">
        <f>SUM(G67:H67)</f>
        <v>20442520</v>
      </c>
    </row>
    <row r="68" spans="1:9" ht="12.75">
      <c r="A68" s="84">
        <v>38383</v>
      </c>
      <c r="B68" s="85">
        <f t="shared" si="3"/>
        <v>31</v>
      </c>
      <c r="C68" s="86">
        <f t="shared" si="2"/>
        <v>52480000</v>
      </c>
      <c r="D68" s="41">
        <v>1640000</v>
      </c>
      <c r="E68" s="85"/>
      <c r="F68" s="85"/>
      <c r="G68" s="85"/>
      <c r="H68" s="85"/>
      <c r="I68" s="240"/>
    </row>
    <row r="69" spans="1:9" ht="12.75">
      <c r="A69" s="90">
        <v>38411</v>
      </c>
      <c r="B69" s="91">
        <f t="shared" si="3"/>
        <v>28</v>
      </c>
      <c r="C69" s="41">
        <f t="shared" si="2"/>
        <v>50840000</v>
      </c>
      <c r="D69" s="41">
        <v>1640000</v>
      </c>
      <c r="E69" s="91"/>
      <c r="F69" s="91"/>
      <c r="G69" s="91"/>
      <c r="H69" s="91"/>
      <c r="I69" s="231"/>
    </row>
    <row r="70" spans="1:9" ht="12.75">
      <c r="A70" s="90">
        <v>38442</v>
      </c>
      <c r="B70" s="91">
        <f t="shared" si="3"/>
        <v>31</v>
      </c>
      <c r="C70" s="41">
        <f t="shared" si="2"/>
        <v>50840000</v>
      </c>
      <c r="D70" s="41"/>
      <c r="E70" s="92">
        <v>0.0956</v>
      </c>
      <c r="F70" s="41">
        <v>1256737</v>
      </c>
      <c r="G70" s="91"/>
      <c r="H70" s="91"/>
      <c r="I70" s="231"/>
    </row>
    <row r="71" spans="1:9" ht="12.75">
      <c r="A71" s="90">
        <v>38474</v>
      </c>
      <c r="B71" s="91">
        <f t="shared" si="3"/>
        <v>32</v>
      </c>
      <c r="C71" s="41">
        <f t="shared" si="2"/>
        <v>49200000</v>
      </c>
      <c r="D71" s="41">
        <v>1640000</v>
      </c>
      <c r="E71" s="91"/>
      <c r="F71" s="91"/>
      <c r="G71" s="91"/>
      <c r="H71" s="91"/>
      <c r="I71" s="231"/>
    </row>
    <row r="72" spans="1:9" ht="12.75">
      <c r="A72" s="90">
        <v>38503</v>
      </c>
      <c r="B72" s="91">
        <f t="shared" si="3"/>
        <v>29</v>
      </c>
      <c r="C72" s="41">
        <f t="shared" si="2"/>
        <v>47560000</v>
      </c>
      <c r="D72" s="41">
        <v>1640000</v>
      </c>
      <c r="E72" s="91"/>
      <c r="F72" s="91"/>
      <c r="G72" s="91"/>
      <c r="H72" s="91"/>
      <c r="I72" s="231"/>
    </row>
    <row r="73" spans="1:9" ht="12.75">
      <c r="A73" s="90">
        <v>38533</v>
      </c>
      <c r="B73" s="91">
        <f t="shared" si="3"/>
        <v>30</v>
      </c>
      <c r="C73" s="41">
        <f t="shared" si="2"/>
        <v>47560000</v>
      </c>
      <c r="D73" s="41"/>
      <c r="E73" s="92">
        <v>0.0794</v>
      </c>
      <c r="F73" s="41">
        <v>990483</v>
      </c>
      <c r="G73" s="91"/>
      <c r="H73" s="91"/>
      <c r="I73" s="231"/>
    </row>
    <row r="74" spans="1:9" ht="12.75">
      <c r="A74" s="90">
        <v>38564</v>
      </c>
      <c r="B74" s="91">
        <f t="shared" si="3"/>
        <v>31</v>
      </c>
      <c r="C74" s="41">
        <f t="shared" si="2"/>
        <v>45920000</v>
      </c>
      <c r="D74" s="41">
        <v>1640000</v>
      </c>
      <c r="E74" s="91"/>
      <c r="F74" s="91"/>
      <c r="G74" s="91"/>
      <c r="H74" s="91"/>
      <c r="I74" s="231"/>
    </row>
    <row r="75" spans="1:9" ht="12.75">
      <c r="A75" s="90">
        <v>38595</v>
      </c>
      <c r="B75" s="91">
        <f t="shared" si="3"/>
        <v>31</v>
      </c>
      <c r="C75" s="41">
        <f t="shared" si="2"/>
        <v>44280000</v>
      </c>
      <c r="D75" s="41">
        <v>1640000</v>
      </c>
      <c r="E75" s="91"/>
      <c r="F75" s="91"/>
      <c r="G75" s="91"/>
      <c r="H75" s="91"/>
      <c r="I75" s="231"/>
    </row>
    <row r="76" spans="1:9" ht="12.75">
      <c r="A76" s="90">
        <v>38625</v>
      </c>
      <c r="B76" s="91">
        <f t="shared" si="3"/>
        <v>30</v>
      </c>
      <c r="C76" s="41">
        <f t="shared" si="2"/>
        <v>44280000</v>
      </c>
      <c r="D76" s="41"/>
      <c r="E76" s="92">
        <v>0.0712</v>
      </c>
      <c r="F76" s="41">
        <v>837272</v>
      </c>
      <c r="G76" s="91"/>
      <c r="H76" s="91"/>
      <c r="I76" s="231"/>
    </row>
    <row r="77" spans="1:9" ht="12.75">
      <c r="A77" s="90">
        <v>38658</v>
      </c>
      <c r="B77" s="91">
        <f t="shared" si="3"/>
        <v>33</v>
      </c>
      <c r="C77" s="41">
        <f t="shared" si="2"/>
        <v>42640000</v>
      </c>
      <c r="D77" s="41">
        <v>1640000</v>
      </c>
      <c r="E77" s="91"/>
      <c r="F77" s="91"/>
      <c r="G77" s="91"/>
      <c r="H77" s="91"/>
      <c r="I77" s="231"/>
    </row>
    <row r="78" spans="1:9" ht="12.75">
      <c r="A78" s="90">
        <v>38686</v>
      </c>
      <c r="B78" s="91">
        <f t="shared" si="3"/>
        <v>28</v>
      </c>
      <c r="C78" s="41">
        <f t="shared" si="2"/>
        <v>41000000</v>
      </c>
      <c r="D78" s="41">
        <v>1640000</v>
      </c>
      <c r="E78" s="91"/>
      <c r="F78" s="91"/>
      <c r="G78" s="91"/>
      <c r="H78" s="91"/>
      <c r="I78" s="231"/>
    </row>
    <row r="79" spans="1:9" ht="12.75">
      <c r="A79" s="97">
        <v>38716</v>
      </c>
      <c r="B79" s="98">
        <f t="shared" si="3"/>
        <v>30</v>
      </c>
      <c r="C79" s="99">
        <f t="shared" si="2"/>
        <v>41000000</v>
      </c>
      <c r="D79" s="99"/>
      <c r="E79" s="100">
        <v>0.062</v>
      </c>
      <c r="F79" s="99">
        <v>670242</v>
      </c>
      <c r="G79" s="101">
        <f>SUM(F70:F79)</f>
        <v>3754734</v>
      </c>
      <c r="H79" s="101">
        <f>SUM(D68:D79)</f>
        <v>13120000</v>
      </c>
      <c r="I79" s="102">
        <f>SUM(G79:H79)</f>
        <v>16874734</v>
      </c>
    </row>
    <row r="80" spans="1:9" ht="12.75">
      <c r="A80" s="84">
        <v>38748</v>
      </c>
      <c r="B80" s="85">
        <f t="shared" si="3"/>
        <v>32</v>
      </c>
      <c r="C80" s="86">
        <f t="shared" si="2"/>
        <v>39360000</v>
      </c>
      <c r="D80" s="41">
        <v>1640000</v>
      </c>
      <c r="E80" s="85"/>
      <c r="F80" s="85"/>
      <c r="G80" s="85"/>
      <c r="H80" s="85"/>
      <c r="I80" s="240"/>
    </row>
    <row r="81" spans="1:9" ht="12.75">
      <c r="A81" s="90">
        <v>38776</v>
      </c>
      <c r="B81" s="91">
        <f t="shared" si="3"/>
        <v>28</v>
      </c>
      <c r="C81" s="41">
        <f t="shared" si="2"/>
        <v>37720000</v>
      </c>
      <c r="D81" s="41">
        <v>1640000</v>
      </c>
      <c r="E81" s="91"/>
      <c r="F81" s="91"/>
      <c r="G81" s="91"/>
      <c r="H81" s="91"/>
      <c r="I81" s="231"/>
    </row>
    <row r="82" spans="1:9" ht="12.75">
      <c r="A82" s="90">
        <v>38807</v>
      </c>
      <c r="B82" s="91">
        <f t="shared" si="3"/>
        <v>31</v>
      </c>
      <c r="C82" s="41">
        <f t="shared" si="2"/>
        <v>37720000</v>
      </c>
      <c r="D82" s="41"/>
      <c r="E82" s="92">
        <v>0.0647</v>
      </c>
      <c r="F82" s="41">
        <v>643402</v>
      </c>
      <c r="G82" s="91"/>
      <c r="H82" s="91"/>
      <c r="I82" s="231"/>
    </row>
    <row r="83" spans="1:9" ht="12.75">
      <c r="A83" s="90">
        <v>38839</v>
      </c>
      <c r="B83" s="91">
        <f t="shared" si="3"/>
        <v>32</v>
      </c>
      <c r="C83" s="41">
        <f t="shared" si="2"/>
        <v>36080000</v>
      </c>
      <c r="D83" s="41">
        <v>1640000</v>
      </c>
      <c r="E83" s="91"/>
      <c r="F83" s="91"/>
      <c r="G83" s="91"/>
      <c r="H83" s="91"/>
      <c r="I83" s="231"/>
    </row>
    <row r="84" spans="1:9" ht="12.75">
      <c r="A84" s="90">
        <v>38868</v>
      </c>
      <c r="B84" s="91">
        <f t="shared" si="3"/>
        <v>29</v>
      </c>
      <c r="C84" s="41">
        <f t="shared" si="2"/>
        <v>34440000</v>
      </c>
      <c r="D84" s="41">
        <v>1640000</v>
      </c>
      <c r="E84" s="91"/>
      <c r="F84" s="91"/>
      <c r="G84" s="91"/>
      <c r="H84" s="91"/>
      <c r="I84" s="231"/>
    </row>
    <row r="85" spans="1:9" ht="12.75">
      <c r="A85" s="90">
        <v>38898</v>
      </c>
      <c r="B85" s="91">
        <f t="shared" si="3"/>
        <v>30</v>
      </c>
      <c r="C85" s="41">
        <f t="shared" si="2"/>
        <v>34440000</v>
      </c>
      <c r="D85" s="41"/>
      <c r="E85" s="92">
        <v>0.0653</v>
      </c>
      <c r="F85" s="41">
        <v>596083</v>
      </c>
      <c r="G85" s="91"/>
      <c r="H85" s="91"/>
      <c r="I85" s="231"/>
    </row>
    <row r="86" spans="1:9" ht="12.75">
      <c r="A86" s="90">
        <v>38929</v>
      </c>
      <c r="B86" s="91">
        <f t="shared" si="3"/>
        <v>31</v>
      </c>
      <c r="C86" s="41">
        <f t="shared" si="2"/>
        <v>32800000</v>
      </c>
      <c r="D86" s="41">
        <v>1640000</v>
      </c>
      <c r="E86" s="91"/>
      <c r="F86" s="91"/>
      <c r="G86" s="91"/>
      <c r="H86" s="91"/>
      <c r="I86" s="231"/>
    </row>
    <row r="87" spans="1:9" ht="12.75">
      <c r="A87" s="90">
        <v>38960</v>
      </c>
      <c r="B87" s="91">
        <f t="shared" si="3"/>
        <v>31</v>
      </c>
      <c r="C87" s="41">
        <f t="shared" si="2"/>
        <v>31160000</v>
      </c>
      <c r="D87" s="41">
        <v>1640000</v>
      </c>
      <c r="E87" s="91"/>
      <c r="F87" s="91"/>
      <c r="G87" s="91"/>
      <c r="H87" s="91"/>
      <c r="I87" s="231"/>
    </row>
    <row r="88" spans="1:9" ht="12.75">
      <c r="A88" s="90">
        <v>38989</v>
      </c>
      <c r="B88" s="91">
        <f t="shared" si="3"/>
        <v>29</v>
      </c>
      <c r="C88" s="41">
        <f t="shared" si="2"/>
        <v>31160000</v>
      </c>
      <c r="D88" s="41"/>
      <c r="E88" s="92">
        <v>0.0687</v>
      </c>
      <c r="F88" s="41">
        <v>569900</v>
      </c>
      <c r="G88" s="91"/>
      <c r="H88" s="91"/>
      <c r="I88" s="231"/>
    </row>
    <row r="89" spans="1:9" ht="12.75">
      <c r="A89" s="90">
        <v>38991</v>
      </c>
      <c r="B89" s="91">
        <f t="shared" si="3"/>
        <v>2</v>
      </c>
      <c r="C89" s="41">
        <f t="shared" si="2"/>
        <v>31160000</v>
      </c>
      <c r="D89" s="41"/>
      <c r="E89" s="92">
        <v>0.0687</v>
      </c>
      <c r="F89" s="41"/>
      <c r="G89" s="91"/>
      <c r="H89" s="91"/>
      <c r="I89" s="231"/>
    </row>
    <row r="90" spans="1:9" ht="12.75">
      <c r="A90" s="90">
        <v>39021</v>
      </c>
      <c r="B90" s="91">
        <f t="shared" si="3"/>
        <v>30</v>
      </c>
      <c r="C90" s="41">
        <f t="shared" si="2"/>
        <v>29520000</v>
      </c>
      <c r="D90" s="41">
        <v>1640000</v>
      </c>
      <c r="E90" s="91"/>
      <c r="F90" s="91"/>
      <c r="G90" s="91"/>
      <c r="H90" s="91"/>
      <c r="I90" s="231"/>
    </row>
    <row r="91" spans="1:12" ht="12.75">
      <c r="A91" s="90">
        <v>39051</v>
      </c>
      <c r="B91" s="91">
        <f t="shared" si="3"/>
        <v>30</v>
      </c>
      <c r="C91" s="41">
        <f t="shared" si="2"/>
        <v>27880000</v>
      </c>
      <c r="D91" s="41">
        <v>1640000</v>
      </c>
      <c r="E91" s="91"/>
      <c r="F91" s="91"/>
      <c r="G91" s="91"/>
      <c r="H91" s="91"/>
      <c r="I91" s="231"/>
      <c r="J91" s="56"/>
      <c r="K91" s="56"/>
      <c r="L91" s="56"/>
    </row>
    <row r="92" spans="1:12" ht="12.75">
      <c r="A92" s="97">
        <v>39080</v>
      </c>
      <c r="B92" s="98">
        <f t="shared" si="3"/>
        <v>29</v>
      </c>
      <c r="C92" s="99">
        <f t="shared" si="2"/>
        <v>27880000</v>
      </c>
      <c r="D92" s="99"/>
      <c r="E92" s="100">
        <v>0.0814</v>
      </c>
      <c r="F92" s="99">
        <v>606321</v>
      </c>
      <c r="G92" s="101">
        <f>SUM(F82:F92)</f>
        <v>2415706</v>
      </c>
      <c r="H92" s="101">
        <f>SUM(D80:D92)</f>
        <v>13120000</v>
      </c>
      <c r="I92" s="102">
        <f>SUM(G92:H92)</f>
        <v>15535706</v>
      </c>
      <c r="J92" s="56"/>
      <c r="K92" s="56"/>
      <c r="L92" s="56"/>
    </row>
    <row r="93" spans="1:12" ht="12.75">
      <c r="A93" s="84">
        <v>39113</v>
      </c>
      <c r="B93" s="85">
        <f t="shared" si="3"/>
        <v>33</v>
      </c>
      <c r="C93" s="86">
        <f t="shared" si="2"/>
        <v>26240000</v>
      </c>
      <c r="D93" s="41">
        <v>1640000</v>
      </c>
      <c r="E93" s="85"/>
      <c r="F93" s="85"/>
      <c r="G93" s="85"/>
      <c r="H93" s="85"/>
      <c r="I93" s="240"/>
      <c r="J93" s="56"/>
      <c r="K93" s="56"/>
      <c r="L93" s="56"/>
    </row>
    <row r="94" spans="1:12" ht="12.75">
      <c r="A94" s="90">
        <v>39141</v>
      </c>
      <c r="B94" s="91">
        <f t="shared" si="3"/>
        <v>28</v>
      </c>
      <c r="C94" s="41">
        <f t="shared" si="2"/>
        <v>24600000</v>
      </c>
      <c r="D94" s="41">
        <v>1640000</v>
      </c>
      <c r="E94" s="91"/>
      <c r="F94" s="91"/>
      <c r="G94" s="91"/>
      <c r="H94" s="91"/>
      <c r="I94" s="231"/>
      <c r="J94" s="56"/>
      <c r="K94" s="56"/>
      <c r="L94" s="56"/>
    </row>
    <row r="95" spans="1:12" ht="12.75">
      <c r="A95" s="90">
        <v>39171</v>
      </c>
      <c r="B95" s="91">
        <f t="shared" si="3"/>
        <v>30</v>
      </c>
      <c r="C95" s="41">
        <f t="shared" si="2"/>
        <v>24600000</v>
      </c>
      <c r="D95" s="41"/>
      <c r="E95" s="92">
        <v>0.0828</v>
      </c>
      <c r="F95" s="41">
        <v>550010</v>
      </c>
      <c r="G95" s="91"/>
      <c r="H95" s="91"/>
      <c r="I95" s="231"/>
      <c r="J95" s="56"/>
      <c r="K95" s="56"/>
      <c r="L95" s="56"/>
    </row>
    <row r="96" spans="1:9" ht="12.75">
      <c r="A96" s="90">
        <v>39202</v>
      </c>
      <c r="B96" s="91">
        <f t="shared" si="3"/>
        <v>31</v>
      </c>
      <c r="C96" s="41">
        <f t="shared" si="2"/>
        <v>22960000</v>
      </c>
      <c r="D96" s="41">
        <v>1640000</v>
      </c>
      <c r="E96" s="91"/>
      <c r="F96" s="91"/>
      <c r="G96" s="91"/>
      <c r="H96" s="91"/>
      <c r="I96" s="231"/>
    </row>
    <row r="97" spans="1:9" ht="12.75">
      <c r="A97" s="90">
        <v>39233</v>
      </c>
      <c r="B97" s="91">
        <f t="shared" si="3"/>
        <v>31</v>
      </c>
      <c r="C97" s="41">
        <f t="shared" si="2"/>
        <v>21320000</v>
      </c>
      <c r="D97" s="41">
        <v>1640000</v>
      </c>
      <c r="E97" s="91"/>
      <c r="F97" s="91"/>
      <c r="G97" s="91"/>
      <c r="H97" s="91"/>
      <c r="I97" s="231"/>
    </row>
    <row r="98" spans="1:9" ht="12.75">
      <c r="A98" s="90">
        <v>39262</v>
      </c>
      <c r="B98" s="91">
        <f t="shared" si="3"/>
        <v>29</v>
      </c>
      <c r="C98" s="41">
        <f t="shared" si="2"/>
        <v>21320000</v>
      </c>
      <c r="D98" s="41"/>
      <c r="E98" s="92">
        <v>0.0813</v>
      </c>
      <c r="F98" s="41">
        <v>472793</v>
      </c>
      <c r="G98" s="91"/>
      <c r="H98" s="91"/>
      <c r="I98" s="231"/>
    </row>
    <row r="99" spans="1:9" ht="12.75">
      <c r="A99" s="90">
        <v>39294</v>
      </c>
      <c r="B99" s="91">
        <f t="shared" si="3"/>
        <v>32</v>
      </c>
      <c r="C99" s="41">
        <f t="shared" si="2"/>
        <v>19680000</v>
      </c>
      <c r="D99" s="41">
        <v>1640000</v>
      </c>
      <c r="E99" s="91"/>
      <c r="F99" s="91"/>
      <c r="G99" s="91"/>
      <c r="H99" s="91"/>
      <c r="I99" s="231"/>
    </row>
    <row r="100" spans="1:9" ht="12.75">
      <c r="A100" s="90">
        <v>39325</v>
      </c>
      <c r="B100" s="91">
        <f t="shared" si="3"/>
        <v>31</v>
      </c>
      <c r="C100" s="41">
        <f t="shared" si="2"/>
        <v>18040000</v>
      </c>
      <c r="D100" s="41">
        <v>1640000</v>
      </c>
      <c r="E100" s="91"/>
      <c r="F100" s="91"/>
      <c r="G100" s="91"/>
      <c r="H100" s="91"/>
      <c r="I100" s="231"/>
    </row>
    <row r="101" spans="1:10" ht="12.75">
      <c r="A101" s="90">
        <v>39353</v>
      </c>
      <c r="B101" s="91">
        <f t="shared" si="3"/>
        <v>28</v>
      </c>
      <c r="C101" s="41">
        <f t="shared" si="2"/>
        <v>18040000</v>
      </c>
      <c r="D101" s="41"/>
      <c r="E101" s="92">
        <v>0.08</v>
      </c>
      <c r="F101" s="41">
        <v>399585</v>
      </c>
      <c r="G101" s="91"/>
      <c r="H101" s="91"/>
      <c r="I101" s="231"/>
      <c r="J101" s="56"/>
    </row>
    <row r="102" spans="1:10" ht="12.75">
      <c r="A102" s="90">
        <v>39386</v>
      </c>
      <c r="B102" s="91">
        <f t="shared" si="3"/>
        <v>33</v>
      </c>
      <c r="C102" s="41">
        <f t="shared" si="2"/>
        <v>16400000</v>
      </c>
      <c r="D102" s="41">
        <v>1640000</v>
      </c>
      <c r="E102" s="91"/>
      <c r="F102" s="91"/>
      <c r="G102" s="91"/>
      <c r="H102" s="91"/>
      <c r="I102" s="231"/>
      <c r="J102" s="56"/>
    </row>
    <row r="103" spans="1:10" ht="12.75">
      <c r="A103" s="90">
        <v>39416</v>
      </c>
      <c r="B103" s="91">
        <f t="shared" si="3"/>
        <v>30</v>
      </c>
      <c r="C103" s="41">
        <f t="shared" si="2"/>
        <v>14760000</v>
      </c>
      <c r="D103" s="41">
        <v>1640000</v>
      </c>
      <c r="E103" s="91"/>
      <c r="F103" s="91"/>
      <c r="G103" s="91"/>
      <c r="H103" s="91"/>
      <c r="I103" s="231"/>
      <c r="J103" s="56"/>
    </row>
    <row r="104" spans="1:10" ht="13.5" thickBot="1">
      <c r="A104" s="97">
        <v>39438</v>
      </c>
      <c r="B104" s="98"/>
      <c r="C104" s="41">
        <f t="shared" si="2"/>
        <v>0</v>
      </c>
      <c r="D104" s="99">
        <v>14760000</v>
      </c>
      <c r="E104" s="100">
        <v>0.0778</v>
      </c>
      <c r="F104" s="41">
        <v>305488</v>
      </c>
      <c r="G104" s="101">
        <f>SUM(F95:F104)</f>
        <v>1727876</v>
      </c>
      <c r="H104" s="101">
        <f>SUM(D93:D104)</f>
        <v>27880000</v>
      </c>
      <c r="I104" s="102">
        <f>SUM(G104:H104)</f>
        <v>29607876</v>
      </c>
      <c r="J104" s="56"/>
    </row>
    <row r="105" spans="1:10" ht="13.5" thickTop="1">
      <c r="A105" s="560" t="s">
        <v>14</v>
      </c>
      <c r="B105" s="561"/>
      <c r="C105" s="562"/>
      <c r="D105" s="247">
        <f>SUM(D8:D104)</f>
        <v>200000000</v>
      </c>
      <c r="E105" s="248"/>
      <c r="F105" s="117">
        <f>SUM(F10:F104)</f>
        <v>68903277.19178082</v>
      </c>
      <c r="G105" s="117">
        <f>SUM(G19:G104)</f>
        <v>68903277.19178082</v>
      </c>
      <c r="H105" s="117">
        <f>SUM(H19:H104)</f>
        <v>200000000</v>
      </c>
      <c r="I105" s="249">
        <f>SUM(I19:I104)</f>
        <v>268903277.1917808</v>
      </c>
      <c r="J105" s="56"/>
    </row>
    <row r="106" ht="12.75">
      <c r="J106" s="56"/>
    </row>
    <row r="108" ht="12.75">
      <c r="F108" s="121"/>
    </row>
    <row r="109" ht="12.75">
      <c r="F109" s="121"/>
    </row>
    <row r="112" ht="12.75">
      <c r="F112" s="121"/>
    </row>
  </sheetData>
  <sheetProtection/>
  <mergeCells count="1">
    <mergeCell ref="A105:C105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1998. évben felvett 200 MFt célhitel</oddHeader>
    <oddFooter>&amp;L&amp;9&amp;D
C:\Andi\adósságszolgálat\&amp;F\&amp;A&amp;R&amp;P/&amp;N</oddFooter>
  </headerFooter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201"/>
  <sheetViews>
    <sheetView zoomScaleSheetLayoutView="100" zoomScalePageLayoutView="0" workbookViewId="0" topLeftCell="A1">
      <pane ySplit="5" topLeftCell="BM66" activePane="bottomLeft" state="frozen"/>
      <selection pane="topLeft" activeCell="A1" sqref="A1"/>
      <selection pane="bottomLeft" activeCell="E81" sqref="E81"/>
    </sheetView>
  </sheetViews>
  <sheetFormatPr defaultColWidth="9.00390625" defaultRowHeight="12.75"/>
  <cols>
    <col min="1" max="1" width="11.0039062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7.875" style="316" customWidth="1"/>
    <col min="6" max="7" width="12.625" style="58" customWidth="1"/>
    <col min="8" max="8" width="13.00390625" style="58" customWidth="1"/>
    <col min="9" max="10" width="12.625" style="58" bestFit="1" customWidth="1"/>
    <col min="11" max="11" width="9.375" style="58" customWidth="1"/>
    <col min="12" max="12" width="10.125" style="58" bestFit="1" customWidth="1"/>
    <col min="13" max="16384" width="9.375" style="58" customWidth="1"/>
  </cols>
  <sheetData>
    <row r="1" spans="1:10" ht="12.75">
      <c r="A1" s="163" t="s">
        <v>109</v>
      </c>
      <c r="B1" s="162"/>
      <c r="C1" s="163" t="s">
        <v>125</v>
      </c>
      <c r="D1" s="163"/>
      <c r="E1" s="418" t="s">
        <v>246</v>
      </c>
      <c r="H1" s="163"/>
      <c r="I1" s="163"/>
      <c r="J1" s="163"/>
    </row>
    <row r="2" spans="1:10" ht="12.75">
      <c r="A2" s="163" t="s">
        <v>119</v>
      </c>
      <c r="B2" s="133"/>
      <c r="C2" s="132"/>
      <c r="D2" s="132"/>
      <c r="E2" s="317"/>
      <c r="F2" s="132"/>
      <c r="G2" s="132"/>
      <c r="H2" s="132"/>
      <c r="I2" s="132"/>
      <c r="J2" s="132"/>
    </row>
    <row r="3" spans="1:10" ht="12.75">
      <c r="A3" s="66" t="s">
        <v>3</v>
      </c>
      <c r="B3" s="67" t="s">
        <v>4</v>
      </c>
      <c r="C3" s="68" t="s">
        <v>5</v>
      </c>
      <c r="D3" s="68" t="s">
        <v>21</v>
      </c>
      <c r="E3" s="68" t="s">
        <v>18</v>
      </c>
      <c r="F3" s="69" t="s">
        <v>20</v>
      </c>
      <c r="G3" s="69" t="s">
        <v>120</v>
      </c>
      <c r="H3" s="70" t="s">
        <v>6</v>
      </c>
      <c r="I3" s="70" t="s">
        <v>6</v>
      </c>
      <c r="J3" s="71" t="s">
        <v>6</v>
      </c>
    </row>
    <row r="4" spans="1:10" ht="12.75">
      <c r="A4" s="72"/>
      <c r="B4" s="73" t="s">
        <v>7</v>
      </c>
      <c r="C4" s="74" t="s">
        <v>8</v>
      </c>
      <c r="D4" s="74" t="s">
        <v>13</v>
      </c>
      <c r="E4" s="74" t="s">
        <v>19</v>
      </c>
      <c r="F4" s="75" t="s">
        <v>13</v>
      </c>
      <c r="G4" s="75" t="s">
        <v>121</v>
      </c>
      <c r="H4" s="76" t="s">
        <v>9</v>
      </c>
      <c r="I4" s="76" t="s">
        <v>11</v>
      </c>
      <c r="J4" s="77" t="s">
        <v>10</v>
      </c>
    </row>
    <row r="5" spans="1:10" ht="12.75">
      <c r="A5" s="78"/>
      <c r="B5" s="79"/>
      <c r="C5" s="80"/>
      <c r="D5" s="80"/>
      <c r="E5" s="80"/>
      <c r="F5" s="81"/>
      <c r="G5" s="136" t="s">
        <v>122</v>
      </c>
      <c r="H5" s="136" t="s">
        <v>123</v>
      </c>
      <c r="I5" s="82" t="s">
        <v>13</v>
      </c>
      <c r="J5" s="83" t="s">
        <v>12</v>
      </c>
    </row>
    <row r="6" spans="1:10" ht="12.75">
      <c r="A6" s="103">
        <v>38898</v>
      </c>
      <c r="B6" s="323"/>
      <c r="C6" s="324"/>
      <c r="D6" s="324"/>
      <c r="E6" s="324"/>
      <c r="F6" s="325"/>
      <c r="G6" s="326">
        <v>1055560</v>
      </c>
      <c r="H6" s="327"/>
      <c r="I6" s="328"/>
      <c r="J6" s="329"/>
    </row>
    <row r="7" spans="1:10" ht="12.75">
      <c r="A7" s="90">
        <v>38903</v>
      </c>
      <c r="B7" s="362"/>
      <c r="C7" s="363">
        <v>5443230</v>
      </c>
      <c r="D7" s="364"/>
      <c r="E7" s="364"/>
      <c r="F7" s="365"/>
      <c r="G7" s="366"/>
      <c r="H7" s="367"/>
      <c r="I7" s="368"/>
      <c r="J7" s="336"/>
    </row>
    <row r="8" spans="1:10" ht="12.75">
      <c r="A8" s="90">
        <v>38911</v>
      </c>
      <c r="B8" s="307">
        <f aca="true" t="shared" si="0" ref="B8:B15">A8-A7</f>
        <v>8</v>
      </c>
      <c r="C8" s="363">
        <f>5443230+14861674</f>
        <v>20304904</v>
      </c>
      <c r="D8" s="364"/>
      <c r="E8" s="364"/>
      <c r="F8" s="365"/>
      <c r="G8" s="366"/>
      <c r="H8" s="367"/>
      <c r="I8" s="368"/>
      <c r="J8" s="336"/>
    </row>
    <row r="9" spans="1:10" ht="12.75">
      <c r="A9" s="90">
        <v>38912</v>
      </c>
      <c r="B9" s="307">
        <f t="shared" si="0"/>
        <v>1</v>
      </c>
      <c r="C9" s="363">
        <f>C8+7286853</f>
        <v>27591757</v>
      </c>
      <c r="D9" s="364"/>
      <c r="E9" s="364"/>
      <c r="F9" s="365"/>
      <c r="G9" s="366"/>
      <c r="H9" s="367"/>
      <c r="I9" s="368"/>
      <c r="J9" s="336"/>
    </row>
    <row r="10" spans="1:10" ht="12.75">
      <c r="A10" s="90">
        <v>38915</v>
      </c>
      <c r="B10" s="307">
        <f t="shared" si="0"/>
        <v>3</v>
      </c>
      <c r="C10" s="363">
        <f>C9+4178872</f>
        <v>31770629</v>
      </c>
      <c r="D10" s="364"/>
      <c r="E10" s="364"/>
      <c r="F10" s="365"/>
      <c r="G10" s="366"/>
      <c r="H10" s="367"/>
      <c r="I10" s="368"/>
      <c r="J10" s="336"/>
    </row>
    <row r="11" spans="1:10" ht="12.75">
      <c r="A11" s="90">
        <v>38917</v>
      </c>
      <c r="B11" s="307">
        <f t="shared" si="0"/>
        <v>2</v>
      </c>
      <c r="C11" s="363">
        <f>C10+6994279</f>
        <v>38764908</v>
      </c>
      <c r="D11" s="364"/>
      <c r="E11" s="364"/>
      <c r="F11" s="365"/>
      <c r="G11" s="366"/>
      <c r="H11" s="367"/>
      <c r="I11" s="368"/>
      <c r="J11" s="336"/>
    </row>
    <row r="12" spans="1:10" ht="12.75">
      <c r="A12" s="90">
        <v>38918</v>
      </c>
      <c r="B12" s="307">
        <f t="shared" si="0"/>
        <v>1</v>
      </c>
      <c r="C12" s="363">
        <f>C11+14509404</f>
        <v>53274312</v>
      </c>
      <c r="D12" s="364"/>
      <c r="E12" s="364"/>
      <c r="F12" s="365"/>
      <c r="G12" s="366"/>
      <c r="H12" s="367"/>
      <c r="I12" s="368"/>
      <c r="J12" s="336"/>
    </row>
    <row r="13" spans="1:10" ht="12.75">
      <c r="A13" s="90">
        <v>38923</v>
      </c>
      <c r="B13" s="307">
        <f t="shared" si="0"/>
        <v>5</v>
      </c>
      <c r="C13" s="363">
        <f>C12+5009304</f>
        <v>58283616</v>
      </c>
      <c r="D13" s="364"/>
      <c r="E13" s="364"/>
      <c r="F13" s="365"/>
      <c r="G13" s="366"/>
      <c r="H13" s="367"/>
      <c r="I13" s="368"/>
      <c r="J13" s="336"/>
    </row>
    <row r="14" spans="1:10" ht="12.75">
      <c r="A14" s="90">
        <v>38931</v>
      </c>
      <c r="B14" s="307">
        <f t="shared" si="0"/>
        <v>8</v>
      </c>
      <c r="C14" s="363">
        <f>C13+15582464</f>
        <v>73866080</v>
      </c>
      <c r="D14" s="364"/>
      <c r="E14" s="364"/>
      <c r="F14" s="365"/>
      <c r="G14" s="366"/>
      <c r="H14" s="367"/>
      <c r="I14" s="368"/>
      <c r="J14" s="336"/>
    </row>
    <row r="15" spans="1:10" ht="12.75">
      <c r="A15" s="90">
        <v>38937</v>
      </c>
      <c r="B15" s="307">
        <f t="shared" si="0"/>
        <v>6</v>
      </c>
      <c r="C15" s="41">
        <f>C14+22312179</f>
        <v>96178259</v>
      </c>
      <c r="D15" s="41"/>
      <c r="E15" s="319"/>
      <c r="F15" s="41"/>
      <c r="G15" s="41"/>
      <c r="H15" s="93"/>
      <c r="I15" s="93"/>
      <c r="J15" s="94"/>
    </row>
    <row r="16" spans="1:10" ht="12.75">
      <c r="A16" s="90">
        <v>38958</v>
      </c>
      <c r="B16" s="307">
        <f aca="true" t="shared" si="1" ref="B16:B52">A16-A15</f>
        <v>21</v>
      </c>
      <c r="C16" s="41">
        <v>107015495</v>
      </c>
      <c r="D16" s="41"/>
      <c r="E16" s="319"/>
      <c r="F16" s="41"/>
      <c r="G16" s="41"/>
      <c r="H16" s="91"/>
      <c r="I16" s="91"/>
      <c r="J16" s="231"/>
    </row>
    <row r="17" spans="1:10" ht="12.75">
      <c r="A17" s="90">
        <v>38959</v>
      </c>
      <c r="B17" s="307">
        <f aca="true" t="shared" si="2" ref="B17:B29">A17-A16</f>
        <v>1</v>
      </c>
      <c r="C17" s="41">
        <v>116720135</v>
      </c>
      <c r="D17" s="41"/>
      <c r="E17" s="319"/>
      <c r="F17" s="41"/>
      <c r="G17" s="41"/>
      <c r="H17" s="91"/>
      <c r="I17" s="91"/>
      <c r="J17" s="231"/>
    </row>
    <row r="18" spans="1:10" ht="12.75">
      <c r="A18" s="90">
        <v>38960</v>
      </c>
      <c r="B18" s="307">
        <f t="shared" si="2"/>
        <v>1</v>
      </c>
      <c r="C18" s="41">
        <v>126832361</v>
      </c>
      <c r="D18" s="41"/>
      <c r="E18" s="319"/>
      <c r="F18" s="41"/>
      <c r="G18" s="41"/>
      <c r="H18" s="91"/>
      <c r="I18" s="91"/>
      <c r="J18" s="231"/>
    </row>
    <row r="19" spans="1:10" ht="12.75">
      <c r="A19" s="90">
        <v>38961</v>
      </c>
      <c r="B19" s="307">
        <f t="shared" si="2"/>
        <v>1</v>
      </c>
      <c r="C19" s="41">
        <v>144999504</v>
      </c>
      <c r="D19" s="41"/>
      <c r="E19" s="319"/>
      <c r="F19" s="41"/>
      <c r="G19" s="41"/>
      <c r="H19" s="91"/>
      <c r="I19" s="91"/>
      <c r="J19" s="231"/>
    </row>
    <row r="20" spans="1:10" ht="12.75">
      <c r="A20" s="90">
        <v>38964</v>
      </c>
      <c r="B20" s="307">
        <f t="shared" si="2"/>
        <v>3</v>
      </c>
      <c r="C20" s="41">
        <v>151054524</v>
      </c>
      <c r="D20" s="41"/>
      <c r="E20" s="319"/>
      <c r="F20" s="41"/>
      <c r="G20" s="41"/>
      <c r="H20" s="91"/>
      <c r="I20" s="91"/>
      <c r="J20" s="231"/>
    </row>
    <row r="21" spans="1:10" ht="12.75">
      <c r="A21" s="90">
        <v>38968</v>
      </c>
      <c r="B21" s="307">
        <f t="shared" si="2"/>
        <v>4</v>
      </c>
      <c r="C21" s="41">
        <v>164347209</v>
      </c>
      <c r="D21" s="41"/>
      <c r="E21" s="319"/>
      <c r="F21" s="41"/>
      <c r="G21" s="41"/>
      <c r="H21" s="91"/>
      <c r="I21" s="91"/>
      <c r="J21" s="231"/>
    </row>
    <row r="22" spans="1:10" ht="12.75">
      <c r="A22" s="90">
        <v>38971</v>
      </c>
      <c r="B22" s="307">
        <f t="shared" si="2"/>
        <v>3</v>
      </c>
      <c r="C22" s="41">
        <v>174331030</v>
      </c>
      <c r="D22" s="41"/>
      <c r="E22" s="319"/>
      <c r="F22" s="41"/>
      <c r="G22" s="41"/>
      <c r="H22" s="91"/>
      <c r="I22" s="91"/>
      <c r="J22" s="231"/>
    </row>
    <row r="23" spans="1:10" ht="12.75">
      <c r="A23" s="90">
        <v>38973</v>
      </c>
      <c r="B23" s="307">
        <f t="shared" si="2"/>
        <v>2</v>
      </c>
      <c r="C23" s="41">
        <v>193634566</v>
      </c>
      <c r="D23" s="41"/>
      <c r="E23" s="319"/>
      <c r="F23" s="41"/>
      <c r="G23" s="41"/>
      <c r="H23" s="91"/>
      <c r="I23" s="91"/>
      <c r="J23" s="231"/>
    </row>
    <row r="24" spans="1:10" ht="12.75">
      <c r="A24" s="393">
        <v>38980</v>
      </c>
      <c r="B24" s="307">
        <f t="shared" si="2"/>
        <v>7</v>
      </c>
      <c r="C24" s="41">
        <v>205987494</v>
      </c>
      <c r="D24" s="41"/>
      <c r="E24" s="319"/>
      <c r="F24" s="41"/>
      <c r="G24" s="41"/>
      <c r="H24" s="91"/>
      <c r="I24" s="91"/>
      <c r="J24" s="231"/>
    </row>
    <row r="25" spans="1:10" ht="12.75">
      <c r="A25" s="393">
        <v>38982</v>
      </c>
      <c r="B25" s="307">
        <f t="shared" si="2"/>
        <v>2</v>
      </c>
      <c r="C25" s="41">
        <v>221559965</v>
      </c>
      <c r="D25" s="41"/>
      <c r="E25" s="319"/>
      <c r="F25" s="41"/>
      <c r="G25" s="41"/>
      <c r="H25" s="91"/>
      <c r="I25" s="91"/>
      <c r="J25" s="231"/>
    </row>
    <row r="26" spans="1:10" ht="12.75">
      <c r="A26" s="393">
        <v>38986</v>
      </c>
      <c r="B26" s="307">
        <f t="shared" si="2"/>
        <v>4</v>
      </c>
      <c r="C26" s="41">
        <v>225079429</v>
      </c>
      <c r="D26" s="41"/>
      <c r="E26" s="319"/>
      <c r="F26" s="41"/>
      <c r="G26" s="41"/>
      <c r="H26" s="91"/>
      <c r="I26" s="91"/>
      <c r="J26" s="231"/>
    </row>
    <row r="27" spans="1:10" ht="12.75">
      <c r="A27" s="393">
        <v>38988</v>
      </c>
      <c r="B27" s="307">
        <f t="shared" si="2"/>
        <v>2</v>
      </c>
      <c r="C27" s="41">
        <v>235138122</v>
      </c>
      <c r="D27" s="41"/>
      <c r="E27" s="319"/>
      <c r="F27" s="41"/>
      <c r="G27" s="41"/>
      <c r="H27" s="91"/>
      <c r="I27" s="91"/>
      <c r="J27" s="231"/>
    </row>
    <row r="28" spans="1:10" ht="12.75">
      <c r="A28" s="393">
        <v>38989</v>
      </c>
      <c r="B28" s="307">
        <f t="shared" si="2"/>
        <v>1</v>
      </c>
      <c r="C28" s="41">
        <v>240439869</v>
      </c>
      <c r="D28" s="41"/>
      <c r="E28" s="319"/>
      <c r="F28" s="41"/>
      <c r="G28" s="41"/>
      <c r="H28" s="91"/>
      <c r="I28" s="91"/>
      <c r="J28" s="231"/>
    </row>
    <row r="29" spans="1:10" ht="12.75">
      <c r="A29" s="90">
        <v>38990</v>
      </c>
      <c r="B29" s="307">
        <f t="shared" si="2"/>
        <v>1</v>
      </c>
      <c r="C29" s="41">
        <f>C28</f>
        <v>240439869</v>
      </c>
      <c r="D29" s="41"/>
      <c r="E29" s="319">
        <v>0.03011</v>
      </c>
      <c r="F29" s="41">
        <v>774110</v>
      </c>
      <c r="G29" s="41">
        <f>G6</f>
        <v>1055560</v>
      </c>
      <c r="H29" s="91"/>
      <c r="I29" s="91"/>
      <c r="J29" s="231"/>
    </row>
    <row r="30" spans="1:10" ht="12.75">
      <c r="A30" s="393">
        <v>38995</v>
      </c>
      <c r="B30" s="307">
        <f t="shared" si="1"/>
        <v>5</v>
      </c>
      <c r="C30" s="41">
        <v>249676213</v>
      </c>
      <c r="D30" s="41"/>
      <c r="E30" s="319"/>
      <c r="F30" s="41"/>
      <c r="G30" s="41"/>
      <c r="H30" s="91"/>
      <c r="I30" s="91"/>
      <c r="J30" s="231"/>
    </row>
    <row r="31" spans="1:10" ht="12.75">
      <c r="A31" s="393">
        <v>39000</v>
      </c>
      <c r="B31" s="307">
        <f t="shared" si="1"/>
        <v>5</v>
      </c>
      <c r="C31" s="41">
        <v>255331454</v>
      </c>
      <c r="D31" s="41"/>
      <c r="E31" s="319"/>
      <c r="F31" s="41"/>
      <c r="G31" s="41"/>
      <c r="H31" s="91"/>
      <c r="I31" s="91"/>
      <c r="J31" s="251"/>
    </row>
    <row r="32" spans="1:10" ht="12.75">
      <c r="A32" s="393">
        <v>39002</v>
      </c>
      <c r="B32" s="307">
        <f t="shared" si="1"/>
        <v>2</v>
      </c>
      <c r="C32" s="41">
        <v>260378233</v>
      </c>
      <c r="D32" s="41"/>
      <c r="E32" s="319"/>
      <c r="F32" s="41"/>
      <c r="G32" s="41"/>
      <c r="H32" s="91"/>
      <c r="I32" s="91"/>
      <c r="J32" s="251"/>
    </row>
    <row r="33" spans="1:10" ht="12.75">
      <c r="A33" s="393">
        <v>39003</v>
      </c>
      <c r="B33" s="307">
        <f t="shared" si="1"/>
        <v>1</v>
      </c>
      <c r="C33" s="41">
        <v>269820208</v>
      </c>
      <c r="D33" s="41"/>
      <c r="E33" s="319"/>
      <c r="F33" s="41"/>
      <c r="G33" s="41"/>
      <c r="H33" s="91"/>
      <c r="I33" s="91"/>
      <c r="J33" s="251"/>
    </row>
    <row r="34" spans="1:10" ht="12.75">
      <c r="A34" s="393">
        <v>39007</v>
      </c>
      <c r="B34" s="307">
        <f t="shared" si="1"/>
        <v>4</v>
      </c>
      <c r="C34" s="41">
        <v>278586433</v>
      </c>
      <c r="D34" s="41"/>
      <c r="E34" s="319"/>
      <c r="F34" s="41"/>
      <c r="G34" s="41"/>
      <c r="H34" s="91"/>
      <c r="I34" s="91"/>
      <c r="J34" s="251"/>
    </row>
    <row r="35" spans="1:10" ht="12.75">
      <c r="A35" s="393">
        <v>39014</v>
      </c>
      <c r="B35" s="307">
        <f t="shared" si="1"/>
        <v>7</v>
      </c>
      <c r="C35" s="41">
        <v>284345586</v>
      </c>
      <c r="D35" s="41"/>
      <c r="E35" s="319"/>
      <c r="F35" s="41"/>
      <c r="G35" s="41"/>
      <c r="H35" s="91"/>
      <c r="I35" s="91"/>
      <c r="J35" s="251"/>
    </row>
    <row r="36" spans="1:10" ht="12.75">
      <c r="A36" s="393">
        <v>39015</v>
      </c>
      <c r="B36" s="307">
        <f t="shared" si="1"/>
        <v>1</v>
      </c>
      <c r="C36" s="41">
        <v>294116159</v>
      </c>
      <c r="D36" s="41"/>
      <c r="E36" s="319"/>
      <c r="F36" s="41"/>
      <c r="G36" s="41"/>
      <c r="H36" s="91"/>
      <c r="I36" s="91"/>
      <c r="J36" s="251"/>
    </row>
    <row r="37" spans="1:10" ht="12.75">
      <c r="A37" s="393">
        <v>39016</v>
      </c>
      <c r="B37" s="307">
        <f t="shared" si="1"/>
        <v>1</v>
      </c>
      <c r="C37" s="41">
        <v>311225653</v>
      </c>
      <c r="D37" s="41"/>
      <c r="E37" s="319"/>
      <c r="F37" s="41"/>
      <c r="G37" s="41"/>
      <c r="H37" s="91"/>
      <c r="I37" s="91"/>
      <c r="J37" s="251"/>
    </row>
    <row r="38" spans="1:10" ht="12.75">
      <c r="A38" s="393">
        <v>39017</v>
      </c>
      <c r="B38" s="307">
        <f t="shared" si="1"/>
        <v>1</v>
      </c>
      <c r="C38" s="41">
        <v>317960431</v>
      </c>
      <c r="D38" s="41"/>
      <c r="E38" s="319"/>
      <c r="F38" s="41"/>
      <c r="G38" s="41"/>
      <c r="H38" s="91"/>
      <c r="I38" s="91"/>
      <c r="J38" s="251"/>
    </row>
    <row r="39" spans="1:10" ht="12.75">
      <c r="A39" s="393">
        <v>39023</v>
      </c>
      <c r="B39" s="307">
        <f t="shared" si="1"/>
        <v>6</v>
      </c>
      <c r="C39" s="41">
        <v>337470449</v>
      </c>
      <c r="D39" s="41"/>
      <c r="E39" s="319"/>
      <c r="F39" s="41"/>
      <c r="G39" s="41"/>
      <c r="H39" s="91"/>
      <c r="I39" s="91"/>
      <c r="J39" s="251"/>
    </row>
    <row r="40" spans="1:10" ht="12.75">
      <c r="A40" s="393">
        <v>39029</v>
      </c>
      <c r="B40" s="307">
        <f t="shared" si="1"/>
        <v>6</v>
      </c>
      <c r="C40" s="41">
        <v>356305485</v>
      </c>
      <c r="D40" s="41"/>
      <c r="E40" s="319"/>
      <c r="F40" s="41"/>
      <c r="G40" s="41"/>
      <c r="H40" s="91"/>
      <c r="I40" s="91"/>
      <c r="J40" s="251"/>
    </row>
    <row r="41" spans="1:10" ht="12.75">
      <c r="A41" s="393">
        <v>39037</v>
      </c>
      <c r="B41" s="307">
        <f t="shared" si="1"/>
        <v>8</v>
      </c>
      <c r="C41" s="41">
        <v>370604737</v>
      </c>
      <c r="D41" s="41"/>
      <c r="E41" s="319"/>
      <c r="F41" s="41"/>
      <c r="G41" s="41"/>
      <c r="H41" s="91"/>
      <c r="I41" s="91"/>
      <c r="J41" s="251"/>
    </row>
    <row r="42" spans="1:10" ht="12.75">
      <c r="A42" s="393">
        <v>39043</v>
      </c>
      <c r="B42" s="307">
        <f t="shared" si="1"/>
        <v>6</v>
      </c>
      <c r="C42" s="41">
        <v>380141470</v>
      </c>
      <c r="D42" s="41"/>
      <c r="E42" s="319"/>
      <c r="F42" s="41"/>
      <c r="G42" s="41"/>
      <c r="H42" s="91"/>
      <c r="I42" s="91"/>
      <c r="J42" s="251"/>
    </row>
    <row r="43" spans="1:10" ht="12.75">
      <c r="A43" s="393">
        <v>39049</v>
      </c>
      <c r="B43" s="307">
        <f t="shared" si="1"/>
        <v>6</v>
      </c>
      <c r="C43" s="41">
        <v>400241609</v>
      </c>
      <c r="D43" s="41"/>
      <c r="E43" s="319"/>
      <c r="F43" s="41"/>
      <c r="G43" s="41"/>
      <c r="H43" s="91"/>
      <c r="I43" s="91"/>
      <c r="J43" s="251"/>
    </row>
    <row r="44" spans="1:10" ht="12.75">
      <c r="A44" s="393">
        <v>39051</v>
      </c>
      <c r="B44" s="307">
        <f t="shared" si="1"/>
        <v>2</v>
      </c>
      <c r="C44" s="41">
        <v>404403757</v>
      </c>
      <c r="D44" s="41"/>
      <c r="E44" s="319"/>
      <c r="F44" s="41"/>
      <c r="G44" s="41"/>
      <c r="H44" s="91"/>
      <c r="I44" s="91"/>
      <c r="J44" s="251"/>
    </row>
    <row r="45" spans="1:10" ht="12.75">
      <c r="A45" s="393">
        <v>39052</v>
      </c>
      <c r="B45" s="307">
        <f t="shared" si="1"/>
        <v>1</v>
      </c>
      <c r="C45" s="41">
        <v>414562018</v>
      </c>
      <c r="D45" s="41"/>
      <c r="E45" s="319"/>
      <c r="F45" s="41"/>
      <c r="G45" s="41"/>
      <c r="H45" s="91"/>
      <c r="I45" s="91"/>
      <c r="J45" s="251"/>
    </row>
    <row r="46" spans="1:10" ht="12.75">
      <c r="A46" s="393">
        <v>39057</v>
      </c>
      <c r="B46" s="307">
        <f t="shared" si="1"/>
        <v>5</v>
      </c>
      <c r="C46" s="41">
        <v>416183659</v>
      </c>
      <c r="D46" s="41"/>
      <c r="E46" s="319"/>
      <c r="F46" s="41"/>
      <c r="G46" s="41"/>
      <c r="H46" s="91"/>
      <c r="I46" s="91"/>
      <c r="J46" s="251"/>
    </row>
    <row r="47" spans="1:10" ht="12.75">
      <c r="A47" s="393">
        <v>39058</v>
      </c>
      <c r="B47" s="307">
        <f t="shared" si="1"/>
        <v>1</v>
      </c>
      <c r="C47" s="41">
        <v>422934007</v>
      </c>
      <c r="D47" s="41"/>
      <c r="E47" s="319"/>
      <c r="F47" s="41"/>
      <c r="G47" s="41"/>
      <c r="H47" s="91"/>
      <c r="I47" s="91"/>
      <c r="J47" s="251"/>
    </row>
    <row r="48" spans="1:10" ht="12.75">
      <c r="A48" s="393">
        <v>39063</v>
      </c>
      <c r="B48" s="307">
        <f t="shared" si="1"/>
        <v>5</v>
      </c>
      <c r="C48" s="41">
        <v>427826225</v>
      </c>
      <c r="D48" s="41"/>
      <c r="E48" s="319"/>
      <c r="F48" s="41"/>
      <c r="G48" s="41"/>
      <c r="H48" s="91"/>
      <c r="I48" s="91"/>
      <c r="J48" s="251"/>
    </row>
    <row r="49" spans="1:10" ht="12.75">
      <c r="A49" s="393">
        <v>39065</v>
      </c>
      <c r="B49" s="307">
        <f t="shared" si="1"/>
        <v>2</v>
      </c>
      <c r="C49" s="41">
        <v>434743740</v>
      </c>
      <c r="D49" s="41"/>
      <c r="E49" s="319"/>
      <c r="F49" s="41"/>
      <c r="G49" s="41"/>
      <c r="H49" s="91"/>
      <c r="I49" s="91"/>
      <c r="J49" s="251"/>
    </row>
    <row r="50" spans="1:10" ht="12.75">
      <c r="A50" s="393">
        <v>39069</v>
      </c>
      <c r="B50" s="307">
        <f t="shared" si="1"/>
        <v>4</v>
      </c>
      <c r="C50" s="41">
        <v>442404568</v>
      </c>
      <c r="D50" s="41"/>
      <c r="E50" s="319"/>
      <c r="F50" s="41"/>
      <c r="G50" s="41"/>
      <c r="H50" s="91"/>
      <c r="I50" s="91"/>
      <c r="J50" s="251"/>
    </row>
    <row r="51" spans="1:10" ht="12.75">
      <c r="A51" s="393">
        <v>39072</v>
      </c>
      <c r="B51" s="307">
        <f t="shared" si="1"/>
        <v>3</v>
      </c>
      <c r="C51" s="41">
        <v>447710608</v>
      </c>
      <c r="D51" s="41"/>
      <c r="E51" s="319"/>
      <c r="F51" s="41"/>
      <c r="G51" s="41"/>
      <c r="H51" s="91"/>
      <c r="I51" s="91"/>
      <c r="J51" s="251"/>
    </row>
    <row r="52" spans="1:10" ht="12.75">
      <c r="A52" s="97">
        <v>39073</v>
      </c>
      <c r="B52" s="308">
        <f t="shared" si="1"/>
        <v>1</v>
      </c>
      <c r="C52" s="99">
        <v>463457806</v>
      </c>
      <c r="D52" s="99"/>
      <c r="E52" s="320"/>
      <c r="F52" s="99"/>
      <c r="G52" s="99"/>
      <c r="H52" s="300">
        <f>SUM(F6:G52)</f>
        <v>2885230</v>
      </c>
      <c r="I52" s="300">
        <f>SUM(D6:D52)</f>
        <v>0</v>
      </c>
      <c r="J52" s="301">
        <f>SUM(H52:I52)</f>
        <v>2885230</v>
      </c>
    </row>
    <row r="53" spans="1:10" ht="12.75">
      <c r="A53" s="84">
        <v>39084</v>
      </c>
      <c r="B53" s="349">
        <f>A53-A52</f>
        <v>11</v>
      </c>
      <c r="C53" s="86">
        <v>492390091</v>
      </c>
      <c r="D53" s="86"/>
      <c r="E53" s="369">
        <v>0.03011</v>
      </c>
      <c r="F53" s="86">
        <v>2747680</v>
      </c>
      <c r="G53" s="86">
        <f>G29</f>
        <v>1055560</v>
      </c>
      <c r="H53" s="85"/>
      <c r="I53" s="85"/>
      <c r="J53" s="240"/>
    </row>
    <row r="54" spans="1:10" ht="12.75">
      <c r="A54" s="84">
        <v>39090</v>
      </c>
      <c r="B54" s="349">
        <f>A54-A53</f>
        <v>6</v>
      </c>
      <c r="C54" s="86">
        <v>517200225</v>
      </c>
      <c r="D54" s="86"/>
      <c r="E54" s="369"/>
      <c r="F54" s="86"/>
      <c r="G54" s="86"/>
      <c r="H54" s="370"/>
      <c r="I54" s="370"/>
      <c r="J54" s="371"/>
    </row>
    <row r="55" spans="1:10" ht="12.75">
      <c r="A55" s="84">
        <v>39101</v>
      </c>
      <c r="B55" s="349">
        <f aca="true" t="shared" si="3" ref="B55:B80">A55-A54</f>
        <v>11</v>
      </c>
      <c r="C55" s="86">
        <v>525469290</v>
      </c>
      <c r="D55" s="86"/>
      <c r="E55" s="369"/>
      <c r="F55" s="86"/>
      <c r="G55" s="86"/>
      <c r="H55" s="370"/>
      <c r="I55" s="370"/>
      <c r="J55" s="371"/>
    </row>
    <row r="56" spans="1:10" ht="12.75">
      <c r="A56" s="84">
        <v>39105</v>
      </c>
      <c r="B56" s="349">
        <f t="shared" si="3"/>
        <v>4</v>
      </c>
      <c r="C56" s="86">
        <v>540711572</v>
      </c>
      <c r="D56" s="86"/>
      <c r="E56" s="369"/>
      <c r="F56" s="86"/>
      <c r="G56" s="86"/>
      <c r="H56" s="370"/>
      <c r="I56" s="370"/>
      <c r="J56" s="371"/>
    </row>
    <row r="57" spans="1:10" ht="12.75">
      <c r="A57" s="84">
        <v>39112</v>
      </c>
      <c r="B57" s="349">
        <f t="shared" si="3"/>
        <v>7</v>
      </c>
      <c r="C57" s="86">
        <v>548380246</v>
      </c>
      <c r="D57" s="86"/>
      <c r="E57" s="369"/>
      <c r="F57" s="86"/>
      <c r="G57" s="86"/>
      <c r="H57" s="370"/>
      <c r="I57" s="370"/>
      <c r="J57" s="371"/>
    </row>
    <row r="58" spans="1:10" ht="12.75">
      <c r="A58" s="84">
        <v>39121</v>
      </c>
      <c r="B58" s="349">
        <f t="shared" si="3"/>
        <v>9</v>
      </c>
      <c r="C58" s="86">
        <v>554994935</v>
      </c>
      <c r="D58" s="86"/>
      <c r="E58" s="369"/>
      <c r="F58" s="86"/>
      <c r="G58" s="86"/>
      <c r="H58" s="370"/>
      <c r="I58" s="370"/>
      <c r="J58" s="371"/>
    </row>
    <row r="59" spans="1:10" ht="12.75">
      <c r="A59" s="84">
        <v>39149</v>
      </c>
      <c r="B59" s="349">
        <f t="shared" si="3"/>
        <v>28</v>
      </c>
      <c r="C59" s="86">
        <v>559098635</v>
      </c>
      <c r="D59" s="86"/>
      <c r="E59" s="369"/>
      <c r="F59" s="86"/>
      <c r="G59" s="86"/>
      <c r="H59" s="370"/>
      <c r="I59" s="370"/>
      <c r="J59" s="371"/>
    </row>
    <row r="60" spans="1:10" ht="12.75">
      <c r="A60" s="84">
        <v>39167</v>
      </c>
      <c r="B60" s="349">
        <f t="shared" si="3"/>
        <v>18</v>
      </c>
      <c r="C60" s="86">
        <v>561252623</v>
      </c>
      <c r="D60" s="86"/>
      <c r="E60" s="369"/>
      <c r="F60" s="86"/>
      <c r="G60" s="86"/>
      <c r="H60" s="370"/>
      <c r="I60" s="370"/>
      <c r="J60" s="371"/>
    </row>
    <row r="61" spans="1:10" ht="12.75">
      <c r="A61" s="90">
        <v>39171</v>
      </c>
      <c r="B61" s="349">
        <f t="shared" si="3"/>
        <v>4</v>
      </c>
      <c r="C61" s="41">
        <f>C60</f>
        <v>561252623</v>
      </c>
      <c r="D61" s="41"/>
      <c r="E61" s="319">
        <v>0.03672</v>
      </c>
      <c r="F61" s="41">
        <v>4513172</v>
      </c>
      <c r="G61" s="41">
        <f>G53</f>
        <v>1055560</v>
      </c>
      <c r="H61" s="91"/>
      <c r="I61" s="91"/>
      <c r="J61" s="231"/>
    </row>
    <row r="62" spans="1:10" ht="12.75">
      <c r="A62" s="84">
        <v>39174</v>
      </c>
      <c r="B62" s="349">
        <f t="shared" si="3"/>
        <v>3</v>
      </c>
      <c r="C62" s="86">
        <v>565116732</v>
      </c>
      <c r="D62" s="86"/>
      <c r="E62" s="369"/>
      <c r="F62" s="86"/>
      <c r="G62" s="86"/>
      <c r="H62" s="370"/>
      <c r="I62" s="370"/>
      <c r="J62" s="371"/>
    </row>
    <row r="63" spans="1:10" ht="12.75">
      <c r="A63" s="84">
        <v>39183</v>
      </c>
      <c r="B63" s="349">
        <f t="shared" si="3"/>
        <v>9</v>
      </c>
      <c r="C63" s="86">
        <v>566827032</v>
      </c>
      <c r="D63" s="86"/>
      <c r="E63" s="369"/>
      <c r="F63" s="86"/>
      <c r="G63" s="86"/>
      <c r="H63" s="370"/>
      <c r="I63" s="370"/>
      <c r="J63" s="371"/>
    </row>
    <row r="64" spans="1:10" ht="12.75">
      <c r="A64" s="84">
        <v>39195</v>
      </c>
      <c r="B64" s="349">
        <f t="shared" si="3"/>
        <v>12</v>
      </c>
      <c r="C64" s="86">
        <v>574367253</v>
      </c>
      <c r="D64" s="86"/>
      <c r="E64" s="369"/>
      <c r="F64" s="86"/>
      <c r="G64" s="86"/>
      <c r="H64" s="370"/>
      <c r="I64" s="370"/>
      <c r="J64" s="371"/>
    </row>
    <row r="65" spans="1:10" ht="12.75">
      <c r="A65" s="84">
        <v>39196</v>
      </c>
      <c r="B65" s="349">
        <f t="shared" si="3"/>
        <v>1</v>
      </c>
      <c r="C65" s="86">
        <v>576336069</v>
      </c>
      <c r="D65" s="86"/>
      <c r="E65" s="369"/>
      <c r="F65" s="86"/>
      <c r="G65" s="86"/>
      <c r="H65" s="370"/>
      <c r="I65" s="370"/>
      <c r="J65" s="371"/>
    </row>
    <row r="66" spans="1:10" ht="12.75">
      <c r="A66" s="84">
        <v>39199</v>
      </c>
      <c r="B66" s="349">
        <f t="shared" si="3"/>
        <v>3</v>
      </c>
      <c r="C66" s="86">
        <v>581046533</v>
      </c>
      <c r="D66" s="86"/>
      <c r="E66" s="369"/>
      <c r="F66" s="86"/>
      <c r="G66" s="86"/>
      <c r="H66" s="370"/>
      <c r="I66" s="370"/>
      <c r="J66" s="371"/>
    </row>
    <row r="67" spans="1:10" ht="12.75">
      <c r="A67" s="84">
        <v>39212</v>
      </c>
      <c r="B67" s="349">
        <f t="shared" si="3"/>
        <v>13</v>
      </c>
      <c r="C67" s="86">
        <v>584504059</v>
      </c>
      <c r="D67" s="86"/>
      <c r="E67" s="369"/>
      <c r="F67" s="86"/>
      <c r="G67" s="86"/>
      <c r="H67" s="370"/>
      <c r="I67" s="370"/>
      <c r="J67" s="371"/>
    </row>
    <row r="68" spans="1:10" ht="12.75">
      <c r="A68" s="84">
        <v>39232</v>
      </c>
      <c r="B68" s="349">
        <f t="shared" si="3"/>
        <v>20</v>
      </c>
      <c r="C68" s="86">
        <v>585639391</v>
      </c>
      <c r="D68" s="86"/>
      <c r="E68" s="369"/>
      <c r="F68" s="86"/>
      <c r="G68" s="86"/>
      <c r="H68" s="370"/>
      <c r="I68" s="370"/>
      <c r="J68" s="371"/>
    </row>
    <row r="69" spans="1:10" ht="12.75">
      <c r="A69" s="84">
        <v>39234</v>
      </c>
      <c r="B69" s="349">
        <f t="shared" si="3"/>
        <v>2</v>
      </c>
      <c r="C69" s="86">
        <v>593597709</v>
      </c>
      <c r="D69" s="86"/>
      <c r="E69" s="369"/>
      <c r="F69" s="86"/>
      <c r="G69" s="86"/>
      <c r="H69" s="370"/>
      <c r="I69" s="370"/>
      <c r="J69" s="371"/>
    </row>
    <row r="70" spans="1:10" ht="12.75">
      <c r="A70" s="84">
        <v>39239</v>
      </c>
      <c r="B70" s="349">
        <f t="shared" si="3"/>
        <v>5</v>
      </c>
      <c r="C70" s="86">
        <v>594335204</v>
      </c>
      <c r="D70" s="86"/>
      <c r="E70" s="369"/>
      <c r="F70" s="86"/>
      <c r="G70" s="86"/>
      <c r="H70" s="370"/>
      <c r="I70" s="370"/>
      <c r="J70" s="371"/>
    </row>
    <row r="71" spans="1:10" ht="12.75">
      <c r="A71" s="84">
        <v>39241</v>
      </c>
      <c r="B71" s="349">
        <f t="shared" si="3"/>
        <v>2</v>
      </c>
      <c r="C71" s="86">
        <v>597690931</v>
      </c>
      <c r="D71" s="86"/>
      <c r="E71" s="369"/>
      <c r="F71" s="86"/>
      <c r="G71" s="86"/>
      <c r="H71" s="370"/>
      <c r="I71" s="370"/>
      <c r="J71" s="371"/>
    </row>
    <row r="72" spans="1:10" ht="12.75">
      <c r="A72" s="84">
        <v>39258</v>
      </c>
      <c r="B72" s="349">
        <f t="shared" si="3"/>
        <v>17</v>
      </c>
      <c r="C72" s="86">
        <v>602518027</v>
      </c>
      <c r="D72" s="86"/>
      <c r="E72" s="369"/>
      <c r="F72" s="86"/>
      <c r="G72" s="86"/>
      <c r="H72" s="370"/>
      <c r="I72" s="370"/>
      <c r="J72" s="371"/>
    </row>
    <row r="73" spans="1:10" ht="12.75">
      <c r="A73" s="90">
        <v>39262</v>
      </c>
      <c r="B73" s="349">
        <f t="shared" si="3"/>
        <v>4</v>
      </c>
      <c r="C73" s="41">
        <f aca="true" t="shared" si="4" ref="C73:C85">C72-D73</f>
        <v>602518027</v>
      </c>
      <c r="D73" s="41"/>
      <c r="E73" s="319">
        <v>0.03864</v>
      </c>
      <c r="F73" s="41">
        <v>5411999</v>
      </c>
      <c r="G73" s="41">
        <f>G61</f>
        <v>1055560</v>
      </c>
      <c r="H73" s="91"/>
      <c r="I73" s="91"/>
      <c r="J73" s="231"/>
    </row>
    <row r="74" spans="1:10" ht="12.75">
      <c r="A74" s="90">
        <v>39264</v>
      </c>
      <c r="B74" s="349">
        <f t="shared" si="3"/>
        <v>2</v>
      </c>
      <c r="C74" s="41">
        <f t="shared" si="4"/>
        <v>602518027</v>
      </c>
      <c r="D74" s="41"/>
      <c r="E74" s="319"/>
      <c r="F74" s="41"/>
      <c r="G74" s="41"/>
      <c r="H74" s="91"/>
      <c r="I74" s="91"/>
      <c r="J74" s="231"/>
    </row>
    <row r="75" spans="1:10" ht="12.75">
      <c r="A75" s="90">
        <v>39297</v>
      </c>
      <c r="B75" s="349">
        <f t="shared" si="3"/>
        <v>33</v>
      </c>
      <c r="C75" s="41">
        <v>603139187</v>
      </c>
      <c r="D75" s="41"/>
      <c r="E75" s="319"/>
      <c r="F75" s="41"/>
      <c r="G75" s="41"/>
      <c r="H75" s="91"/>
      <c r="I75" s="91"/>
      <c r="J75" s="231"/>
    </row>
    <row r="76" spans="1:10" ht="12.75">
      <c r="A76" s="90">
        <v>39353</v>
      </c>
      <c r="B76" s="349">
        <f t="shared" si="3"/>
        <v>56</v>
      </c>
      <c r="C76" s="41">
        <f>C75-D76</f>
        <v>603139187</v>
      </c>
      <c r="D76" s="41"/>
      <c r="E76" s="319">
        <f>E73</f>
        <v>0.03864</v>
      </c>
      <c r="F76" s="41">
        <v>6331326</v>
      </c>
      <c r="G76" s="41">
        <f>G73</f>
        <v>1055560</v>
      </c>
      <c r="H76" s="91"/>
      <c r="I76" s="91"/>
      <c r="J76" s="231"/>
    </row>
    <row r="77" spans="1:10" ht="12.75">
      <c r="A77" s="97">
        <v>39444</v>
      </c>
      <c r="B77" s="308">
        <f t="shared" si="3"/>
        <v>91</v>
      </c>
      <c r="C77" s="99">
        <f>C76-D77</f>
        <v>603139187</v>
      </c>
      <c r="D77" s="99"/>
      <c r="E77" s="320">
        <v>0.04736</v>
      </c>
      <c r="F77" s="99">
        <v>7289440</v>
      </c>
      <c r="G77" s="99">
        <f>G76</f>
        <v>1055560</v>
      </c>
      <c r="H77" s="300">
        <f>SUM(F53:G77)</f>
        <v>31571417</v>
      </c>
      <c r="I77" s="300">
        <f>SUM(D53:D77)</f>
        <v>0</v>
      </c>
      <c r="J77" s="301">
        <f>SUM(H77:I77)</f>
        <v>31571417</v>
      </c>
    </row>
    <row r="78" spans="1:10" s="56" customFormat="1" ht="12.75">
      <c r="A78" s="103">
        <v>39538</v>
      </c>
      <c r="B78" s="349">
        <f t="shared" si="3"/>
        <v>94</v>
      </c>
      <c r="C78" s="42">
        <f t="shared" si="4"/>
        <v>603139187</v>
      </c>
      <c r="D78" s="42"/>
      <c r="E78" s="318">
        <v>0.04715</v>
      </c>
      <c r="F78" s="42">
        <f>((C78+D78)*E78/360*B78)</f>
        <v>7425481.085285278</v>
      </c>
      <c r="G78" s="42">
        <f aca="true" t="shared" si="5" ref="G78:G105">G77</f>
        <v>1055560</v>
      </c>
      <c r="H78" s="104"/>
      <c r="I78" s="104"/>
      <c r="J78" s="242"/>
    </row>
    <row r="79" spans="1:10" s="56" customFormat="1" ht="12.75">
      <c r="A79" s="90">
        <v>39629</v>
      </c>
      <c r="B79" s="349">
        <f t="shared" si="3"/>
        <v>91</v>
      </c>
      <c r="C79" s="41">
        <f t="shared" si="4"/>
        <v>603139187</v>
      </c>
      <c r="D79" s="41"/>
      <c r="E79" s="319">
        <v>0.04681</v>
      </c>
      <c r="F79" s="41">
        <v>7137231</v>
      </c>
      <c r="G79" s="41">
        <f t="shared" si="5"/>
        <v>1055560</v>
      </c>
      <c r="H79" s="91"/>
      <c r="I79" s="91"/>
      <c r="J79" s="231"/>
    </row>
    <row r="80" spans="1:10" s="56" customFormat="1" ht="12.75">
      <c r="A80" s="90">
        <v>39721</v>
      </c>
      <c r="B80" s="349">
        <f t="shared" si="3"/>
        <v>92</v>
      </c>
      <c r="C80" s="41">
        <f t="shared" si="4"/>
        <v>603139187</v>
      </c>
      <c r="D80" s="41"/>
      <c r="E80" s="319">
        <v>0.04897</v>
      </c>
      <c r="F80" s="41">
        <v>7544400</v>
      </c>
      <c r="G80" s="41">
        <f t="shared" si="5"/>
        <v>1055560</v>
      </c>
      <c r="H80" s="91"/>
      <c r="I80" s="91"/>
      <c r="J80" s="231"/>
    </row>
    <row r="81" spans="1:12" s="56" customFormat="1" ht="12.75">
      <c r="A81" s="97">
        <v>39812</v>
      </c>
      <c r="B81" s="308">
        <f>A81-A80</f>
        <v>91</v>
      </c>
      <c r="C81" s="99">
        <f>C80-D81</f>
        <v>603139187</v>
      </c>
      <c r="D81" s="99"/>
      <c r="E81" s="320">
        <v>0.05187</v>
      </c>
      <c r="F81" s="99">
        <f>((C81+D81)*E81/360*B81)</f>
        <v>7908109.711949416</v>
      </c>
      <c r="G81" s="99">
        <f>G80</f>
        <v>1055560</v>
      </c>
      <c r="H81" s="300">
        <f>SUM(F78:G81)</f>
        <v>34237461.79723469</v>
      </c>
      <c r="I81" s="300">
        <f>SUM(D78:D81)</f>
        <v>0</v>
      </c>
      <c r="J81" s="301">
        <f>SUM(H81:I81)</f>
        <v>34237461.79723469</v>
      </c>
      <c r="L81" s="253">
        <f>SUM(F78:G80)</f>
        <v>25273792.085285276</v>
      </c>
    </row>
    <row r="82" spans="1:10" s="56" customFormat="1" ht="12.75">
      <c r="A82" s="103">
        <v>39903</v>
      </c>
      <c r="B82" s="306">
        <f>A82-A81</f>
        <v>91</v>
      </c>
      <c r="C82" s="42">
        <f t="shared" si="4"/>
        <v>590830187</v>
      </c>
      <c r="D82" s="42">
        <v>12309000</v>
      </c>
      <c r="E82" s="318">
        <f aca="true" t="shared" si="6" ref="E82:E105">E81</f>
        <v>0.05187</v>
      </c>
      <c r="F82" s="42">
        <f>((C82+D82)*E82/360*B82)</f>
        <v>7908109.711949416</v>
      </c>
      <c r="G82" s="42">
        <f t="shared" si="5"/>
        <v>1055560</v>
      </c>
      <c r="H82" s="104"/>
      <c r="I82" s="104"/>
      <c r="J82" s="242"/>
    </row>
    <row r="83" spans="1:10" s="56" customFormat="1" ht="12.75">
      <c r="A83" s="90">
        <v>39994</v>
      </c>
      <c r="B83" s="307">
        <f>A83-A82</f>
        <v>91</v>
      </c>
      <c r="C83" s="41">
        <f t="shared" si="4"/>
        <v>578521187</v>
      </c>
      <c r="D83" s="41">
        <f aca="true" t="shared" si="7" ref="D83:D129">D82</f>
        <v>12309000</v>
      </c>
      <c r="E83" s="319">
        <f t="shared" si="6"/>
        <v>0.05187</v>
      </c>
      <c r="F83" s="41">
        <f aca="true" t="shared" si="8" ref="F83:F105">((C83+D83)*E83/360*B83)</f>
        <v>7746719.232699417</v>
      </c>
      <c r="G83" s="41">
        <f t="shared" si="5"/>
        <v>1055560</v>
      </c>
      <c r="H83" s="91"/>
      <c r="I83" s="91"/>
      <c r="J83" s="231"/>
    </row>
    <row r="84" spans="1:10" s="56" customFormat="1" ht="12.75">
      <c r="A84" s="90">
        <v>40086</v>
      </c>
      <c r="B84" s="307">
        <f>A84-A83</f>
        <v>92</v>
      </c>
      <c r="C84" s="41">
        <f t="shared" si="4"/>
        <v>566212187</v>
      </c>
      <c r="D84" s="41">
        <f t="shared" si="7"/>
        <v>12309000</v>
      </c>
      <c r="E84" s="319">
        <f t="shared" si="6"/>
        <v>0.05187</v>
      </c>
      <c r="F84" s="41">
        <f t="shared" si="8"/>
        <v>7668684.014476333</v>
      </c>
      <c r="G84" s="41">
        <f t="shared" si="5"/>
        <v>1055560</v>
      </c>
      <c r="H84" s="91"/>
      <c r="I84" s="91"/>
      <c r="J84" s="231"/>
    </row>
    <row r="85" spans="1:10" s="56" customFormat="1" ht="12.75">
      <c r="A85" s="97">
        <v>40177</v>
      </c>
      <c r="B85" s="308">
        <f>A85-A84</f>
        <v>91</v>
      </c>
      <c r="C85" s="99">
        <f t="shared" si="4"/>
        <v>553903187</v>
      </c>
      <c r="D85" s="99">
        <f t="shared" si="7"/>
        <v>12309000</v>
      </c>
      <c r="E85" s="320">
        <f t="shared" si="6"/>
        <v>0.05187</v>
      </c>
      <c r="F85" s="99">
        <f t="shared" si="8"/>
        <v>7423938.274199416</v>
      </c>
      <c r="G85" s="99">
        <f t="shared" si="5"/>
        <v>1055560</v>
      </c>
      <c r="H85" s="300">
        <f>SUM(F82:G85)</f>
        <v>34969691.23332458</v>
      </c>
      <c r="I85" s="300">
        <f>SUM(D82:D85)</f>
        <v>49236000</v>
      </c>
      <c r="J85" s="301">
        <f>SUM(H85:I85)</f>
        <v>84205691.23332459</v>
      </c>
    </row>
    <row r="86" spans="1:10" s="56" customFormat="1" ht="12.75">
      <c r="A86" s="103">
        <v>40268</v>
      </c>
      <c r="B86" s="306">
        <f aca="true" t="shared" si="9" ref="B86:B130">A86-A85</f>
        <v>91</v>
      </c>
      <c r="C86" s="42">
        <f aca="true" t="shared" si="10" ref="C86:C130">C85-D86</f>
        <v>541594187</v>
      </c>
      <c r="D86" s="42">
        <f t="shared" si="7"/>
        <v>12309000</v>
      </c>
      <c r="E86" s="318">
        <f t="shared" si="6"/>
        <v>0.05187</v>
      </c>
      <c r="F86" s="42">
        <f t="shared" si="8"/>
        <v>7262547.794949416</v>
      </c>
      <c r="G86" s="42">
        <f t="shared" si="5"/>
        <v>1055560</v>
      </c>
      <c r="H86" s="104"/>
      <c r="I86" s="104"/>
      <c r="J86" s="242"/>
    </row>
    <row r="87" spans="1:10" s="56" customFormat="1" ht="12.75">
      <c r="A87" s="90">
        <v>40359</v>
      </c>
      <c r="B87" s="307">
        <f t="shared" si="9"/>
        <v>91</v>
      </c>
      <c r="C87" s="41">
        <f t="shared" si="10"/>
        <v>529285187</v>
      </c>
      <c r="D87" s="41">
        <f t="shared" si="7"/>
        <v>12309000</v>
      </c>
      <c r="E87" s="319">
        <f t="shared" si="6"/>
        <v>0.05187</v>
      </c>
      <c r="F87" s="41">
        <f t="shared" si="8"/>
        <v>7101157.315699416</v>
      </c>
      <c r="G87" s="41">
        <f t="shared" si="5"/>
        <v>1055560</v>
      </c>
      <c r="H87" s="91"/>
      <c r="I87" s="91"/>
      <c r="J87" s="231"/>
    </row>
    <row r="88" spans="1:10" s="56" customFormat="1" ht="12.75">
      <c r="A88" s="90">
        <v>40451</v>
      </c>
      <c r="B88" s="307">
        <f t="shared" si="9"/>
        <v>92</v>
      </c>
      <c r="C88" s="41">
        <f t="shared" si="10"/>
        <v>516976187</v>
      </c>
      <c r="D88" s="41">
        <f t="shared" si="7"/>
        <v>12309000</v>
      </c>
      <c r="E88" s="319">
        <f t="shared" si="6"/>
        <v>0.05187</v>
      </c>
      <c r="F88" s="41">
        <f t="shared" si="8"/>
        <v>7016028.010476333</v>
      </c>
      <c r="G88" s="41">
        <f t="shared" si="5"/>
        <v>1055560</v>
      </c>
      <c r="H88" s="91"/>
      <c r="I88" s="91"/>
      <c r="J88" s="231"/>
    </row>
    <row r="89" spans="1:10" s="56" customFormat="1" ht="12.75">
      <c r="A89" s="97">
        <v>40542</v>
      </c>
      <c r="B89" s="308">
        <f t="shared" si="9"/>
        <v>91</v>
      </c>
      <c r="C89" s="99">
        <f t="shared" si="10"/>
        <v>504667187</v>
      </c>
      <c r="D89" s="99">
        <f t="shared" si="7"/>
        <v>12309000</v>
      </c>
      <c r="E89" s="320">
        <f t="shared" si="6"/>
        <v>0.05187</v>
      </c>
      <c r="F89" s="99">
        <f t="shared" si="8"/>
        <v>6778376.3571994165</v>
      </c>
      <c r="G89" s="99">
        <f t="shared" si="5"/>
        <v>1055560</v>
      </c>
      <c r="H89" s="300">
        <f>SUM(F86:G89)</f>
        <v>32380349.47832458</v>
      </c>
      <c r="I89" s="300">
        <f>SUM(D86:D89)</f>
        <v>49236000</v>
      </c>
      <c r="J89" s="301">
        <f>SUM(H89:I89)</f>
        <v>81616349.47832458</v>
      </c>
    </row>
    <row r="90" spans="1:10" s="56" customFormat="1" ht="12.75">
      <c r="A90" s="103">
        <v>40633</v>
      </c>
      <c r="B90" s="306">
        <f t="shared" si="9"/>
        <v>91</v>
      </c>
      <c r="C90" s="42">
        <f t="shared" si="10"/>
        <v>492358187</v>
      </c>
      <c r="D90" s="42">
        <f t="shared" si="7"/>
        <v>12309000</v>
      </c>
      <c r="E90" s="318">
        <f t="shared" si="6"/>
        <v>0.05187</v>
      </c>
      <c r="F90" s="42">
        <f t="shared" si="8"/>
        <v>6616985.877949417</v>
      </c>
      <c r="G90" s="42">
        <f t="shared" si="5"/>
        <v>1055560</v>
      </c>
      <c r="H90" s="104"/>
      <c r="I90" s="104"/>
      <c r="J90" s="242"/>
    </row>
    <row r="91" spans="1:10" s="56" customFormat="1" ht="12.75">
      <c r="A91" s="90">
        <v>40724</v>
      </c>
      <c r="B91" s="307">
        <f t="shared" si="9"/>
        <v>91</v>
      </c>
      <c r="C91" s="41">
        <f t="shared" si="10"/>
        <v>480049187</v>
      </c>
      <c r="D91" s="41">
        <f t="shared" si="7"/>
        <v>12309000</v>
      </c>
      <c r="E91" s="319">
        <f t="shared" si="6"/>
        <v>0.05187</v>
      </c>
      <c r="F91" s="41">
        <f t="shared" si="8"/>
        <v>6455595.398699416</v>
      </c>
      <c r="G91" s="41">
        <f t="shared" si="5"/>
        <v>1055560</v>
      </c>
      <c r="H91" s="91"/>
      <c r="I91" s="91"/>
      <c r="J91" s="231"/>
    </row>
    <row r="92" spans="1:10" s="56" customFormat="1" ht="12.75">
      <c r="A92" s="90">
        <v>40816</v>
      </c>
      <c r="B92" s="307">
        <f t="shared" si="9"/>
        <v>92</v>
      </c>
      <c r="C92" s="41">
        <f t="shared" si="10"/>
        <v>467740187</v>
      </c>
      <c r="D92" s="41">
        <f t="shared" si="7"/>
        <v>12309000</v>
      </c>
      <c r="E92" s="319">
        <f t="shared" si="6"/>
        <v>0.05187</v>
      </c>
      <c r="F92" s="41">
        <f t="shared" si="8"/>
        <v>6363372.006476333</v>
      </c>
      <c r="G92" s="41">
        <f t="shared" si="5"/>
        <v>1055560</v>
      </c>
      <c r="H92" s="91"/>
      <c r="I92" s="91"/>
      <c r="J92" s="231"/>
    </row>
    <row r="93" spans="1:10" s="56" customFormat="1" ht="12.75">
      <c r="A93" s="97">
        <v>40907</v>
      </c>
      <c r="B93" s="308">
        <f t="shared" si="9"/>
        <v>91</v>
      </c>
      <c r="C93" s="99">
        <f t="shared" si="10"/>
        <v>455431187</v>
      </c>
      <c r="D93" s="99">
        <f t="shared" si="7"/>
        <v>12309000</v>
      </c>
      <c r="E93" s="320">
        <f t="shared" si="6"/>
        <v>0.05187</v>
      </c>
      <c r="F93" s="99">
        <f t="shared" si="8"/>
        <v>6132814.440199416</v>
      </c>
      <c r="G93" s="99">
        <f t="shared" si="5"/>
        <v>1055560</v>
      </c>
      <c r="H93" s="300">
        <f>SUM(F90:G93)</f>
        <v>29791007.723324582</v>
      </c>
      <c r="I93" s="300">
        <f>SUM(D90:D93)</f>
        <v>49236000</v>
      </c>
      <c r="J93" s="301">
        <f>SUM(H93:I93)</f>
        <v>79027007.72332458</v>
      </c>
    </row>
    <row r="94" spans="1:10" s="56" customFormat="1" ht="12.75">
      <c r="A94" s="103">
        <v>40999</v>
      </c>
      <c r="B94" s="306">
        <f t="shared" si="9"/>
        <v>92</v>
      </c>
      <c r="C94" s="42">
        <f t="shared" si="10"/>
        <v>443122187</v>
      </c>
      <c r="D94" s="42">
        <f t="shared" si="7"/>
        <v>12309000</v>
      </c>
      <c r="E94" s="318">
        <f t="shared" si="6"/>
        <v>0.05187</v>
      </c>
      <c r="F94" s="42">
        <f t="shared" si="8"/>
        <v>6037044.004476333</v>
      </c>
      <c r="G94" s="42">
        <f t="shared" si="5"/>
        <v>1055560</v>
      </c>
      <c r="H94" s="104"/>
      <c r="I94" s="104"/>
      <c r="J94" s="242"/>
    </row>
    <row r="95" spans="1:10" s="56" customFormat="1" ht="12.75">
      <c r="A95" s="90">
        <v>41090</v>
      </c>
      <c r="B95" s="307">
        <f t="shared" si="9"/>
        <v>91</v>
      </c>
      <c r="C95" s="41">
        <f t="shared" si="10"/>
        <v>430813187</v>
      </c>
      <c r="D95" s="41">
        <f t="shared" si="7"/>
        <v>12309000</v>
      </c>
      <c r="E95" s="319">
        <f t="shared" si="6"/>
        <v>0.05187</v>
      </c>
      <c r="F95" s="41">
        <f t="shared" si="8"/>
        <v>5810033.481699416</v>
      </c>
      <c r="G95" s="41">
        <f t="shared" si="5"/>
        <v>1055560</v>
      </c>
      <c r="H95" s="91"/>
      <c r="I95" s="91"/>
      <c r="J95" s="231"/>
    </row>
    <row r="96" spans="1:10" s="56" customFormat="1" ht="12.75">
      <c r="A96" s="90">
        <v>41182</v>
      </c>
      <c r="B96" s="307">
        <f t="shared" si="9"/>
        <v>92</v>
      </c>
      <c r="C96" s="41">
        <f t="shared" si="10"/>
        <v>418504187</v>
      </c>
      <c r="D96" s="41">
        <f t="shared" si="7"/>
        <v>12309000</v>
      </c>
      <c r="E96" s="319">
        <f t="shared" si="6"/>
        <v>0.05187</v>
      </c>
      <c r="F96" s="41">
        <f t="shared" si="8"/>
        <v>5710716.002476334</v>
      </c>
      <c r="G96" s="41">
        <f t="shared" si="5"/>
        <v>1055560</v>
      </c>
      <c r="H96" s="91"/>
      <c r="I96" s="91"/>
      <c r="J96" s="231"/>
    </row>
    <row r="97" spans="1:10" s="56" customFormat="1" ht="12.75">
      <c r="A97" s="97">
        <v>41273</v>
      </c>
      <c r="B97" s="308">
        <f t="shared" si="9"/>
        <v>91</v>
      </c>
      <c r="C97" s="99">
        <f t="shared" si="10"/>
        <v>406195187</v>
      </c>
      <c r="D97" s="99">
        <f t="shared" si="7"/>
        <v>12309000</v>
      </c>
      <c r="E97" s="320">
        <f t="shared" si="6"/>
        <v>0.05187</v>
      </c>
      <c r="F97" s="99">
        <f t="shared" si="8"/>
        <v>5487252.523199417</v>
      </c>
      <c r="G97" s="99">
        <f t="shared" si="5"/>
        <v>1055560</v>
      </c>
      <c r="H97" s="300">
        <f>SUM(F94:G97)</f>
        <v>27267286.0118515</v>
      </c>
      <c r="I97" s="300">
        <f>SUM(D94:D97)</f>
        <v>49236000</v>
      </c>
      <c r="J97" s="301">
        <f>SUM(H97:I97)</f>
        <v>76503286.0118515</v>
      </c>
    </row>
    <row r="98" spans="1:10" s="56" customFormat="1" ht="12.75">
      <c r="A98" s="103">
        <v>41364</v>
      </c>
      <c r="B98" s="306">
        <f t="shared" si="9"/>
        <v>91</v>
      </c>
      <c r="C98" s="42">
        <f t="shared" si="10"/>
        <v>393886187</v>
      </c>
      <c r="D98" s="42">
        <f t="shared" si="7"/>
        <v>12309000</v>
      </c>
      <c r="E98" s="318">
        <f t="shared" si="6"/>
        <v>0.05187</v>
      </c>
      <c r="F98" s="42">
        <f t="shared" si="8"/>
        <v>5325862.043949417</v>
      </c>
      <c r="G98" s="42">
        <f t="shared" si="5"/>
        <v>1055560</v>
      </c>
      <c r="H98" s="104"/>
      <c r="I98" s="104"/>
      <c r="J98" s="242"/>
    </row>
    <row r="99" spans="1:10" s="56" customFormat="1" ht="12.75">
      <c r="A99" s="90">
        <v>41455</v>
      </c>
      <c r="B99" s="307">
        <f t="shared" si="9"/>
        <v>91</v>
      </c>
      <c r="C99" s="41">
        <f t="shared" si="10"/>
        <v>381577187</v>
      </c>
      <c r="D99" s="41">
        <f t="shared" si="7"/>
        <v>12309000</v>
      </c>
      <c r="E99" s="319">
        <f t="shared" si="6"/>
        <v>0.05187</v>
      </c>
      <c r="F99" s="41">
        <f t="shared" si="8"/>
        <v>5164471.564699416</v>
      </c>
      <c r="G99" s="41">
        <f t="shared" si="5"/>
        <v>1055560</v>
      </c>
      <c r="H99" s="91"/>
      <c r="I99" s="91"/>
      <c r="J99" s="231"/>
    </row>
    <row r="100" spans="1:10" s="56" customFormat="1" ht="12.75">
      <c r="A100" s="90">
        <v>41547</v>
      </c>
      <c r="B100" s="307">
        <f t="shared" si="9"/>
        <v>92</v>
      </c>
      <c r="C100" s="41">
        <f t="shared" si="10"/>
        <v>369268187</v>
      </c>
      <c r="D100" s="41">
        <f t="shared" si="7"/>
        <v>12309000</v>
      </c>
      <c r="E100" s="319">
        <f t="shared" si="6"/>
        <v>0.05187</v>
      </c>
      <c r="F100" s="41">
        <f t="shared" si="8"/>
        <v>5058059.998476334</v>
      </c>
      <c r="G100" s="41">
        <f t="shared" si="5"/>
        <v>1055560</v>
      </c>
      <c r="H100" s="91"/>
      <c r="I100" s="91"/>
      <c r="J100" s="231"/>
    </row>
    <row r="101" spans="1:10" s="56" customFormat="1" ht="12.75">
      <c r="A101" s="97">
        <v>41638</v>
      </c>
      <c r="B101" s="308">
        <f t="shared" si="9"/>
        <v>91</v>
      </c>
      <c r="C101" s="99">
        <f t="shared" si="10"/>
        <v>356959187</v>
      </c>
      <c r="D101" s="99">
        <f t="shared" si="7"/>
        <v>12309000</v>
      </c>
      <c r="E101" s="320">
        <f t="shared" si="6"/>
        <v>0.05187</v>
      </c>
      <c r="F101" s="99">
        <f t="shared" si="8"/>
        <v>4841690.606199416</v>
      </c>
      <c r="G101" s="99">
        <f t="shared" si="5"/>
        <v>1055560</v>
      </c>
      <c r="H101" s="300">
        <f>SUM(F98:G101)</f>
        <v>24612324.213324584</v>
      </c>
      <c r="I101" s="300">
        <f>SUM(D98:D101)</f>
        <v>49236000</v>
      </c>
      <c r="J101" s="301">
        <f>SUM(H101:I101)</f>
        <v>73848324.21332458</v>
      </c>
    </row>
    <row r="102" spans="1:10" s="56" customFormat="1" ht="12.75">
      <c r="A102" s="103">
        <v>41729</v>
      </c>
      <c r="B102" s="306">
        <f t="shared" si="9"/>
        <v>91</v>
      </c>
      <c r="C102" s="42">
        <f t="shared" si="10"/>
        <v>344650187</v>
      </c>
      <c r="D102" s="42">
        <f t="shared" si="7"/>
        <v>12309000</v>
      </c>
      <c r="E102" s="318">
        <f t="shared" si="6"/>
        <v>0.05187</v>
      </c>
      <c r="F102" s="42">
        <f t="shared" si="8"/>
        <v>4680300.126949417</v>
      </c>
      <c r="G102" s="42">
        <f t="shared" si="5"/>
        <v>1055560</v>
      </c>
      <c r="H102" s="104"/>
      <c r="I102" s="104"/>
      <c r="J102" s="242"/>
    </row>
    <row r="103" spans="1:10" s="56" customFormat="1" ht="12.75">
      <c r="A103" s="90">
        <v>41820</v>
      </c>
      <c r="B103" s="307">
        <f t="shared" si="9"/>
        <v>91</v>
      </c>
      <c r="C103" s="41">
        <f t="shared" si="10"/>
        <v>332341187</v>
      </c>
      <c r="D103" s="41">
        <f t="shared" si="7"/>
        <v>12309000</v>
      </c>
      <c r="E103" s="319">
        <f t="shared" si="6"/>
        <v>0.05187</v>
      </c>
      <c r="F103" s="41">
        <f t="shared" si="8"/>
        <v>4518909.647699417</v>
      </c>
      <c r="G103" s="41">
        <f t="shared" si="5"/>
        <v>1055560</v>
      </c>
      <c r="H103" s="91"/>
      <c r="I103" s="91"/>
      <c r="J103" s="231"/>
    </row>
    <row r="104" spans="1:10" s="56" customFormat="1" ht="12.75">
      <c r="A104" s="90">
        <v>41912</v>
      </c>
      <c r="B104" s="307">
        <f t="shared" si="9"/>
        <v>92</v>
      </c>
      <c r="C104" s="41">
        <f t="shared" si="10"/>
        <v>320032187</v>
      </c>
      <c r="D104" s="41">
        <f t="shared" si="7"/>
        <v>12309000</v>
      </c>
      <c r="E104" s="319">
        <f t="shared" si="6"/>
        <v>0.05187</v>
      </c>
      <c r="F104" s="41">
        <f t="shared" si="8"/>
        <v>4405403.994476334</v>
      </c>
      <c r="G104" s="41">
        <f t="shared" si="5"/>
        <v>1055560</v>
      </c>
      <c r="H104" s="91"/>
      <c r="I104" s="91"/>
      <c r="J104" s="231"/>
    </row>
    <row r="105" spans="1:10" s="56" customFormat="1" ht="12.75">
      <c r="A105" s="97">
        <v>42003</v>
      </c>
      <c r="B105" s="308">
        <f t="shared" si="9"/>
        <v>91</v>
      </c>
      <c r="C105" s="99">
        <f t="shared" si="10"/>
        <v>307723187</v>
      </c>
      <c r="D105" s="99">
        <f t="shared" si="7"/>
        <v>12309000</v>
      </c>
      <c r="E105" s="320">
        <f t="shared" si="6"/>
        <v>0.05187</v>
      </c>
      <c r="F105" s="99">
        <f t="shared" si="8"/>
        <v>4196128.689199416</v>
      </c>
      <c r="G105" s="99">
        <f t="shared" si="5"/>
        <v>1055560</v>
      </c>
      <c r="H105" s="300">
        <f>SUM(F102:G105)</f>
        <v>22022982.45832458</v>
      </c>
      <c r="I105" s="300">
        <f>SUM(D102:D105)</f>
        <v>49236000</v>
      </c>
      <c r="J105" s="301">
        <f>SUM(H105:I105)</f>
        <v>71258982.45832458</v>
      </c>
    </row>
    <row r="106" spans="1:10" s="56" customFormat="1" ht="12.75">
      <c r="A106" s="103">
        <v>42094</v>
      </c>
      <c r="B106" s="306">
        <f t="shared" si="9"/>
        <v>91</v>
      </c>
      <c r="C106" s="42">
        <f t="shared" si="10"/>
        <v>295414187</v>
      </c>
      <c r="D106" s="42">
        <f t="shared" si="7"/>
        <v>12309000</v>
      </c>
      <c r="E106" s="318">
        <f aca="true" t="shared" si="11" ref="E106:E130">E105</f>
        <v>0.05187</v>
      </c>
      <c r="F106" s="42">
        <f aca="true" t="shared" si="12" ref="F106:F130">((C106+D106)*E106/360*B106)</f>
        <v>4034738.2099494166</v>
      </c>
      <c r="G106" s="42">
        <f aca="true" t="shared" si="13" ref="G106:G130">G105</f>
        <v>1055560</v>
      </c>
      <c r="H106" s="104"/>
      <c r="I106" s="104"/>
      <c r="J106" s="242"/>
    </row>
    <row r="107" spans="1:10" s="56" customFormat="1" ht="12.75">
      <c r="A107" s="90">
        <v>42185</v>
      </c>
      <c r="B107" s="307">
        <f t="shared" si="9"/>
        <v>91</v>
      </c>
      <c r="C107" s="41">
        <f t="shared" si="10"/>
        <v>283105187</v>
      </c>
      <c r="D107" s="41">
        <f t="shared" si="7"/>
        <v>12309000</v>
      </c>
      <c r="E107" s="319">
        <f t="shared" si="11"/>
        <v>0.05187</v>
      </c>
      <c r="F107" s="41">
        <f t="shared" si="12"/>
        <v>3873347.7306994162</v>
      </c>
      <c r="G107" s="41">
        <f t="shared" si="13"/>
        <v>1055560</v>
      </c>
      <c r="H107" s="91"/>
      <c r="I107" s="91"/>
      <c r="J107" s="231"/>
    </row>
    <row r="108" spans="1:10" s="56" customFormat="1" ht="12.75">
      <c r="A108" s="90">
        <v>42277</v>
      </c>
      <c r="B108" s="307">
        <f t="shared" si="9"/>
        <v>92</v>
      </c>
      <c r="C108" s="41">
        <f t="shared" si="10"/>
        <v>270796187</v>
      </c>
      <c r="D108" s="41">
        <f t="shared" si="7"/>
        <v>12309000</v>
      </c>
      <c r="E108" s="319">
        <f t="shared" si="11"/>
        <v>0.05187</v>
      </c>
      <c r="F108" s="41">
        <f t="shared" si="12"/>
        <v>3752747.990476334</v>
      </c>
      <c r="G108" s="41">
        <f t="shared" si="13"/>
        <v>1055560</v>
      </c>
      <c r="H108" s="91"/>
      <c r="I108" s="91"/>
      <c r="J108" s="231"/>
    </row>
    <row r="109" spans="1:10" s="56" customFormat="1" ht="12.75">
      <c r="A109" s="97">
        <v>42368</v>
      </c>
      <c r="B109" s="308">
        <f t="shared" si="9"/>
        <v>91</v>
      </c>
      <c r="C109" s="99">
        <f t="shared" si="10"/>
        <v>258487187</v>
      </c>
      <c r="D109" s="99">
        <f t="shared" si="7"/>
        <v>12309000</v>
      </c>
      <c r="E109" s="320">
        <f t="shared" si="11"/>
        <v>0.05187</v>
      </c>
      <c r="F109" s="99">
        <f t="shared" si="12"/>
        <v>3550566.772199417</v>
      </c>
      <c r="G109" s="99">
        <f t="shared" si="13"/>
        <v>1055560</v>
      </c>
      <c r="H109" s="300">
        <f>SUM(F106:G109)</f>
        <v>19433640.703324586</v>
      </c>
      <c r="I109" s="300">
        <f>SUM(D106:D109)</f>
        <v>49236000</v>
      </c>
      <c r="J109" s="301">
        <f>SUM(H109:I109)</f>
        <v>68669640.70332459</v>
      </c>
    </row>
    <row r="110" spans="1:10" s="56" customFormat="1" ht="12.75">
      <c r="A110" s="103">
        <v>42460</v>
      </c>
      <c r="B110" s="306">
        <f t="shared" si="9"/>
        <v>92</v>
      </c>
      <c r="C110" s="42">
        <f t="shared" si="10"/>
        <v>246178187</v>
      </c>
      <c r="D110" s="42">
        <f t="shared" si="7"/>
        <v>12309000</v>
      </c>
      <c r="E110" s="318">
        <f t="shared" si="11"/>
        <v>0.05187</v>
      </c>
      <c r="F110" s="42">
        <f t="shared" si="12"/>
        <v>3426419.988476333</v>
      </c>
      <c r="G110" s="42">
        <f t="shared" si="13"/>
        <v>1055560</v>
      </c>
      <c r="H110" s="104"/>
      <c r="I110" s="104"/>
      <c r="J110" s="242"/>
    </row>
    <row r="111" spans="1:10" s="56" customFormat="1" ht="12.75">
      <c r="A111" s="90">
        <v>42551</v>
      </c>
      <c r="B111" s="307">
        <f t="shared" si="9"/>
        <v>91</v>
      </c>
      <c r="C111" s="41">
        <f t="shared" si="10"/>
        <v>233869187</v>
      </c>
      <c r="D111" s="41">
        <f t="shared" si="7"/>
        <v>12309000</v>
      </c>
      <c r="E111" s="319">
        <f t="shared" si="11"/>
        <v>0.05187</v>
      </c>
      <c r="F111" s="41">
        <f t="shared" si="12"/>
        <v>3227785.8136994164</v>
      </c>
      <c r="G111" s="41">
        <f t="shared" si="13"/>
        <v>1055560</v>
      </c>
      <c r="H111" s="91"/>
      <c r="I111" s="91"/>
      <c r="J111" s="231"/>
    </row>
    <row r="112" spans="1:10" s="56" customFormat="1" ht="12.75">
      <c r="A112" s="90">
        <v>42643</v>
      </c>
      <c r="B112" s="307">
        <f t="shared" si="9"/>
        <v>92</v>
      </c>
      <c r="C112" s="41">
        <f t="shared" si="10"/>
        <v>221560187</v>
      </c>
      <c r="D112" s="41">
        <f t="shared" si="7"/>
        <v>12309000</v>
      </c>
      <c r="E112" s="319">
        <f t="shared" si="11"/>
        <v>0.05187</v>
      </c>
      <c r="F112" s="41">
        <f t="shared" si="12"/>
        <v>3100091.9864763333</v>
      </c>
      <c r="G112" s="41">
        <f t="shared" si="13"/>
        <v>1055560</v>
      </c>
      <c r="H112" s="91"/>
      <c r="I112" s="91"/>
      <c r="J112" s="231"/>
    </row>
    <row r="113" spans="1:10" s="56" customFormat="1" ht="12.75">
      <c r="A113" s="97">
        <v>42734</v>
      </c>
      <c r="B113" s="308">
        <f t="shared" si="9"/>
        <v>91</v>
      </c>
      <c r="C113" s="99">
        <f t="shared" si="10"/>
        <v>209251187</v>
      </c>
      <c r="D113" s="99">
        <f t="shared" si="7"/>
        <v>12309000</v>
      </c>
      <c r="E113" s="320">
        <f t="shared" si="11"/>
        <v>0.05187</v>
      </c>
      <c r="F113" s="99">
        <f t="shared" si="12"/>
        <v>2905004.8551994166</v>
      </c>
      <c r="G113" s="99">
        <f t="shared" si="13"/>
        <v>1055560</v>
      </c>
      <c r="H113" s="300">
        <f>SUM(F110:G113)</f>
        <v>16881542.6438515</v>
      </c>
      <c r="I113" s="300">
        <f>SUM(D110:D113)</f>
        <v>49236000</v>
      </c>
      <c r="J113" s="301">
        <f>SUM(H113:I113)</f>
        <v>66117542.643851504</v>
      </c>
    </row>
    <row r="114" spans="1:10" s="56" customFormat="1" ht="12.75">
      <c r="A114" s="103">
        <v>42825</v>
      </c>
      <c r="B114" s="306">
        <f t="shared" si="9"/>
        <v>91</v>
      </c>
      <c r="C114" s="42">
        <f t="shared" si="10"/>
        <v>196942187</v>
      </c>
      <c r="D114" s="42">
        <f t="shared" si="7"/>
        <v>12309000</v>
      </c>
      <c r="E114" s="318">
        <f t="shared" si="11"/>
        <v>0.05187</v>
      </c>
      <c r="F114" s="42">
        <f t="shared" si="12"/>
        <v>2743614.375949417</v>
      </c>
      <c r="G114" s="42">
        <f t="shared" si="13"/>
        <v>1055560</v>
      </c>
      <c r="H114" s="104"/>
      <c r="I114" s="104"/>
      <c r="J114" s="242"/>
    </row>
    <row r="115" spans="1:10" s="56" customFormat="1" ht="12.75">
      <c r="A115" s="90">
        <v>42916</v>
      </c>
      <c r="B115" s="307">
        <f t="shared" si="9"/>
        <v>91</v>
      </c>
      <c r="C115" s="41">
        <f t="shared" si="10"/>
        <v>184633187</v>
      </c>
      <c r="D115" s="41">
        <f t="shared" si="7"/>
        <v>12309000</v>
      </c>
      <c r="E115" s="319">
        <f t="shared" si="11"/>
        <v>0.05187</v>
      </c>
      <c r="F115" s="41">
        <f t="shared" si="12"/>
        <v>2582223.896699417</v>
      </c>
      <c r="G115" s="41">
        <f t="shared" si="13"/>
        <v>1055560</v>
      </c>
      <c r="H115" s="91"/>
      <c r="I115" s="91"/>
      <c r="J115" s="231"/>
    </row>
    <row r="116" spans="1:10" s="56" customFormat="1" ht="12.75">
      <c r="A116" s="90">
        <v>43008</v>
      </c>
      <c r="B116" s="307">
        <f t="shared" si="9"/>
        <v>92</v>
      </c>
      <c r="C116" s="41">
        <f t="shared" si="10"/>
        <v>172324187</v>
      </c>
      <c r="D116" s="41">
        <f t="shared" si="7"/>
        <v>12309000</v>
      </c>
      <c r="E116" s="319">
        <f t="shared" si="11"/>
        <v>0.05187</v>
      </c>
      <c r="F116" s="41">
        <f t="shared" si="12"/>
        <v>2447435.982476333</v>
      </c>
      <c r="G116" s="41">
        <f t="shared" si="13"/>
        <v>1055560</v>
      </c>
      <c r="H116" s="91"/>
      <c r="I116" s="91"/>
      <c r="J116" s="231"/>
    </row>
    <row r="117" spans="1:10" s="56" customFormat="1" ht="12.75">
      <c r="A117" s="97">
        <v>43099</v>
      </c>
      <c r="B117" s="308">
        <f t="shared" si="9"/>
        <v>91</v>
      </c>
      <c r="C117" s="99">
        <f t="shared" si="10"/>
        <v>160015187</v>
      </c>
      <c r="D117" s="99">
        <f t="shared" si="7"/>
        <v>12309000</v>
      </c>
      <c r="E117" s="320">
        <f t="shared" si="11"/>
        <v>0.05187</v>
      </c>
      <c r="F117" s="99">
        <f t="shared" si="12"/>
        <v>2259442.9381994167</v>
      </c>
      <c r="G117" s="99">
        <f t="shared" si="13"/>
        <v>1055560</v>
      </c>
      <c r="H117" s="300">
        <f>SUM(F114:G117)</f>
        <v>14254957.193324585</v>
      </c>
      <c r="I117" s="300">
        <f>SUM(D114:D117)</f>
        <v>49236000</v>
      </c>
      <c r="J117" s="301">
        <f>SUM(H117:I117)</f>
        <v>63490957.19332458</v>
      </c>
    </row>
    <row r="118" spans="1:10" s="56" customFormat="1" ht="12.75">
      <c r="A118" s="103">
        <v>43190</v>
      </c>
      <c r="B118" s="306">
        <f t="shared" si="9"/>
        <v>91</v>
      </c>
      <c r="C118" s="42">
        <f t="shared" si="10"/>
        <v>147706187</v>
      </c>
      <c r="D118" s="42">
        <f t="shared" si="7"/>
        <v>12309000</v>
      </c>
      <c r="E118" s="318">
        <f t="shared" si="11"/>
        <v>0.05187</v>
      </c>
      <c r="F118" s="42">
        <f t="shared" si="12"/>
        <v>2098052.4589494164</v>
      </c>
      <c r="G118" s="42">
        <f t="shared" si="13"/>
        <v>1055560</v>
      </c>
      <c r="H118" s="104"/>
      <c r="I118" s="104"/>
      <c r="J118" s="242"/>
    </row>
    <row r="119" spans="1:10" s="56" customFormat="1" ht="12.75">
      <c r="A119" s="90">
        <v>43281</v>
      </c>
      <c r="B119" s="307">
        <f t="shared" si="9"/>
        <v>91</v>
      </c>
      <c r="C119" s="41">
        <f t="shared" si="10"/>
        <v>135397187</v>
      </c>
      <c r="D119" s="41">
        <f t="shared" si="7"/>
        <v>12309000</v>
      </c>
      <c r="E119" s="319">
        <f t="shared" si="11"/>
        <v>0.05187</v>
      </c>
      <c r="F119" s="41">
        <f t="shared" si="12"/>
        <v>1936661.9796994166</v>
      </c>
      <c r="G119" s="41">
        <f t="shared" si="13"/>
        <v>1055560</v>
      </c>
      <c r="H119" s="91"/>
      <c r="I119" s="91"/>
      <c r="J119" s="231"/>
    </row>
    <row r="120" spans="1:10" s="56" customFormat="1" ht="12.75">
      <c r="A120" s="90">
        <v>43373</v>
      </c>
      <c r="B120" s="307">
        <f t="shared" si="9"/>
        <v>92</v>
      </c>
      <c r="C120" s="41">
        <f t="shared" si="10"/>
        <v>123088187</v>
      </c>
      <c r="D120" s="41">
        <f t="shared" si="7"/>
        <v>12309000</v>
      </c>
      <c r="E120" s="319">
        <f t="shared" si="11"/>
        <v>0.05187</v>
      </c>
      <c r="F120" s="41">
        <f t="shared" si="12"/>
        <v>1794779.9784763332</v>
      </c>
      <c r="G120" s="41">
        <f t="shared" si="13"/>
        <v>1055560</v>
      </c>
      <c r="H120" s="91"/>
      <c r="I120" s="91"/>
      <c r="J120" s="231"/>
    </row>
    <row r="121" spans="1:10" s="56" customFormat="1" ht="12.75">
      <c r="A121" s="97">
        <v>43464</v>
      </c>
      <c r="B121" s="308">
        <f t="shared" si="9"/>
        <v>91</v>
      </c>
      <c r="C121" s="99">
        <f t="shared" si="10"/>
        <v>110779187</v>
      </c>
      <c r="D121" s="99">
        <f t="shared" si="7"/>
        <v>12309000</v>
      </c>
      <c r="E121" s="320">
        <f t="shared" si="11"/>
        <v>0.05187</v>
      </c>
      <c r="F121" s="99">
        <f t="shared" si="12"/>
        <v>1613881.0211994166</v>
      </c>
      <c r="G121" s="99">
        <f t="shared" si="13"/>
        <v>1055560</v>
      </c>
      <c r="H121" s="300">
        <f>SUM(F118:G121)</f>
        <v>11665615.438324582</v>
      </c>
      <c r="I121" s="300">
        <f>SUM(D118:D121)</f>
        <v>49236000</v>
      </c>
      <c r="J121" s="301">
        <f>SUM(H121:I121)</f>
        <v>60901615.438324586</v>
      </c>
    </row>
    <row r="122" spans="1:10" s="56" customFormat="1" ht="12.75">
      <c r="A122" s="103">
        <v>43555</v>
      </c>
      <c r="B122" s="306">
        <f t="shared" si="9"/>
        <v>91</v>
      </c>
      <c r="C122" s="42">
        <f t="shared" si="10"/>
        <v>98470187</v>
      </c>
      <c r="D122" s="42">
        <f t="shared" si="7"/>
        <v>12309000</v>
      </c>
      <c r="E122" s="318">
        <f t="shared" si="11"/>
        <v>0.05187</v>
      </c>
      <c r="F122" s="42">
        <f t="shared" si="12"/>
        <v>1452490.5419494165</v>
      </c>
      <c r="G122" s="42">
        <f t="shared" si="13"/>
        <v>1055560</v>
      </c>
      <c r="H122" s="104"/>
      <c r="I122" s="104"/>
      <c r="J122" s="242"/>
    </row>
    <row r="123" spans="1:10" s="56" customFormat="1" ht="12.75">
      <c r="A123" s="90">
        <v>43646</v>
      </c>
      <c r="B123" s="307">
        <f t="shared" si="9"/>
        <v>91</v>
      </c>
      <c r="C123" s="41">
        <f t="shared" si="10"/>
        <v>86161187</v>
      </c>
      <c r="D123" s="41">
        <f t="shared" si="7"/>
        <v>12309000</v>
      </c>
      <c r="E123" s="319">
        <f t="shared" si="11"/>
        <v>0.05187</v>
      </c>
      <c r="F123" s="41">
        <f t="shared" si="12"/>
        <v>1291100.0626994167</v>
      </c>
      <c r="G123" s="41">
        <f t="shared" si="13"/>
        <v>1055560</v>
      </c>
      <c r="H123" s="91"/>
      <c r="I123" s="91"/>
      <c r="J123" s="231"/>
    </row>
    <row r="124" spans="1:10" s="56" customFormat="1" ht="12.75">
      <c r="A124" s="90">
        <v>43738</v>
      </c>
      <c r="B124" s="307">
        <f t="shared" si="9"/>
        <v>92</v>
      </c>
      <c r="C124" s="41">
        <f t="shared" si="10"/>
        <v>73852187</v>
      </c>
      <c r="D124" s="41">
        <f t="shared" si="7"/>
        <v>12309000</v>
      </c>
      <c r="E124" s="319">
        <f t="shared" si="11"/>
        <v>0.05187</v>
      </c>
      <c r="F124" s="41">
        <f t="shared" si="12"/>
        <v>1142123.9744763332</v>
      </c>
      <c r="G124" s="41">
        <f t="shared" si="13"/>
        <v>1055560</v>
      </c>
      <c r="H124" s="91"/>
      <c r="I124" s="91"/>
      <c r="J124" s="231"/>
    </row>
    <row r="125" spans="1:10" s="56" customFormat="1" ht="12.75">
      <c r="A125" s="97">
        <v>43829</v>
      </c>
      <c r="B125" s="308">
        <f t="shared" si="9"/>
        <v>91</v>
      </c>
      <c r="C125" s="99">
        <f t="shared" si="10"/>
        <v>61543187</v>
      </c>
      <c r="D125" s="99">
        <f t="shared" si="7"/>
        <v>12309000</v>
      </c>
      <c r="E125" s="320">
        <f t="shared" si="11"/>
        <v>0.05187</v>
      </c>
      <c r="F125" s="99">
        <f t="shared" si="12"/>
        <v>968319.1041994167</v>
      </c>
      <c r="G125" s="99">
        <f t="shared" si="13"/>
        <v>1055560</v>
      </c>
      <c r="H125" s="300">
        <f>SUM(F122:G125)</f>
        <v>9076273.683324583</v>
      </c>
      <c r="I125" s="300">
        <f>SUM(D122:D125)</f>
        <v>49236000</v>
      </c>
      <c r="J125" s="301">
        <f>SUM(H125:I125)</f>
        <v>58312273.68332458</v>
      </c>
    </row>
    <row r="126" spans="1:10" s="56" customFormat="1" ht="12.75">
      <c r="A126" s="103">
        <v>43921</v>
      </c>
      <c r="B126" s="306">
        <f t="shared" si="9"/>
        <v>92</v>
      </c>
      <c r="C126" s="42">
        <f t="shared" si="10"/>
        <v>49234187</v>
      </c>
      <c r="D126" s="42">
        <f t="shared" si="7"/>
        <v>12309000</v>
      </c>
      <c r="E126" s="318">
        <f t="shared" si="11"/>
        <v>0.05187</v>
      </c>
      <c r="F126" s="42">
        <f t="shared" si="12"/>
        <v>815795.9724763334</v>
      </c>
      <c r="G126" s="42">
        <f t="shared" si="13"/>
        <v>1055560</v>
      </c>
      <c r="H126" s="104"/>
      <c r="I126" s="104"/>
      <c r="J126" s="242"/>
    </row>
    <row r="127" spans="1:10" s="56" customFormat="1" ht="12.75">
      <c r="A127" s="90">
        <v>44012</v>
      </c>
      <c r="B127" s="307">
        <f t="shared" si="9"/>
        <v>91</v>
      </c>
      <c r="C127" s="41">
        <f t="shared" si="10"/>
        <v>36925187</v>
      </c>
      <c r="D127" s="41">
        <f t="shared" si="7"/>
        <v>12309000</v>
      </c>
      <c r="E127" s="319">
        <f t="shared" si="11"/>
        <v>0.05187</v>
      </c>
      <c r="F127" s="41">
        <f t="shared" si="12"/>
        <v>645538.1456994166</v>
      </c>
      <c r="G127" s="41">
        <f t="shared" si="13"/>
        <v>1055560</v>
      </c>
      <c r="H127" s="91"/>
      <c r="I127" s="91"/>
      <c r="J127" s="231"/>
    </row>
    <row r="128" spans="1:10" s="56" customFormat="1" ht="12.75">
      <c r="A128" s="90">
        <v>44104</v>
      </c>
      <c r="B128" s="307">
        <f t="shared" si="9"/>
        <v>92</v>
      </c>
      <c r="C128" s="41">
        <f t="shared" si="10"/>
        <v>24616187</v>
      </c>
      <c r="D128" s="41">
        <f t="shared" si="7"/>
        <v>12309000</v>
      </c>
      <c r="E128" s="319">
        <f t="shared" si="11"/>
        <v>0.05187</v>
      </c>
      <c r="F128" s="41">
        <f t="shared" si="12"/>
        <v>489467.97047633334</v>
      </c>
      <c r="G128" s="41">
        <f t="shared" si="13"/>
        <v>1055560</v>
      </c>
      <c r="H128" s="91"/>
      <c r="I128" s="91"/>
      <c r="J128" s="231"/>
    </row>
    <row r="129" spans="1:10" s="56" customFormat="1" ht="12.75">
      <c r="A129" s="97">
        <v>44195</v>
      </c>
      <c r="B129" s="308">
        <f t="shared" si="9"/>
        <v>91</v>
      </c>
      <c r="C129" s="99">
        <f t="shared" si="10"/>
        <v>12307187</v>
      </c>
      <c r="D129" s="99">
        <f t="shared" si="7"/>
        <v>12309000</v>
      </c>
      <c r="E129" s="320">
        <f t="shared" si="11"/>
        <v>0.05187</v>
      </c>
      <c r="F129" s="99">
        <f t="shared" si="12"/>
        <v>322757.1871994167</v>
      </c>
      <c r="G129" s="99">
        <f t="shared" si="13"/>
        <v>1055560</v>
      </c>
      <c r="H129" s="300">
        <f>SUM(F126:G129)</f>
        <v>6495799.2758515</v>
      </c>
      <c r="I129" s="300">
        <f>SUM(D126:D129)</f>
        <v>49236000</v>
      </c>
      <c r="J129" s="301">
        <f>SUM(H129:I129)</f>
        <v>55731799.2758515</v>
      </c>
    </row>
    <row r="130" spans="1:10" s="56" customFormat="1" ht="13.5" thickBot="1">
      <c r="A130" s="103">
        <v>44286</v>
      </c>
      <c r="B130" s="306">
        <f t="shared" si="9"/>
        <v>91</v>
      </c>
      <c r="C130" s="42">
        <f t="shared" si="10"/>
        <v>0</v>
      </c>
      <c r="D130" s="42">
        <v>12307187</v>
      </c>
      <c r="E130" s="318">
        <f t="shared" si="11"/>
        <v>0.05187</v>
      </c>
      <c r="F130" s="42">
        <f t="shared" si="12"/>
        <v>161366.70794941668</v>
      </c>
      <c r="G130" s="42">
        <f t="shared" si="13"/>
        <v>1055560</v>
      </c>
      <c r="H130" s="330">
        <f>SUM(F130:G130)</f>
        <v>1216926.7079494167</v>
      </c>
      <c r="I130" s="330">
        <f>SUM(D130)</f>
        <v>12307187</v>
      </c>
      <c r="J130" s="331">
        <f>SUM(H130:I130)</f>
        <v>13524113.707949417</v>
      </c>
    </row>
    <row r="131" spans="1:10" ht="13.5" thickTop="1">
      <c r="A131" s="563" t="s">
        <v>14</v>
      </c>
      <c r="B131" s="564"/>
      <c r="C131" s="565"/>
      <c r="D131" s="117">
        <f>SUM(D15:D130)</f>
        <v>603139187</v>
      </c>
      <c r="E131" s="321"/>
      <c r="F131" s="117">
        <f>SUM(F15:F130)</f>
        <v>255428905.56165984</v>
      </c>
      <c r="G131" s="117">
        <f>SUM(G6:G130)</f>
        <v>63333600</v>
      </c>
      <c r="H131" s="117">
        <f>SUM(H15:H130)</f>
        <v>318762505.56165975</v>
      </c>
      <c r="I131" s="117">
        <f>SUM(I15:I130)</f>
        <v>603139187</v>
      </c>
      <c r="J131" s="119">
        <f>SUM(J15:J130)</f>
        <v>921901692.5616597</v>
      </c>
    </row>
    <row r="132" spans="1:10" ht="12.75">
      <c r="A132" s="120"/>
      <c r="B132" s="121"/>
      <c r="E132" s="322"/>
      <c r="H132" s="121"/>
      <c r="J132" s="121"/>
    </row>
    <row r="133" spans="1:4" ht="12.75">
      <c r="A133" s="121"/>
      <c r="C133" s="58"/>
      <c r="D133" s="58"/>
    </row>
    <row r="134" spans="1:8" ht="12.75">
      <c r="A134" s="121"/>
      <c r="C134" s="58"/>
      <c r="D134" s="316" t="s">
        <v>3</v>
      </c>
      <c r="F134" s="316" t="s">
        <v>106</v>
      </c>
      <c r="G134" s="316" t="s">
        <v>137</v>
      </c>
      <c r="H134" s="316" t="s">
        <v>138</v>
      </c>
    </row>
    <row r="135" spans="1:8" ht="12.75">
      <c r="A135" s="261"/>
      <c r="B135" s="337"/>
      <c r="C135" s="337"/>
      <c r="D135" s="337"/>
      <c r="E135" s="338"/>
      <c r="F135" s="338" t="s">
        <v>135</v>
      </c>
      <c r="G135" s="338" t="s">
        <v>136</v>
      </c>
      <c r="H135" s="338" t="s">
        <v>139</v>
      </c>
    </row>
    <row r="136" spans="1:8" ht="12.75">
      <c r="A136" s="121" t="s">
        <v>126</v>
      </c>
      <c r="C136" s="58"/>
      <c r="D136" s="332">
        <v>38903</v>
      </c>
      <c r="F136" s="121">
        <v>5443230</v>
      </c>
      <c r="G136" s="121">
        <f>F136</f>
        <v>5443230</v>
      </c>
      <c r="H136" s="121">
        <f>633336000-G136</f>
        <v>627892770</v>
      </c>
    </row>
    <row r="137" spans="1:8" ht="12.75">
      <c r="A137" s="121" t="s">
        <v>127</v>
      </c>
      <c r="C137" s="58"/>
      <c r="D137" s="332">
        <v>38911</v>
      </c>
      <c r="F137" s="121">
        <v>14861674</v>
      </c>
      <c r="G137" s="121">
        <f>G136+F137</f>
        <v>20304904</v>
      </c>
      <c r="H137" s="121">
        <f aca="true" t="shared" si="14" ref="H137:H186">633336000-G137</f>
        <v>613031096</v>
      </c>
    </row>
    <row r="138" spans="1:8" ht="12.75">
      <c r="A138" s="121" t="s">
        <v>128</v>
      </c>
      <c r="C138" s="58"/>
      <c r="D138" s="332">
        <v>38912</v>
      </c>
      <c r="F138" s="121">
        <v>7286853</v>
      </c>
      <c r="G138" s="121">
        <f aca="true" t="shared" si="15" ref="G138:G144">G137+F138</f>
        <v>27591757</v>
      </c>
      <c r="H138" s="121">
        <f t="shared" si="14"/>
        <v>605744243</v>
      </c>
    </row>
    <row r="139" spans="1:8" ht="12.75">
      <c r="A139" s="121" t="s">
        <v>129</v>
      </c>
      <c r="C139" s="58"/>
      <c r="D139" s="332">
        <v>38915</v>
      </c>
      <c r="F139" s="121">
        <v>4178872</v>
      </c>
      <c r="G139" s="121">
        <f t="shared" si="15"/>
        <v>31770629</v>
      </c>
      <c r="H139" s="121">
        <f t="shared" si="14"/>
        <v>601565371</v>
      </c>
    </row>
    <row r="140" spans="1:8" ht="12.75">
      <c r="A140" s="121" t="s">
        <v>130</v>
      </c>
      <c r="C140" s="58"/>
      <c r="D140" s="332">
        <v>38917</v>
      </c>
      <c r="F140" s="121">
        <v>6994279</v>
      </c>
      <c r="G140" s="121">
        <f t="shared" si="15"/>
        <v>38764908</v>
      </c>
      <c r="H140" s="121">
        <f t="shared" si="14"/>
        <v>594571092</v>
      </c>
    </row>
    <row r="141" spans="1:8" ht="12.75">
      <c r="A141" s="121" t="s">
        <v>131</v>
      </c>
      <c r="C141" s="58"/>
      <c r="D141" s="332">
        <v>38918</v>
      </c>
      <c r="F141" s="121">
        <v>14509404</v>
      </c>
      <c r="G141" s="121">
        <f t="shared" si="15"/>
        <v>53274312</v>
      </c>
      <c r="H141" s="121">
        <f t="shared" si="14"/>
        <v>580061688</v>
      </c>
    </row>
    <row r="142" spans="1:8" ht="12.75">
      <c r="A142" s="121" t="s">
        <v>132</v>
      </c>
      <c r="C142" s="58"/>
      <c r="D142" s="332">
        <v>38923</v>
      </c>
      <c r="F142" s="121">
        <v>5009304</v>
      </c>
      <c r="G142" s="121">
        <f t="shared" si="15"/>
        <v>58283616</v>
      </c>
      <c r="H142" s="121">
        <f t="shared" si="14"/>
        <v>575052384</v>
      </c>
    </row>
    <row r="143" spans="1:8" ht="12.75">
      <c r="A143" s="121" t="s">
        <v>133</v>
      </c>
      <c r="C143" s="58"/>
      <c r="D143" s="332">
        <v>38931</v>
      </c>
      <c r="F143" s="121">
        <v>15582464</v>
      </c>
      <c r="G143" s="121">
        <f t="shared" si="15"/>
        <v>73866080</v>
      </c>
      <c r="H143" s="121">
        <f t="shared" si="14"/>
        <v>559469920</v>
      </c>
    </row>
    <row r="144" spans="1:8" ht="12.75">
      <c r="A144" s="121" t="s">
        <v>134</v>
      </c>
      <c r="C144" s="58"/>
      <c r="D144" s="332">
        <v>38937</v>
      </c>
      <c r="F144" s="121">
        <v>22312179</v>
      </c>
      <c r="G144" s="121">
        <f t="shared" si="15"/>
        <v>96178259</v>
      </c>
      <c r="H144" s="121">
        <f t="shared" si="14"/>
        <v>537157741</v>
      </c>
    </row>
    <row r="145" spans="1:8" ht="12.75">
      <c r="A145" s="121" t="s">
        <v>141</v>
      </c>
      <c r="C145" s="58"/>
      <c r="D145" s="332">
        <v>38958</v>
      </c>
      <c r="F145" s="121">
        <v>10837236</v>
      </c>
      <c r="G145" s="121">
        <f aca="true" t="shared" si="16" ref="G145:G152">G144+F145</f>
        <v>107015495</v>
      </c>
      <c r="H145" s="121">
        <f t="shared" si="14"/>
        <v>526320505</v>
      </c>
    </row>
    <row r="146" spans="1:8" ht="12.75">
      <c r="A146" s="121" t="s">
        <v>142</v>
      </c>
      <c r="C146" s="58"/>
      <c r="D146" s="332">
        <v>38959</v>
      </c>
      <c r="F146" s="121">
        <v>9704640</v>
      </c>
      <c r="G146" s="121">
        <f t="shared" si="16"/>
        <v>116720135</v>
      </c>
      <c r="H146" s="121">
        <f t="shared" si="14"/>
        <v>516615865</v>
      </c>
    </row>
    <row r="147" spans="1:8" ht="12.75">
      <c r="A147" s="121" t="s">
        <v>143</v>
      </c>
      <c r="C147" s="58"/>
      <c r="D147" s="332">
        <v>38960</v>
      </c>
      <c r="F147" s="121">
        <v>10112226</v>
      </c>
      <c r="G147" s="121">
        <f t="shared" si="16"/>
        <v>126832361</v>
      </c>
      <c r="H147" s="121">
        <f t="shared" si="14"/>
        <v>506503639</v>
      </c>
    </row>
    <row r="148" spans="1:8" ht="12.75">
      <c r="A148" s="121" t="s">
        <v>144</v>
      </c>
      <c r="C148" s="58"/>
      <c r="D148" s="332">
        <v>38961</v>
      </c>
      <c r="F148" s="121">
        <v>18167143</v>
      </c>
      <c r="G148" s="121">
        <f t="shared" si="16"/>
        <v>144999504</v>
      </c>
      <c r="H148" s="121">
        <f t="shared" si="14"/>
        <v>488336496</v>
      </c>
    </row>
    <row r="149" spans="1:8" ht="12.75">
      <c r="A149" s="121" t="s">
        <v>145</v>
      </c>
      <c r="C149" s="58"/>
      <c r="D149" s="332">
        <v>38964</v>
      </c>
      <c r="F149" s="121">
        <v>6055020</v>
      </c>
      <c r="G149" s="121">
        <f t="shared" si="16"/>
        <v>151054524</v>
      </c>
      <c r="H149" s="121">
        <f t="shared" si="14"/>
        <v>482281476</v>
      </c>
    </row>
    <row r="150" spans="1:8" ht="12.75">
      <c r="A150" s="121" t="s">
        <v>146</v>
      </c>
      <c r="C150" s="58"/>
      <c r="D150" s="332">
        <v>38968</v>
      </c>
      <c r="F150" s="121">
        <v>13292685</v>
      </c>
      <c r="G150" s="121">
        <f t="shared" si="16"/>
        <v>164347209</v>
      </c>
      <c r="H150" s="121">
        <f t="shared" si="14"/>
        <v>468988791</v>
      </c>
    </row>
    <row r="151" spans="1:8" ht="12.75">
      <c r="A151" s="121" t="s">
        <v>147</v>
      </c>
      <c r="C151" s="58"/>
      <c r="D151" s="332">
        <v>38971</v>
      </c>
      <c r="F151" s="121">
        <v>9983821</v>
      </c>
      <c r="G151" s="121">
        <f t="shared" si="16"/>
        <v>174331030</v>
      </c>
      <c r="H151" s="121">
        <f t="shared" si="14"/>
        <v>459004970</v>
      </c>
    </row>
    <row r="152" spans="1:8" ht="12.75">
      <c r="A152" s="121" t="s">
        <v>148</v>
      </c>
      <c r="C152" s="58"/>
      <c r="D152" s="332">
        <v>38973</v>
      </c>
      <c r="F152" s="121">
        <v>19303536</v>
      </c>
      <c r="G152" s="121">
        <f t="shared" si="16"/>
        <v>193634566</v>
      </c>
      <c r="H152" s="121">
        <f t="shared" si="14"/>
        <v>439701434</v>
      </c>
    </row>
    <row r="153" spans="1:8" ht="12.75">
      <c r="A153" s="121" t="s">
        <v>154</v>
      </c>
      <c r="C153" s="58"/>
      <c r="D153" s="332">
        <v>38980</v>
      </c>
      <c r="F153" s="121">
        <v>12352928</v>
      </c>
      <c r="G153" s="121">
        <f aca="true" t="shared" si="17" ref="G153:G168">G152+F153</f>
        <v>205987494</v>
      </c>
      <c r="H153" s="121">
        <f t="shared" si="14"/>
        <v>427348506</v>
      </c>
    </row>
    <row r="154" spans="1:8" ht="12.75">
      <c r="A154" s="121" t="s">
        <v>155</v>
      </c>
      <c r="C154" s="58"/>
      <c r="D154" s="332">
        <v>38982</v>
      </c>
      <c r="F154" s="121">
        <v>15572471</v>
      </c>
      <c r="G154" s="121">
        <f t="shared" si="17"/>
        <v>221559965</v>
      </c>
      <c r="H154" s="121">
        <f t="shared" si="14"/>
        <v>411776035</v>
      </c>
    </row>
    <row r="155" spans="1:8" ht="12.75">
      <c r="A155" s="121" t="s">
        <v>156</v>
      </c>
      <c r="C155" s="58"/>
      <c r="D155" s="332">
        <v>38986</v>
      </c>
      <c r="F155" s="121">
        <v>3519464</v>
      </c>
      <c r="G155" s="121">
        <f t="shared" si="17"/>
        <v>225079429</v>
      </c>
      <c r="H155" s="121">
        <f t="shared" si="14"/>
        <v>408256571</v>
      </c>
    </row>
    <row r="156" spans="1:8" ht="12.75">
      <c r="A156" s="121" t="s">
        <v>157</v>
      </c>
      <c r="C156" s="58"/>
      <c r="D156" s="332">
        <v>38988</v>
      </c>
      <c r="F156" s="121">
        <v>10058693</v>
      </c>
      <c r="G156" s="121">
        <f t="shared" si="17"/>
        <v>235138122</v>
      </c>
      <c r="H156" s="121">
        <f t="shared" si="14"/>
        <v>398197878</v>
      </c>
    </row>
    <row r="157" spans="1:8" ht="12.75">
      <c r="A157" s="121" t="s">
        <v>158</v>
      </c>
      <c r="C157" s="58"/>
      <c r="D157" s="332">
        <v>38989</v>
      </c>
      <c r="F157" s="121">
        <v>5301747</v>
      </c>
      <c r="G157" s="121">
        <f t="shared" si="17"/>
        <v>240439869</v>
      </c>
      <c r="H157" s="121">
        <f t="shared" si="14"/>
        <v>392896131</v>
      </c>
    </row>
    <row r="158" spans="1:8" ht="12.75">
      <c r="A158" s="121" t="s">
        <v>159</v>
      </c>
      <c r="C158" s="58"/>
      <c r="D158" s="332">
        <v>38995</v>
      </c>
      <c r="F158" s="121">
        <v>9236344</v>
      </c>
      <c r="G158" s="121">
        <f t="shared" si="17"/>
        <v>249676213</v>
      </c>
      <c r="H158" s="121">
        <f t="shared" si="14"/>
        <v>383659787</v>
      </c>
    </row>
    <row r="159" spans="1:8" ht="12.75">
      <c r="A159" s="121" t="s">
        <v>160</v>
      </c>
      <c r="C159" s="58"/>
      <c r="D159" s="332">
        <v>39000</v>
      </c>
      <c r="F159" s="121">
        <v>5655241</v>
      </c>
      <c r="G159" s="121">
        <f t="shared" si="17"/>
        <v>255331454</v>
      </c>
      <c r="H159" s="121">
        <f t="shared" si="14"/>
        <v>378004546</v>
      </c>
    </row>
    <row r="160" spans="1:8" ht="12.75">
      <c r="A160" s="121" t="s">
        <v>161</v>
      </c>
      <c r="C160" s="58"/>
      <c r="D160" s="332">
        <v>39002</v>
      </c>
      <c r="F160" s="121">
        <v>5046779</v>
      </c>
      <c r="G160" s="121">
        <f t="shared" si="17"/>
        <v>260378233</v>
      </c>
      <c r="H160" s="121">
        <f t="shared" si="14"/>
        <v>372957767</v>
      </c>
    </row>
    <row r="161" spans="1:8" ht="12.75">
      <c r="A161" s="121" t="s">
        <v>162</v>
      </c>
      <c r="C161" s="58"/>
      <c r="D161" s="332">
        <v>39003</v>
      </c>
      <c r="F161" s="121">
        <v>9441975</v>
      </c>
      <c r="G161" s="121">
        <f t="shared" si="17"/>
        <v>269820208</v>
      </c>
      <c r="H161" s="121">
        <f t="shared" si="14"/>
        <v>363515792</v>
      </c>
    </row>
    <row r="162" spans="1:8" ht="12.75">
      <c r="A162" s="121" t="s">
        <v>163</v>
      </c>
      <c r="C162" s="58"/>
      <c r="D162" s="332">
        <v>39007</v>
      </c>
      <c r="F162" s="121">
        <v>8766225</v>
      </c>
      <c r="G162" s="121">
        <f t="shared" si="17"/>
        <v>278586433</v>
      </c>
      <c r="H162" s="121">
        <f t="shared" si="14"/>
        <v>354749567</v>
      </c>
    </row>
    <row r="163" spans="1:8" ht="12.75">
      <c r="A163" s="121" t="s">
        <v>164</v>
      </c>
      <c r="C163" s="58"/>
      <c r="D163" s="332">
        <v>39014</v>
      </c>
      <c r="F163" s="121">
        <v>5759153</v>
      </c>
      <c r="G163" s="121">
        <f t="shared" si="17"/>
        <v>284345586</v>
      </c>
      <c r="H163" s="121">
        <f t="shared" si="14"/>
        <v>348990414</v>
      </c>
    </row>
    <row r="164" spans="1:8" ht="12.75">
      <c r="A164" s="121" t="s">
        <v>165</v>
      </c>
      <c r="C164" s="58"/>
      <c r="D164" s="332">
        <v>39015</v>
      </c>
      <c r="F164" s="121">
        <v>9770573</v>
      </c>
      <c r="G164" s="121">
        <f t="shared" si="17"/>
        <v>294116159</v>
      </c>
      <c r="H164" s="121">
        <f t="shared" si="14"/>
        <v>339219841</v>
      </c>
    </row>
    <row r="165" spans="1:8" ht="12.75">
      <c r="A165" s="121" t="s">
        <v>166</v>
      </c>
      <c r="C165" s="58"/>
      <c r="D165" s="332">
        <v>39016</v>
      </c>
      <c r="F165" s="121">
        <v>17109494</v>
      </c>
      <c r="G165" s="121">
        <f t="shared" si="17"/>
        <v>311225653</v>
      </c>
      <c r="H165" s="121">
        <f t="shared" si="14"/>
        <v>322110347</v>
      </c>
    </row>
    <row r="166" spans="1:8" ht="12.75">
      <c r="A166" s="121" t="s">
        <v>167</v>
      </c>
      <c r="C166" s="58"/>
      <c r="D166" s="332">
        <v>39017</v>
      </c>
      <c r="F166" s="121">
        <v>6734778</v>
      </c>
      <c r="G166" s="121">
        <f t="shared" si="17"/>
        <v>317960431</v>
      </c>
      <c r="H166" s="121">
        <f t="shared" si="14"/>
        <v>315375569</v>
      </c>
    </row>
    <row r="167" spans="1:8" ht="12.75">
      <c r="A167" s="121" t="s">
        <v>168</v>
      </c>
      <c r="C167" s="58"/>
      <c r="D167" s="332">
        <v>39023</v>
      </c>
      <c r="F167" s="121">
        <v>19510018</v>
      </c>
      <c r="G167" s="121">
        <f t="shared" si="17"/>
        <v>337470449</v>
      </c>
      <c r="H167" s="121">
        <f t="shared" si="14"/>
        <v>295865551</v>
      </c>
    </row>
    <row r="168" spans="1:8" ht="12.75">
      <c r="A168" s="121" t="s">
        <v>169</v>
      </c>
      <c r="C168" s="58"/>
      <c r="D168" s="332">
        <v>39029</v>
      </c>
      <c r="F168" s="121">
        <v>18835036</v>
      </c>
      <c r="G168" s="121">
        <f t="shared" si="17"/>
        <v>356305485</v>
      </c>
      <c r="H168" s="121">
        <f t="shared" si="14"/>
        <v>277030515</v>
      </c>
    </row>
    <row r="169" spans="1:8" ht="12.75">
      <c r="A169" s="121" t="s">
        <v>185</v>
      </c>
      <c r="C169" s="58"/>
      <c r="D169" s="332">
        <v>39037</v>
      </c>
      <c r="F169" s="121">
        <v>14299252</v>
      </c>
      <c r="G169" s="121">
        <f aca="true" t="shared" si="18" ref="G169:G182">G168+F169</f>
        <v>370604737</v>
      </c>
      <c r="H169" s="121">
        <f t="shared" si="14"/>
        <v>262731263</v>
      </c>
    </row>
    <row r="170" spans="1:8" ht="12.75">
      <c r="A170" s="121" t="s">
        <v>186</v>
      </c>
      <c r="C170" s="58"/>
      <c r="D170" s="332">
        <v>39043</v>
      </c>
      <c r="F170" s="121">
        <v>9536733</v>
      </c>
      <c r="G170" s="121">
        <f t="shared" si="18"/>
        <v>380141470</v>
      </c>
      <c r="H170" s="121">
        <f t="shared" si="14"/>
        <v>253194530</v>
      </c>
    </row>
    <row r="171" spans="1:8" ht="12.75">
      <c r="A171" s="121" t="s">
        <v>187</v>
      </c>
      <c r="C171" s="58"/>
      <c r="D171" s="332">
        <v>39049</v>
      </c>
      <c r="F171" s="121">
        <v>20100139</v>
      </c>
      <c r="G171" s="121">
        <f t="shared" si="18"/>
        <v>400241609</v>
      </c>
      <c r="H171" s="121">
        <f t="shared" si="14"/>
        <v>233094391</v>
      </c>
    </row>
    <row r="172" spans="1:8" ht="12.75">
      <c r="A172" s="121" t="s">
        <v>188</v>
      </c>
      <c r="C172" s="58"/>
      <c r="D172" s="332">
        <v>39051</v>
      </c>
      <c r="F172" s="121">
        <v>4162148</v>
      </c>
      <c r="G172" s="121">
        <f t="shared" si="18"/>
        <v>404403757</v>
      </c>
      <c r="H172" s="121">
        <f t="shared" si="14"/>
        <v>228932243</v>
      </c>
    </row>
    <row r="173" spans="1:8" ht="12.75">
      <c r="A173" s="121" t="s">
        <v>189</v>
      </c>
      <c r="C173" s="58"/>
      <c r="D173" s="332">
        <v>39052</v>
      </c>
      <c r="F173" s="121">
        <v>10158261</v>
      </c>
      <c r="G173" s="121">
        <f t="shared" si="18"/>
        <v>414562018</v>
      </c>
      <c r="H173" s="121">
        <f t="shared" si="14"/>
        <v>218773982</v>
      </c>
    </row>
    <row r="174" spans="1:8" ht="12.75">
      <c r="A174" s="121" t="s">
        <v>190</v>
      </c>
      <c r="C174" s="58"/>
      <c r="D174" s="332">
        <v>39057</v>
      </c>
      <c r="F174" s="121">
        <v>1621641</v>
      </c>
      <c r="G174" s="121">
        <f t="shared" si="18"/>
        <v>416183659</v>
      </c>
      <c r="H174" s="121">
        <f t="shared" si="14"/>
        <v>217152341</v>
      </c>
    </row>
    <row r="175" spans="1:8" ht="12.75">
      <c r="A175" s="121" t="s">
        <v>191</v>
      </c>
      <c r="C175" s="58"/>
      <c r="D175" s="332">
        <v>39058</v>
      </c>
      <c r="F175" s="121">
        <v>6750348</v>
      </c>
      <c r="G175" s="121">
        <f t="shared" si="18"/>
        <v>422934007</v>
      </c>
      <c r="H175" s="121">
        <f t="shared" si="14"/>
        <v>210401993</v>
      </c>
    </row>
    <row r="176" spans="1:8" ht="12.75">
      <c r="A176" s="121" t="s">
        <v>192</v>
      </c>
      <c r="C176" s="58"/>
      <c r="D176" s="332">
        <v>39063</v>
      </c>
      <c r="F176" s="121">
        <v>4892218</v>
      </c>
      <c r="G176" s="121">
        <f t="shared" si="18"/>
        <v>427826225</v>
      </c>
      <c r="H176" s="121">
        <f t="shared" si="14"/>
        <v>205509775</v>
      </c>
    </row>
    <row r="177" spans="1:8" ht="12.75">
      <c r="A177" s="121" t="s">
        <v>193</v>
      </c>
      <c r="C177" s="58"/>
      <c r="D177" s="332">
        <v>39065</v>
      </c>
      <c r="F177" s="121">
        <v>6917515</v>
      </c>
      <c r="G177" s="121">
        <f t="shared" si="18"/>
        <v>434743740</v>
      </c>
      <c r="H177" s="121">
        <f t="shared" si="14"/>
        <v>198592260</v>
      </c>
    </row>
    <row r="178" spans="1:8" ht="12.75">
      <c r="A178" s="121" t="s">
        <v>194</v>
      </c>
      <c r="C178" s="58"/>
      <c r="D178" s="332">
        <v>39069</v>
      </c>
      <c r="F178" s="121">
        <v>7660828</v>
      </c>
      <c r="G178" s="121">
        <f t="shared" si="18"/>
        <v>442404568</v>
      </c>
      <c r="H178" s="121">
        <f t="shared" si="14"/>
        <v>190931432</v>
      </c>
    </row>
    <row r="179" spans="1:8" ht="12.75">
      <c r="A179" s="121" t="s">
        <v>195</v>
      </c>
      <c r="C179" s="58"/>
      <c r="D179" s="332">
        <v>39072</v>
      </c>
      <c r="F179" s="121">
        <v>5306040</v>
      </c>
      <c r="G179" s="121">
        <f t="shared" si="18"/>
        <v>447710608</v>
      </c>
      <c r="H179" s="121">
        <f t="shared" si="14"/>
        <v>185625392</v>
      </c>
    </row>
    <row r="180" spans="1:8" ht="12.75">
      <c r="A180" s="121" t="s">
        <v>196</v>
      </c>
      <c r="C180" s="58"/>
      <c r="D180" s="332">
        <v>39073</v>
      </c>
      <c r="F180" s="121">
        <v>15747198</v>
      </c>
      <c r="G180" s="121">
        <f t="shared" si="18"/>
        <v>463457806</v>
      </c>
      <c r="H180" s="121">
        <f t="shared" si="14"/>
        <v>169878194</v>
      </c>
    </row>
    <row r="181" spans="1:8" ht="12.75">
      <c r="A181" s="121" t="s">
        <v>197</v>
      </c>
      <c r="C181" s="58"/>
      <c r="D181" s="332">
        <v>39080</v>
      </c>
      <c r="F181" s="121">
        <v>28932285</v>
      </c>
      <c r="G181" s="121">
        <f t="shared" si="18"/>
        <v>492390091</v>
      </c>
      <c r="H181" s="121">
        <f t="shared" si="14"/>
        <v>140945909</v>
      </c>
    </row>
    <row r="182" spans="1:8" ht="12.75">
      <c r="A182" s="121" t="s">
        <v>198</v>
      </c>
      <c r="C182" s="58"/>
      <c r="D182" s="332">
        <v>39090</v>
      </c>
      <c r="F182" s="121">
        <v>24810134</v>
      </c>
      <c r="G182" s="121">
        <f t="shared" si="18"/>
        <v>517200225</v>
      </c>
      <c r="H182" s="121">
        <f t="shared" si="14"/>
        <v>116135775</v>
      </c>
    </row>
    <row r="183" spans="1:8" ht="12.75">
      <c r="A183" s="121" t="s">
        <v>208</v>
      </c>
      <c r="C183" s="58"/>
      <c r="D183" s="332">
        <v>39101</v>
      </c>
      <c r="F183" s="121">
        <v>8269065</v>
      </c>
      <c r="G183" s="121">
        <f aca="true" t="shared" si="19" ref="G183:G192">G182+F183</f>
        <v>525469290</v>
      </c>
      <c r="H183" s="121">
        <f t="shared" si="14"/>
        <v>107866710</v>
      </c>
    </row>
    <row r="184" spans="1:8" ht="12.75">
      <c r="A184" s="121" t="s">
        <v>209</v>
      </c>
      <c r="C184" s="58"/>
      <c r="D184" s="332">
        <v>39105</v>
      </c>
      <c r="F184" s="121">
        <v>15242282</v>
      </c>
      <c r="G184" s="121">
        <f t="shared" si="19"/>
        <v>540711572</v>
      </c>
      <c r="H184" s="121">
        <f t="shared" si="14"/>
        <v>92624428</v>
      </c>
    </row>
    <row r="185" spans="1:8" ht="12.75">
      <c r="A185" s="121" t="s">
        <v>210</v>
      </c>
      <c r="C185" s="58"/>
      <c r="D185" s="332">
        <v>39112</v>
      </c>
      <c r="F185" s="121">
        <v>7668674</v>
      </c>
      <c r="G185" s="121">
        <f t="shared" si="19"/>
        <v>548380246</v>
      </c>
      <c r="H185" s="121">
        <f t="shared" si="14"/>
        <v>84955754</v>
      </c>
    </row>
    <row r="186" spans="1:8" ht="12.75">
      <c r="A186" s="121" t="s">
        <v>211</v>
      </c>
      <c r="C186" s="58"/>
      <c r="D186" s="332">
        <v>39121</v>
      </c>
      <c r="F186" s="121">
        <v>6614689</v>
      </c>
      <c r="G186" s="121">
        <f t="shared" si="19"/>
        <v>554994935</v>
      </c>
      <c r="H186" s="121">
        <f t="shared" si="14"/>
        <v>78341065</v>
      </c>
    </row>
    <row r="187" spans="1:8" ht="12.75">
      <c r="A187" s="121" t="s">
        <v>212</v>
      </c>
      <c r="C187" s="58"/>
      <c r="D187" s="332">
        <v>39149</v>
      </c>
      <c r="F187" s="121">
        <v>4103700</v>
      </c>
      <c r="G187" s="121">
        <f t="shared" si="19"/>
        <v>559098635</v>
      </c>
      <c r="H187" s="121">
        <f>603139187-G187</f>
        <v>44040552</v>
      </c>
    </row>
    <row r="188" spans="1:8" ht="12.75">
      <c r="A188" s="121" t="s">
        <v>213</v>
      </c>
      <c r="C188" s="58"/>
      <c r="D188" s="332">
        <v>39167</v>
      </c>
      <c r="F188" s="121">
        <v>2153988</v>
      </c>
      <c r="G188" s="121">
        <f t="shared" si="19"/>
        <v>561252623</v>
      </c>
      <c r="H188" s="121">
        <f aca="true" t="shared" si="20" ref="H188:H200">603139187-G188</f>
        <v>41886564</v>
      </c>
    </row>
    <row r="189" spans="1:8" ht="12.75">
      <c r="A189" s="121" t="s">
        <v>214</v>
      </c>
      <c r="C189" s="58"/>
      <c r="D189" s="332">
        <v>39174</v>
      </c>
      <c r="F189" s="121">
        <v>3864109</v>
      </c>
      <c r="G189" s="121">
        <f t="shared" si="19"/>
        <v>565116732</v>
      </c>
      <c r="H189" s="121">
        <f t="shared" si="20"/>
        <v>38022455</v>
      </c>
    </row>
    <row r="190" spans="1:8" ht="12.75">
      <c r="A190" s="121" t="s">
        <v>215</v>
      </c>
      <c r="C190" s="58"/>
      <c r="D190" s="332">
        <v>39183</v>
      </c>
      <c r="F190" s="121">
        <v>1710300</v>
      </c>
      <c r="G190" s="121">
        <f t="shared" si="19"/>
        <v>566827032</v>
      </c>
      <c r="H190" s="121">
        <f t="shared" si="20"/>
        <v>36312155</v>
      </c>
    </row>
    <row r="191" spans="1:8" ht="12.75">
      <c r="A191" s="121" t="s">
        <v>216</v>
      </c>
      <c r="C191" s="58"/>
      <c r="D191" s="332">
        <v>39195</v>
      </c>
      <c r="F191" s="121">
        <v>7540221</v>
      </c>
      <c r="G191" s="121">
        <f t="shared" si="19"/>
        <v>574367253</v>
      </c>
      <c r="H191" s="121">
        <f t="shared" si="20"/>
        <v>28771934</v>
      </c>
    </row>
    <row r="192" spans="1:8" ht="12.75">
      <c r="A192" s="121" t="s">
        <v>217</v>
      </c>
      <c r="C192" s="58"/>
      <c r="D192" s="332">
        <v>39196</v>
      </c>
      <c r="F192" s="121">
        <v>1968816</v>
      </c>
      <c r="G192" s="121">
        <f t="shared" si="19"/>
        <v>576336069</v>
      </c>
      <c r="H192" s="121">
        <f t="shared" si="20"/>
        <v>26803118</v>
      </c>
    </row>
    <row r="193" spans="1:8" ht="12.75">
      <c r="A193" s="121" t="s">
        <v>219</v>
      </c>
      <c r="C193" s="58"/>
      <c r="D193" s="332">
        <v>39199</v>
      </c>
      <c r="F193" s="121">
        <v>4710464</v>
      </c>
      <c r="G193" s="121">
        <f aca="true" t="shared" si="21" ref="G193:G198">G192+F193</f>
        <v>581046533</v>
      </c>
      <c r="H193" s="121">
        <f t="shared" si="20"/>
        <v>22092654</v>
      </c>
    </row>
    <row r="194" spans="1:8" ht="12.75">
      <c r="A194" s="121" t="s">
        <v>220</v>
      </c>
      <c r="C194" s="58"/>
      <c r="D194" s="332">
        <v>39212</v>
      </c>
      <c r="F194" s="121">
        <v>3457526</v>
      </c>
      <c r="G194" s="121">
        <f t="shared" si="21"/>
        <v>584504059</v>
      </c>
      <c r="H194" s="121">
        <f t="shared" si="20"/>
        <v>18635128</v>
      </c>
    </row>
    <row r="195" spans="1:8" ht="12.75">
      <c r="A195" s="121" t="s">
        <v>221</v>
      </c>
      <c r="C195" s="58"/>
      <c r="D195" s="332">
        <v>39232</v>
      </c>
      <c r="F195" s="121">
        <v>1135332</v>
      </c>
      <c r="G195" s="121">
        <f t="shared" si="21"/>
        <v>585639391</v>
      </c>
      <c r="H195" s="121">
        <f t="shared" si="20"/>
        <v>17499796</v>
      </c>
    </row>
    <row r="196" spans="1:8" ht="12.75">
      <c r="A196" s="121" t="s">
        <v>222</v>
      </c>
      <c r="C196" s="58"/>
      <c r="D196" s="332">
        <v>39234</v>
      </c>
      <c r="F196" s="121">
        <v>7958318</v>
      </c>
      <c r="G196" s="121">
        <f t="shared" si="21"/>
        <v>593597709</v>
      </c>
      <c r="H196" s="121">
        <f t="shared" si="20"/>
        <v>9541478</v>
      </c>
    </row>
    <row r="197" spans="1:8" ht="12.75">
      <c r="A197" s="121" t="s">
        <v>223</v>
      </c>
      <c r="C197" s="58"/>
      <c r="D197" s="332">
        <v>39239</v>
      </c>
      <c r="F197" s="121">
        <v>737495</v>
      </c>
      <c r="G197" s="121">
        <f t="shared" si="21"/>
        <v>594335204</v>
      </c>
      <c r="H197" s="121">
        <f t="shared" si="20"/>
        <v>8803983</v>
      </c>
    </row>
    <row r="198" spans="1:8" ht="12.75">
      <c r="A198" s="121" t="s">
        <v>224</v>
      </c>
      <c r="C198" s="58"/>
      <c r="D198" s="332">
        <v>39241</v>
      </c>
      <c r="F198" s="121">
        <v>3355727</v>
      </c>
      <c r="G198" s="121">
        <f t="shared" si="21"/>
        <v>597690931</v>
      </c>
      <c r="H198" s="121">
        <f t="shared" si="20"/>
        <v>5448256</v>
      </c>
    </row>
    <row r="199" spans="1:8" ht="12.75">
      <c r="A199" s="121" t="s">
        <v>248</v>
      </c>
      <c r="C199" s="58"/>
      <c r="D199" s="332">
        <v>39258</v>
      </c>
      <c r="F199" s="121">
        <v>4827096</v>
      </c>
      <c r="G199" s="121">
        <f>G198+F199</f>
        <v>602518027</v>
      </c>
      <c r="H199" s="121">
        <f t="shared" si="20"/>
        <v>621160</v>
      </c>
    </row>
    <row r="200" spans="1:8" ht="13.5" thickBot="1">
      <c r="A200" s="121" t="s">
        <v>249</v>
      </c>
      <c r="C200" s="58"/>
      <c r="D200" s="332">
        <v>39297</v>
      </c>
      <c r="F200" s="121">
        <v>621160</v>
      </c>
      <c r="G200" s="121">
        <f>G199+F200</f>
        <v>603139187</v>
      </c>
      <c r="H200" s="121">
        <f t="shared" si="20"/>
        <v>0</v>
      </c>
    </row>
    <row r="201" spans="1:6" ht="13.5" thickTop="1">
      <c r="A201" s="126" t="s">
        <v>14</v>
      </c>
      <c r="B201" s="126"/>
      <c r="C201" s="124"/>
      <c r="D201" s="124"/>
      <c r="E201" s="333"/>
      <c r="F201" s="124">
        <f>SUM(F136:F200)</f>
        <v>603139187</v>
      </c>
    </row>
  </sheetData>
  <sheetProtection/>
  <mergeCells count="1">
    <mergeCell ref="A131:C131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scale="90" r:id="rId1"/>
  <headerFooter alignWithMargins="0">
    <oddHeader>&amp;C&amp;"Times New Roman CE,Félkövér dőlt"&amp;12Adósságszolgálat számítása
Panel Plusz Programhoz kapcsolódó 633.336 ezer Ft hitel (módosított összeg: 603.139 eFt)</oddHeader>
    <oddFooter>&amp;L&amp;8&amp;D&amp;C&amp;8C:\Andi\adósságszolgálat\&amp;F\&amp;A    Oláhné P. Andrea&amp;R&amp;8&amp;P/&amp;N</oddFooter>
  </headerFooter>
  <rowBreaks count="1" manualBreakCount="1">
    <brk id="13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8"/>
  <sheetViews>
    <sheetView zoomScaleSheetLayoutView="100" zoomScalePageLayoutView="0" workbookViewId="0" topLeftCell="A1">
      <pane ySplit="5" topLeftCell="BM74" activePane="bottomLeft" state="frozen"/>
      <selection pane="topLeft" activeCell="A1" sqref="A1"/>
      <selection pane="bottomLeft" activeCell="E82" sqref="E82"/>
    </sheetView>
  </sheetViews>
  <sheetFormatPr defaultColWidth="9.00390625" defaultRowHeight="12.75"/>
  <cols>
    <col min="1" max="1" width="11.37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7.875" style="316" customWidth="1"/>
    <col min="6" max="7" width="12.625" style="58" customWidth="1"/>
    <col min="8" max="8" width="13.00390625" style="58" customWidth="1"/>
    <col min="9" max="10" width="12.625" style="58" bestFit="1" customWidth="1"/>
    <col min="11" max="16384" width="9.375" style="58" customWidth="1"/>
  </cols>
  <sheetData>
    <row r="1" spans="1:10" ht="12.75">
      <c r="A1" s="163" t="s">
        <v>109</v>
      </c>
      <c r="B1" s="162"/>
      <c r="C1" s="163" t="s">
        <v>125</v>
      </c>
      <c r="D1" s="163"/>
      <c r="E1" s="418" t="s">
        <v>233</v>
      </c>
      <c r="H1" s="163"/>
      <c r="I1" s="163"/>
      <c r="J1" s="163"/>
    </row>
    <row r="2" spans="1:10" ht="12.75">
      <c r="A2" s="163" t="s">
        <v>201</v>
      </c>
      <c r="B2" s="133"/>
      <c r="C2" s="132"/>
      <c r="D2" s="132"/>
      <c r="E2" s="317"/>
      <c r="F2" s="132"/>
      <c r="G2" s="132"/>
      <c r="H2" s="132"/>
      <c r="I2" s="132"/>
      <c r="J2" s="132"/>
    </row>
    <row r="3" spans="1:10" ht="12.75">
      <c r="A3" s="66" t="s">
        <v>3</v>
      </c>
      <c r="B3" s="67" t="s">
        <v>4</v>
      </c>
      <c r="C3" s="68" t="s">
        <v>5</v>
      </c>
      <c r="D3" s="68" t="s">
        <v>21</v>
      </c>
      <c r="E3" s="68" t="s">
        <v>18</v>
      </c>
      <c r="F3" s="69" t="s">
        <v>20</v>
      </c>
      <c r="G3" s="69" t="s">
        <v>120</v>
      </c>
      <c r="H3" s="70" t="s">
        <v>6</v>
      </c>
      <c r="I3" s="70" t="s">
        <v>6</v>
      </c>
      <c r="J3" s="71" t="s">
        <v>6</v>
      </c>
    </row>
    <row r="4" spans="1:10" ht="12.75">
      <c r="A4" s="72"/>
      <c r="B4" s="73" t="s">
        <v>7</v>
      </c>
      <c r="C4" s="74" t="s">
        <v>8</v>
      </c>
      <c r="D4" s="74" t="s">
        <v>13</v>
      </c>
      <c r="E4" s="74" t="s">
        <v>19</v>
      </c>
      <c r="F4" s="75" t="s">
        <v>13</v>
      </c>
      <c r="G4" s="75" t="s">
        <v>121</v>
      </c>
      <c r="H4" s="76" t="s">
        <v>9</v>
      </c>
      <c r="I4" s="76" t="s">
        <v>11</v>
      </c>
      <c r="J4" s="77" t="s">
        <v>10</v>
      </c>
    </row>
    <row r="5" spans="1:10" ht="12.75">
      <c r="A5" s="78"/>
      <c r="B5" s="79"/>
      <c r="C5" s="80"/>
      <c r="D5" s="80"/>
      <c r="E5" s="80"/>
      <c r="F5" s="81"/>
      <c r="G5" s="136" t="s">
        <v>151</v>
      </c>
      <c r="H5" s="136" t="s">
        <v>123</v>
      </c>
      <c r="I5" s="82" t="s">
        <v>13</v>
      </c>
      <c r="J5" s="83" t="s">
        <v>12</v>
      </c>
    </row>
    <row r="6" spans="1:10" ht="12.75">
      <c r="A6" s="507">
        <v>39171</v>
      </c>
      <c r="B6" s="323"/>
      <c r="C6" s="324"/>
      <c r="D6" s="324"/>
      <c r="E6" s="324"/>
      <c r="F6" s="325"/>
      <c r="G6" s="326">
        <v>165075</v>
      </c>
      <c r="H6" s="327"/>
      <c r="I6" s="328"/>
      <c r="J6" s="329"/>
    </row>
    <row r="7" spans="1:10" ht="12.75">
      <c r="A7" s="508">
        <v>39262</v>
      </c>
      <c r="B7" s="509"/>
      <c r="C7" s="510"/>
      <c r="D7" s="510"/>
      <c r="E7" s="510"/>
      <c r="F7" s="511"/>
      <c r="G7" s="512">
        <v>165075</v>
      </c>
      <c r="H7" s="513"/>
      <c r="I7" s="514"/>
      <c r="J7" s="336"/>
    </row>
    <row r="8" spans="1:10" ht="12.75">
      <c r="A8" s="90">
        <v>39328</v>
      </c>
      <c r="B8" s="307"/>
      <c r="C8" s="41">
        <v>7021710</v>
      </c>
      <c r="D8" s="41"/>
      <c r="E8" s="319"/>
      <c r="F8" s="41"/>
      <c r="G8" s="41"/>
      <c r="H8" s="91"/>
      <c r="I8" s="91"/>
      <c r="J8" s="231"/>
    </row>
    <row r="9" spans="1:10" ht="12.75">
      <c r="A9" s="90">
        <v>39343</v>
      </c>
      <c r="B9" s="307">
        <f aca="true" t="shared" si="0" ref="B9:B14">A9-A8</f>
        <v>15</v>
      </c>
      <c r="C9" s="41">
        <v>11517703</v>
      </c>
      <c r="D9" s="41"/>
      <c r="E9" s="319"/>
      <c r="F9" s="41"/>
      <c r="G9" s="41"/>
      <c r="H9" s="91"/>
      <c r="I9" s="91"/>
      <c r="J9" s="231"/>
    </row>
    <row r="10" spans="1:10" ht="12.75">
      <c r="A10" s="90">
        <v>39345</v>
      </c>
      <c r="B10" s="309">
        <f t="shared" si="0"/>
        <v>2</v>
      </c>
      <c r="C10" s="41">
        <v>20699975</v>
      </c>
      <c r="D10" s="41"/>
      <c r="E10" s="319"/>
      <c r="F10" s="41"/>
      <c r="G10" s="41"/>
      <c r="H10" s="91"/>
      <c r="I10" s="91"/>
      <c r="J10" s="231"/>
    </row>
    <row r="11" spans="1:10" ht="12.75">
      <c r="A11" s="90">
        <v>39350</v>
      </c>
      <c r="B11" s="309">
        <f t="shared" si="0"/>
        <v>5</v>
      </c>
      <c r="C11" s="41">
        <v>28547934</v>
      </c>
      <c r="D11" s="41"/>
      <c r="E11" s="319"/>
      <c r="F11" s="41"/>
      <c r="G11" s="41"/>
      <c r="H11" s="91"/>
      <c r="I11" s="91"/>
      <c r="J11" s="231"/>
    </row>
    <row r="12" spans="1:10" ht="12.75">
      <c r="A12" s="90">
        <v>39353</v>
      </c>
      <c r="B12" s="309">
        <f t="shared" si="0"/>
        <v>3</v>
      </c>
      <c r="C12" s="41">
        <v>28547934</v>
      </c>
      <c r="D12" s="41"/>
      <c r="E12" s="319">
        <v>0.05101</v>
      </c>
      <c r="F12" s="41">
        <v>44989</v>
      </c>
      <c r="G12" s="41">
        <v>164970</v>
      </c>
      <c r="H12" s="91"/>
      <c r="I12" s="91"/>
      <c r="J12" s="231"/>
    </row>
    <row r="13" spans="1:10" ht="12.75">
      <c r="A13" s="90">
        <v>39365</v>
      </c>
      <c r="B13" s="309">
        <f t="shared" si="0"/>
        <v>12</v>
      </c>
      <c r="C13" s="41">
        <v>37624118</v>
      </c>
      <c r="D13" s="107"/>
      <c r="E13" s="420"/>
      <c r="F13" s="107"/>
      <c r="G13" s="107"/>
      <c r="H13" s="108"/>
      <c r="I13" s="108"/>
      <c r="J13" s="251"/>
    </row>
    <row r="14" spans="1:10" ht="12.75">
      <c r="A14" s="90">
        <v>39367</v>
      </c>
      <c r="B14" s="309">
        <f t="shared" si="0"/>
        <v>2</v>
      </c>
      <c r="C14" s="41">
        <v>41654218</v>
      </c>
      <c r="D14" s="107"/>
      <c r="E14" s="420"/>
      <c r="F14" s="107"/>
      <c r="G14" s="107"/>
      <c r="H14" s="108"/>
      <c r="I14" s="108"/>
      <c r="J14" s="251"/>
    </row>
    <row r="15" spans="1:10" ht="12.75">
      <c r="A15" s="90">
        <v>39374</v>
      </c>
      <c r="B15" s="309">
        <f aca="true" t="shared" si="1" ref="B15:B34">A15-A14</f>
        <v>7</v>
      </c>
      <c r="C15" s="41">
        <v>43850591</v>
      </c>
      <c r="D15" s="107"/>
      <c r="E15" s="420"/>
      <c r="F15" s="107"/>
      <c r="G15" s="107"/>
      <c r="H15" s="108"/>
      <c r="I15" s="108"/>
      <c r="J15" s="251"/>
    </row>
    <row r="16" spans="1:10" ht="12.75">
      <c r="A16" s="90">
        <v>39375</v>
      </c>
      <c r="B16" s="309">
        <f t="shared" si="1"/>
        <v>1</v>
      </c>
      <c r="C16" s="41">
        <v>50185514</v>
      </c>
      <c r="D16" s="107"/>
      <c r="E16" s="420"/>
      <c r="F16" s="107"/>
      <c r="G16" s="107"/>
      <c r="H16" s="108"/>
      <c r="I16" s="108"/>
      <c r="J16" s="251"/>
    </row>
    <row r="17" spans="1:10" ht="12.75">
      <c r="A17" s="90">
        <v>39380</v>
      </c>
      <c r="B17" s="309">
        <f t="shared" si="1"/>
        <v>5</v>
      </c>
      <c r="C17" s="41">
        <v>94179255</v>
      </c>
      <c r="D17" s="107"/>
      <c r="E17" s="420"/>
      <c r="F17" s="107"/>
      <c r="G17" s="107"/>
      <c r="H17" s="108"/>
      <c r="I17" s="108"/>
      <c r="J17" s="251"/>
    </row>
    <row r="18" spans="1:10" ht="12.75">
      <c r="A18" s="90">
        <v>39381</v>
      </c>
      <c r="B18" s="309">
        <f t="shared" si="1"/>
        <v>1</v>
      </c>
      <c r="C18" s="41">
        <v>96507006</v>
      </c>
      <c r="D18" s="107"/>
      <c r="E18" s="420"/>
      <c r="F18" s="107"/>
      <c r="G18" s="107"/>
      <c r="H18" s="108"/>
      <c r="I18" s="108"/>
      <c r="J18" s="251"/>
    </row>
    <row r="19" spans="1:10" ht="12.75">
      <c r="A19" s="90">
        <v>39384</v>
      </c>
      <c r="B19" s="309">
        <f t="shared" si="1"/>
        <v>3</v>
      </c>
      <c r="C19" s="41">
        <v>110066773</v>
      </c>
      <c r="D19" s="107"/>
      <c r="E19" s="420"/>
      <c r="F19" s="107"/>
      <c r="G19" s="107"/>
      <c r="H19" s="108"/>
      <c r="I19" s="108"/>
      <c r="J19" s="251"/>
    </row>
    <row r="20" spans="1:10" ht="12.75">
      <c r="A20" s="90">
        <v>39386</v>
      </c>
      <c r="B20" s="309">
        <f t="shared" si="1"/>
        <v>2</v>
      </c>
      <c r="C20" s="41">
        <v>115117929</v>
      </c>
      <c r="D20" s="107"/>
      <c r="E20" s="420"/>
      <c r="F20" s="107"/>
      <c r="G20" s="107"/>
      <c r="H20" s="108"/>
      <c r="I20" s="108"/>
      <c r="J20" s="251"/>
    </row>
    <row r="21" spans="1:10" ht="12.75">
      <c r="A21" s="90">
        <v>39392</v>
      </c>
      <c r="B21" s="309">
        <f t="shared" si="1"/>
        <v>6</v>
      </c>
      <c r="C21" s="41">
        <v>115613179</v>
      </c>
      <c r="D21" s="107"/>
      <c r="E21" s="420"/>
      <c r="F21" s="107"/>
      <c r="G21" s="107"/>
      <c r="H21" s="108"/>
      <c r="I21" s="108"/>
      <c r="J21" s="251"/>
    </row>
    <row r="22" spans="1:10" ht="12.75">
      <c r="A22" s="90">
        <v>39394</v>
      </c>
      <c r="B22" s="309">
        <f t="shared" si="1"/>
        <v>2</v>
      </c>
      <c r="C22" s="41">
        <v>125066393</v>
      </c>
      <c r="D22" s="107"/>
      <c r="E22" s="420"/>
      <c r="F22" s="107"/>
      <c r="G22" s="107"/>
      <c r="H22" s="108"/>
      <c r="I22" s="108"/>
      <c r="J22" s="251"/>
    </row>
    <row r="23" spans="1:10" ht="12.75">
      <c r="A23" s="90">
        <v>39399</v>
      </c>
      <c r="B23" s="309">
        <f t="shared" si="1"/>
        <v>5</v>
      </c>
      <c r="C23" s="41">
        <v>136525031</v>
      </c>
      <c r="D23" s="107"/>
      <c r="E23" s="420"/>
      <c r="F23" s="107"/>
      <c r="G23" s="107"/>
      <c r="H23" s="108"/>
      <c r="I23" s="108"/>
      <c r="J23" s="251"/>
    </row>
    <row r="24" spans="1:10" ht="12.75">
      <c r="A24" s="90">
        <v>39402</v>
      </c>
      <c r="B24" s="309">
        <f t="shared" si="1"/>
        <v>3</v>
      </c>
      <c r="C24" s="41">
        <v>138520048</v>
      </c>
      <c r="D24" s="107"/>
      <c r="E24" s="420"/>
      <c r="F24" s="107"/>
      <c r="G24" s="107"/>
      <c r="H24" s="108"/>
      <c r="I24" s="108"/>
      <c r="J24" s="251"/>
    </row>
    <row r="25" spans="1:10" ht="12.75">
      <c r="A25" s="90">
        <v>39407</v>
      </c>
      <c r="B25" s="309">
        <f t="shared" si="1"/>
        <v>5</v>
      </c>
      <c r="C25" s="41">
        <v>148949687</v>
      </c>
      <c r="D25" s="107"/>
      <c r="E25" s="420"/>
      <c r="F25" s="107"/>
      <c r="G25" s="107"/>
      <c r="H25" s="108"/>
      <c r="I25" s="108"/>
      <c r="J25" s="251"/>
    </row>
    <row r="26" spans="1:10" ht="12.75">
      <c r="A26" s="90">
        <v>39409</v>
      </c>
      <c r="B26" s="309">
        <f t="shared" si="1"/>
        <v>2</v>
      </c>
      <c r="C26" s="41">
        <v>153517598</v>
      </c>
      <c r="D26" s="107"/>
      <c r="E26" s="420"/>
      <c r="F26" s="107"/>
      <c r="G26" s="107"/>
      <c r="H26" s="108"/>
      <c r="I26" s="108"/>
      <c r="J26" s="251"/>
    </row>
    <row r="27" spans="1:10" ht="12.75">
      <c r="A27" s="90">
        <v>39414</v>
      </c>
      <c r="B27" s="309">
        <f t="shared" si="1"/>
        <v>5</v>
      </c>
      <c r="C27" s="41">
        <v>159705478</v>
      </c>
      <c r="D27" s="107"/>
      <c r="E27" s="420"/>
      <c r="F27" s="107"/>
      <c r="G27" s="107"/>
      <c r="H27" s="108"/>
      <c r="I27" s="108"/>
      <c r="J27" s="251"/>
    </row>
    <row r="28" spans="1:10" ht="12.75">
      <c r="A28" s="90">
        <v>39415</v>
      </c>
      <c r="B28" s="309">
        <f t="shared" si="1"/>
        <v>1</v>
      </c>
      <c r="C28" s="41">
        <v>162152296</v>
      </c>
      <c r="D28" s="107"/>
      <c r="E28" s="420"/>
      <c r="F28" s="107"/>
      <c r="G28" s="107"/>
      <c r="H28" s="108"/>
      <c r="I28" s="108"/>
      <c r="J28" s="251"/>
    </row>
    <row r="29" spans="1:10" ht="12.75">
      <c r="A29" s="90">
        <v>39419</v>
      </c>
      <c r="B29" s="309">
        <f t="shared" si="1"/>
        <v>4</v>
      </c>
      <c r="C29" s="41">
        <v>163443354</v>
      </c>
      <c r="D29" s="107"/>
      <c r="E29" s="420"/>
      <c r="F29" s="107"/>
      <c r="G29" s="107"/>
      <c r="H29" s="108"/>
      <c r="I29" s="108"/>
      <c r="J29" s="251"/>
    </row>
    <row r="30" spans="1:10" ht="12.75">
      <c r="A30" s="90">
        <v>39427</v>
      </c>
      <c r="B30" s="309">
        <f t="shared" si="1"/>
        <v>8</v>
      </c>
      <c r="C30" s="41">
        <v>180668179</v>
      </c>
      <c r="D30" s="107"/>
      <c r="E30" s="420"/>
      <c r="F30" s="107"/>
      <c r="G30" s="107"/>
      <c r="H30" s="108"/>
      <c r="I30" s="108"/>
      <c r="J30" s="251"/>
    </row>
    <row r="31" spans="1:10" ht="12.75">
      <c r="A31" s="90">
        <v>39429</v>
      </c>
      <c r="B31" s="309">
        <f t="shared" si="1"/>
        <v>2</v>
      </c>
      <c r="C31" s="41">
        <v>182713154</v>
      </c>
      <c r="D31" s="107"/>
      <c r="E31" s="420"/>
      <c r="F31" s="107"/>
      <c r="G31" s="107"/>
      <c r="H31" s="108"/>
      <c r="I31" s="108"/>
      <c r="J31" s="251"/>
    </row>
    <row r="32" spans="1:10" ht="12.75">
      <c r="A32" s="90">
        <v>39434</v>
      </c>
      <c r="B32" s="309">
        <f t="shared" si="1"/>
        <v>5</v>
      </c>
      <c r="C32" s="41">
        <v>184433342</v>
      </c>
      <c r="D32" s="107"/>
      <c r="E32" s="420"/>
      <c r="F32" s="107"/>
      <c r="G32" s="107"/>
      <c r="H32" s="108"/>
      <c r="I32" s="108"/>
      <c r="J32" s="251"/>
    </row>
    <row r="33" spans="1:10" ht="12.75">
      <c r="A33" s="90">
        <v>39435</v>
      </c>
      <c r="B33" s="309">
        <f t="shared" si="1"/>
        <v>1</v>
      </c>
      <c r="C33" s="41">
        <v>202191969</v>
      </c>
      <c r="D33" s="107"/>
      <c r="E33" s="420"/>
      <c r="F33" s="107"/>
      <c r="G33" s="107"/>
      <c r="H33" s="108"/>
      <c r="I33" s="108"/>
      <c r="J33" s="251"/>
    </row>
    <row r="34" spans="1:10" ht="12.75">
      <c r="A34" s="90">
        <v>39445</v>
      </c>
      <c r="B34" s="309">
        <f t="shared" si="1"/>
        <v>10</v>
      </c>
      <c r="C34" s="41">
        <v>243325832</v>
      </c>
      <c r="D34" s="107"/>
      <c r="E34" s="420"/>
      <c r="F34" s="107"/>
      <c r="G34" s="107"/>
      <c r="H34" s="108"/>
      <c r="I34" s="108"/>
      <c r="J34" s="251"/>
    </row>
    <row r="35" spans="1:10" ht="12.75">
      <c r="A35" s="97">
        <v>39446</v>
      </c>
      <c r="B35" s="308">
        <f>A35-A34</f>
        <v>1</v>
      </c>
      <c r="C35" s="99">
        <f>C34-D35</f>
        <v>243325832</v>
      </c>
      <c r="D35" s="99"/>
      <c r="E35" s="320">
        <v>0.05723</v>
      </c>
      <c r="F35" s="99">
        <v>1734507</v>
      </c>
      <c r="G35" s="99">
        <f>G12</f>
        <v>164970</v>
      </c>
      <c r="H35" s="300">
        <f>SUM(F6:G35)</f>
        <v>2439586</v>
      </c>
      <c r="I35" s="300">
        <f>SUM(D8:D35)</f>
        <v>0</v>
      </c>
      <c r="J35" s="301">
        <f>SUM(H35:I35)</f>
        <v>2439586</v>
      </c>
    </row>
    <row r="36" spans="1:10" ht="12.75">
      <c r="A36" s="103">
        <v>39454</v>
      </c>
      <c r="B36" s="306">
        <f aca="true" t="shared" si="2" ref="B36:B49">A36-A35</f>
        <v>8</v>
      </c>
      <c r="C36" s="42">
        <v>246159551</v>
      </c>
      <c r="D36" s="42"/>
      <c r="E36" s="318"/>
      <c r="F36" s="42"/>
      <c r="G36" s="42"/>
      <c r="H36" s="330"/>
      <c r="I36" s="330"/>
      <c r="J36" s="331"/>
    </row>
    <row r="37" spans="1:10" ht="12.75">
      <c r="A37" s="90">
        <v>39456</v>
      </c>
      <c r="B37" s="307">
        <f t="shared" si="2"/>
        <v>2</v>
      </c>
      <c r="C37" s="41">
        <v>250175301</v>
      </c>
      <c r="D37" s="41"/>
      <c r="E37" s="319"/>
      <c r="F37" s="41"/>
      <c r="G37" s="41"/>
      <c r="H37" s="281"/>
      <c r="I37" s="281"/>
      <c r="J37" s="282"/>
    </row>
    <row r="38" spans="1:10" ht="12.75">
      <c r="A38" s="90">
        <v>39457</v>
      </c>
      <c r="B38" s="307">
        <f t="shared" si="2"/>
        <v>1</v>
      </c>
      <c r="C38" s="41">
        <v>251552069</v>
      </c>
      <c r="D38" s="41"/>
      <c r="E38" s="319"/>
      <c r="F38" s="41"/>
      <c r="G38" s="41"/>
      <c r="H38" s="281"/>
      <c r="I38" s="281"/>
      <c r="J38" s="282"/>
    </row>
    <row r="39" spans="1:10" ht="12.75">
      <c r="A39" s="90">
        <v>39463</v>
      </c>
      <c r="B39" s="307">
        <f t="shared" si="2"/>
        <v>6</v>
      </c>
      <c r="C39" s="41">
        <v>260002783</v>
      </c>
      <c r="D39" s="41"/>
      <c r="E39" s="319"/>
      <c r="F39" s="41"/>
      <c r="G39" s="41"/>
      <c r="H39" s="281"/>
      <c r="I39" s="281"/>
      <c r="J39" s="282"/>
    </row>
    <row r="40" spans="1:10" ht="12.75">
      <c r="A40" s="90">
        <v>39464</v>
      </c>
      <c r="B40" s="307">
        <f t="shared" si="2"/>
        <v>1</v>
      </c>
      <c r="C40" s="41">
        <v>263095819</v>
      </c>
      <c r="D40" s="41"/>
      <c r="E40" s="319"/>
      <c r="F40" s="41"/>
      <c r="G40" s="41"/>
      <c r="H40" s="281"/>
      <c r="I40" s="281"/>
      <c r="J40" s="282"/>
    </row>
    <row r="41" spans="1:10" ht="12.75">
      <c r="A41" s="90">
        <v>39476</v>
      </c>
      <c r="B41" s="307">
        <f t="shared" si="2"/>
        <v>12</v>
      </c>
      <c r="C41" s="41">
        <v>268837348</v>
      </c>
      <c r="D41" s="41"/>
      <c r="E41" s="319"/>
      <c r="F41" s="41"/>
      <c r="G41" s="41"/>
      <c r="H41" s="281"/>
      <c r="I41" s="281"/>
      <c r="J41" s="282"/>
    </row>
    <row r="42" spans="1:10" ht="12.75">
      <c r="A42" s="90">
        <v>39491</v>
      </c>
      <c r="B42" s="307">
        <f t="shared" si="2"/>
        <v>15</v>
      </c>
      <c r="C42" s="41">
        <v>271237348</v>
      </c>
      <c r="D42" s="41"/>
      <c r="E42" s="319"/>
      <c r="F42" s="41"/>
      <c r="G42" s="41"/>
      <c r="H42" s="281"/>
      <c r="I42" s="281"/>
      <c r="J42" s="282"/>
    </row>
    <row r="43" spans="1:10" ht="12.75">
      <c r="A43" s="90">
        <v>39496</v>
      </c>
      <c r="B43" s="307">
        <f t="shared" si="2"/>
        <v>5</v>
      </c>
      <c r="C43" s="41">
        <v>272203128</v>
      </c>
      <c r="D43" s="41"/>
      <c r="E43" s="319"/>
      <c r="F43" s="41"/>
      <c r="G43" s="41"/>
      <c r="H43" s="281"/>
      <c r="I43" s="281"/>
      <c r="J43" s="282"/>
    </row>
    <row r="44" spans="1:10" ht="12.75">
      <c r="A44" s="90">
        <v>39497</v>
      </c>
      <c r="B44" s="307">
        <f t="shared" si="2"/>
        <v>1</v>
      </c>
      <c r="C44" s="41">
        <v>276029183</v>
      </c>
      <c r="D44" s="41"/>
      <c r="E44" s="319"/>
      <c r="F44" s="41"/>
      <c r="G44" s="41"/>
      <c r="H44" s="281"/>
      <c r="I44" s="281"/>
      <c r="J44" s="282"/>
    </row>
    <row r="45" spans="1:10" ht="12.75">
      <c r="A45" s="90">
        <v>39498</v>
      </c>
      <c r="B45" s="307">
        <f t="shared" si="2"/>
        <v>1</v>
      </c>
      <c r="C45" s="41">
        <v>281203832</v>
      </c>
      <c r="D45" s="41"/>
      <c r="E45" s="319"/>
      <c r="F45" s="41"/>
      <c r="G45" s="41"/>
      <c r="H45" s="281"/>
      <c r="I45" s="281"/>
      <c r="J45" s="282"/>
    </row>
    <row r="46" spans="1:10" ht="12.75">
      <c r="A46" s="90">
        <v>39500</v>
      </c>
      <c r="B46" s="307">
        <f t="shared" si="2"/>
        <v>2</v>
      </c>
      <c r="C46" s="41">
        <v>283675863</v>
      </c>
      <c r="D46" s="41"/>
      <c r="E46" s="319"/>
      <c r="F46" s="41"/>
      <c r="G46" s="41"/>
      <c r="H46" s="281"/>
      <c r="I46" s="281"/>
      <c r="J46" s="282"/>
    </row>
    <row r="47" spans="1:10" ht="12.75">
      <c r="A47" s="90">
        <v>39505</v>
      </c>
      <c r="B47" s="307">
        <f t="shared" si="2"/>
        <v>5</v>
      </c>
      <c r="C47" s="41">
        <v>289658636</v>
      </c>
      <c r="D47" s="41"/>
      <c r="E47" s="319"/>
      <c r="F47" s="41"/>
      <c r="G47" s="41"/>
      <c r="H47" s="281"/>
      <c r="I47" s="281"/>
      <c r="J47" s="282"/>
    </row>
    <row r="48" spans="1:10" ht="12.75">
      <c r="A48" s="90">
        <v>39507</v>
      </c>
      <c r="B48" s="307">
        <f t="shared" si="2"/>
        <v>2</v>
      </c>
      <c r="C48" s="41">
        <v>291275491</v>
      </c>
      <c r="D48" s="41"/>
      <c r="E48" s="319"/>
      <c r="F48" s="41"/>
      <c r="G48" s="41"/>
      <c r="H48" s="281"/>
      <c r="I48" s="281"/>
      <c r="J48" s="282"/>
    </row>
    <row r="49" spans="1:10" ht="12.75">
      <c r="A49" s="90">
        <v>39511</v>
      </c>
      <c r="B49" s="307">
        <f t="shared" si="2"/>
        <v>4</v>
      </c>
      <c r="C49" s="41">
        <v>305866038</v>
      </c>
      <c r="D49" s="41"/>
      <c r="E49" s="319"/>
      <c r="F49" s="41"/>
      <c r="G49" s="41"/>
      <c r="H49" s="281"/>
      <c r="I49" s="281"/>
      <c r="J49" s="282"/>
    </row>
    <row r="50" spans="1:10" ht="12.75">
      <c r="A50" s="90">
        <v>39512</v>
      </c>
      <c r="B50" s="307">
        <f aca="true" t="shared" si="3" ref="B50:B60">A50-A49</f>
        <v>1</v>
      </c>
      <c r="C50" s="41">
        <v>306818362</v>
      </c>
      <c r="D50" s="41"/>
      <c r="E50" s="319"/>
      <c r="F50" s="41"/>
      <c r="G50" s="41"/>
      <c r="H50" s="281"/>
      <c r="I50" s="281"/>
      <c r="J50" s="282"/>
    </row>
    <row r="51" spans="1:10" ht="12.75">
      <c r="A51" s="90">
        <v>39517</v>
      </c>
      <c r="B51" s="307">
        <f t="shared" si="3"/>
        <v>5</v>
      </c>
      <c r="C51" s="41">
        <v>317071379</v>
      </c>
      <c r="D51" s="41"/>
      <c r="E51" s="319"/>
      <c r="F51" s="41"/>
      <c r="G51" s="41"/>
      <c r="H51" s="281"/>
      <c r="I51" s="281"/>
      <c r="J51" s="282"/>
    </row>
    <row r="52" spans="1:10" ht="12.75">
      <c r="A52" s="90">
        <v>39520</v>
      </c>
      <c r="B52" s="307">
        <f t="shared" si="3"/>
        <v>3</v>
      </c>
      <c r="C52" s="41">
        <v>322830269</v>
      </c>
      <c r="D52" s="41"/>
      <c r="E52" s="319"/>
      <c r="F52" s="41"/>
      <c r="G52" s="41"/>
      <c r="H52" s="281"/>
      <c r="I52" s="281"/>
      <c r="J52" s="282"/>
    </row>
    <row r="53" spans="1:10" ht="12.75">
      <c r="A53" s="90">
        <v>39526</v>
      </c>
      <c r="B53" s="307">
        <f t="shared" si="3"/>
        <v>6</v>
      </c>
      <c r="C53" s="41">
        <v>324922862</v>
      </c>
      <c r="D53" s="41"/>
      <c r="E53" s="319"/>
      <c r="F53" s="41"/>
      <c r="G53" s="41"/>
      <c r="H53" s="281"/>
      <c r="I53" s="281"/>
      <c r="J53" s="282"/>
    </row>
    <row r="54" spans="1:10" s="56" customFormat="1" ht="12.75">
      <c r="A54" s="90">
        <v>39538</v>
      </c>
      <c r="B54" s="307">
        <f t="shared" si="3"/>
        <v>12</v>
      </c>
      <c r="C54" s="41">
        <v>340037401</v>
      </c>
      <c r="D54" s="41"/>
      <c r="E54" s="319">
        <v>0.05702</v>
      </c>
      <c r="F54" s="41">
        <v>4142027</v>
      </c>
      <c r="G54" s="41">
        <f>G35</f>
        <v>164970</v>
      </c>
      <c r="H54" s="91"/>
      <c r="I54" s="91"/>
      <c r="J54" s="231"/>
    </row>
    <row r="55" spans="1:10" s="56" customFormat="1" ht="12.75">
      <c r="A55" s="90">
        <v>39540</v>
      </c>
      <c r="B55" s="307">
        <f t="shared" si="3"/>
        <v>2</v>
      </c>
      <c r="C55" s="41">
        <v>344026111</v>
      </c>
      <c r="D55" s="41"/>
      <c r="E55" s="319"/>
      <c r="F55" s="41"/>
      <c r="G55" s="41"/>
      <c r="H55" s="91"/>
      <c r="I55" s="91"/>
      <c r="J55" s="231"/>
    </row>
    <row r="56" spans="1:10" s="56" customFormat="1" ht="12.75">
      <c r="A56" s="90">
        <v>39542</v>
      </c>
      <c r="B56" s="307">
        <f t="shared" si="3"/>
        <v>2</v>
      </c>
      <c r="C56" s="41">
        <v>350964076</v>
      </c>
      <c r="D56" s="41"/>
      <c r="E56" s="319"/>
      <c r="F56" s="41"/>
      <c r="G56" s="41"/>
      <c r="H56" s="91"/>
      <c r="I56" s="91"/>
      <c r="J56" s="231"/>
    </row>
    <row r="57" spans="1:10" s="56" customFormat="1" ht="12.75">
      <c r="A57" s="90">
        <v>39547</v>
      </c>
      <c r="B57" s="307">
        <f t="shared" si="3"/>
        <v>5</v>
      </c>
      <c r="C57" s="41">
        <v>359782989</v>
      </c>
      <c r="D57" s="41"/>
      <c r="E57" s="319"/>
      <c r="F57" s="41"/>
      <c r="G57" s="41"/>
      <c r="H57" s="91"/>
      <c r="I57" s="91"/>
      <c r="J57" s="231"/>
    </row>
    <row r="58" spans="1:10" s="56" customFormat="1" ht="12.75">
      <c r="A58" s="90">
        <v>39559</v>
      </c>
      <c r="B58" s="307">
        <f t="shared" si="3"/>
        <v>12</v>
      </c>
      <c r="C58" s="41">
        <v>361462989</v>
      </c>
      <c r="D58" s="41"/>
      <c r="E58" s="319"/>
      <c r="F58" s="41"/>
      <c r="G58" s="41"/>
      <c r="H58" s="91"/>
      <c r="I58" s="91"/>
      <c r="J58" s="231"/>
    </row>
    <row r="59" spans="1:10" s="56" customFormat="1" ht="12.75">
      <c r="A59" s="90">
        <v>39562</v>
      </c>
      <c r="B59" s="307">
        <f t="shared" si="3"/>
        <v>3</v>
      </c>
      <c r="C59" s="41">
        <v>381121520</v>
      </c>
      <c r="D59" s="41"/>
      <c r="E59" s="319"/>
      <c r="F59" s="41"/>
      <c r="G59" s="41"/>
      <c r="H59" s="91"/>
      <c r="I59" s="91"/>
      <c r="J59" s="231"/>
    </row>
    <row r="60" spans="1:10" s="56" customFormat="1" ht="12.75">
      <c r="A60" s="90">
        <v>39563</v>
      </c>
      <c r="B60" s="307">
        <f t="shared" si="3"/>
        <v>1</v>
      </c>
      <c r="C60" s="41">
        <v>382112537</v>
      </c>
      <c r="D60" s="41"/>
      <c r="E60" s="319"/>
      <c r="F60" s="41"/>
      <c r="G60" s="41"/>
      <c r="H60" s="91"/>
      <c r="I60" s="91"/>
      <c r="J60" s="231"/>
    </row>
    <row r="61" spans="1:10" s="56" customFormat="1" ht="12.75">
      <c r="A61" s="90">
        <v>39566</v>
      </c>
      <c r="B61" s="307">
        <f aca="true" t="shared" si="4" ref="B61:B82">A61-A60</f>
        <v>3</v>
      </c>
      <c r="C61" s="41">
        <v>388010869</v>
      </c>
      <c r="D61" s="41"/>
      <c r="E61" s="319"/>
      <c r="F61" s="41"/>
      <c r="G61" s="41"/>
      <c r="H61" s="91"/>
      <c r="I61" s="91"/>
      <c r="J61" s="231"/>
    </row>
    <row r="62" spans="1:10" s="56" customFormat="1" ht="12.75">
      <c r="A62" s="90">
        <v>39574</v>
      </c>
      <c r="B62" s="307">
        <f t="shared" si="4"/>
        <v>8</v>
      </c>
      <c r="C62" s="41">
        <v>393571021</v>
      </c>
      <c r="D62" s="41"/>
      <c r="E62" s="319"/>
      <c r="F62" s="41"/>
      <c r="G62" s="41"/>
      <c r="H62" s="91"/>
      <c r="I62" s="91"/>
      <c r="J62" s="231"/>
    </row>
    <row r="63" spans="1:10" s="56" customFormat="1" ht="12.75">
      <c r="A63" s="90">
        <v>39587</v>
      </c>
      <c r="B63" s="307">
        <f t="shared" si="4"/>
        <v>13</v>
      </c>
      <c r="C63" s="41">
        <v>405765013</v>
      </c>
      <c r="D63" s="41"/>
      <c r="E63" s="319"/>
      <c r="F63" s="41"/>
      <c r="G63" s="41"/>
      <c r="H63" s="91"/>
      <c r="I63" s="91"/>
      <c r="J63" s="231"/>
    </row>
    <row r="64" spans="1:10" s="56" customFormat="1" ht="12.75">
      <c r="A64" s="90">
        <v>39588</v>
      </c>
      <c r="B64" s="307">
        <f t="shared" si="4"/>
        <v>1</v>
      </c>
      <c r="C64" s="41">
        <v>408770289</v>
      </c>
      <c r="D64" s="41"/>
      <c r="E64" s="319"/>
      <c r="F64" s="41"/>
      <c r="G64" s="41"/>
      <c r="H64" s="91"/>
      <c r="I64" s="91"/>
      <c r="J64" s="231"/>
    </row>
    <row r="65" spans="1:10" s="56" customFormat="1" ht="12.75">
      <c r="A65" s="90">
        <v>39596</v>
      </c>
      <c r="B65" s="307">
        <f t="shared" si="4"/>
        <v>8</v>
      </c>
      <c r="C65" s="41">
        <v>412426275</v>
      </c>
      <c r="D65" s="41"/>
      <c r="E65" s="319"/>
      <c r="F65" s="41"/>
      <c r="G65" s="41"/>
      <c r="H65" s="91"/>
      <c r="I65" s="91"/>
      <c r="J65" s="231"/>
    </row>
    <row r="66" spans="1:10" s="56" customFormat="1" ht="12.75">
      <c r="A66" s="90">
        <v>39602</v>
      </c>
      <c r="B66" s="307">
        <f t="shared" si="4"/>
        <v>6</v>
      </c>
      <c r="C66" s="41">
        <v>421231250</v>
      </c>
      <c r="D66" s="41"/>
      <c r="E66" s="319"/>
      <c r="F66" s="41"/>
      <c r="G66" s="41"/>
      <c r="H66" s="91"/>
      <c r="I66" s="91"/>
      <c r="J66" s="231"/>
    </row>
    <row r="67" spans="1:10" s="56" customFormat="1" ht="12.75">
      <c r="A67" s="90">
        <v>39603</v>
      </c>
      <c r="B67" s="307">
        <f t="shared" si="4"/>
        <v>1</v>
      </c>
      <c r="C67" s="41">
        <v>429681658</v>
      </c>
      <c r="D67" s="41"/>
      <c r="E67" s="319"/>
      <c r="F67" s="41"/>
      <c r="G67" s="41"/>
      <c r="H67" s="91"/>
      <c r="I67" s="91"/>
      <c r="J67" s="231"/>
    </row>
    <row r="68" spans="1:10" s="56" customFormat="1" ht="12.75">
      <c r="A68" s="90">
        <v>39608</v>
      </c>
      <c r="B68" s="307">
        <f t="shared" si="4"/>
        <v>5</v>
      </c>
      <c r="C68" s="41">
        <v>434220794</v>
      </c>
      <c r="D68" s="41"/>
      <c r="E68" s="319"/>
      <c r="F68" s="41"/>
      <c r="G68" s="41"/>
      <c r="H68" s="91"/>
      <c r="I68" s="91"/>
      <c r="J68" s="231"/>
    </row>
    <row r="69" spans="1:10" s="56" customFormat="1" ht="12.75">
      <c r="A69" s="90">
        <v>39611</v>
      </c>
      <c r="B69" s="307">
        <f t="shared" si="4"/>
        <v>3</v>
      </c>
      <c r="C69" s="41">
        <v>437242664</v>
      </c>
      <c r="D69" s="41"/>
      <c r="E69" s="319"/>
      <c r="F69" s="41"/>
      <c r="G69" s="41"/>
      <c r="H69" s="91"/>
      <c r="I69" s="91"/>
      <c r="J69" s="231"/>
    </row>
    <row r="70" spans="1:10" s="56" customFormat="1" ht="12.75">
      <c r="A70" s="90">
        <v>39615</v>
      </c>
      <c r="B70" s="307">
        <f t="shared" si="4"/>
        <v>4</v>
      </c>
      <c r="C70" s="41">
        <v>439275988</v>
      </c>
      <c r="D70" s="41"/>
      <c r="E70" s="319"/>
      <c r="F70" s="41"/>
      <c r="G70" s="41"/>
      <c r="H70" s="91"/>
      <c r="I70" s="91"/>
      <c r="J70" s="231"/>
    </row>
    <row r="71" spans="1:10" s="56" customFormat="1" ht="12.75">
      <c r="A71" s="90">
        <v>39624</v>
      </c>
      <c r="B71" s="307">
        <f t="shared" si="4"/>
        <v>9</v>
      </c>
      <c r="C71" s="41">
        <v>449069324</v>
      </c>
      <c r="D71" s="41"/>
      <c r="E71" s="319"/>
      <c r="F71" s="41"/>
      <c r="G71" s="41"/>
      <c r="H71" s="91"/>
      <c r="I71" s="91"/>
      <c r="J71" s="231"/>
    </row>
    <row r="72" spans="1:10" s="56" customFormat="1" ht="12.75">
      <c r="A72" s="90">
        <v>39629</v>
      </c>
      <c r="B72" s="307">
        <f t="shared" si="4"/>
        <v>5</v>
      </c>
      <c r="C72" s="41">
        <f>C70-D72</f>
        <v>439275988</v>
      </c>
      <c r="D72" s="41"/>
      <c r="E72" s="319">
        <v>0.05668</v>
      </c>
      <c r="F72" s="41">
        <v>5706626</v>
      </c>
      <c r="G72" s="41">
        <f>G54</f>
        <v>164970</v>
      </c>
      <c r="H72" s="91"/>
      <c r="I72" s="91"/>
      <c r="J72" s="231"/>
    </row>
    <row r="73" spans="1:10" s="56" customFormat="1" ht="12.75">
      <c r="A73" s="90">
        <v>39632</v>
      </c>
      <c r="B73" s="307">
        <f t="shared" si="4"/>
        <v>3</v>
      </c>
      <c r="C73" s="41">
        <v>451637711</v>
      </c>
      <c r="D73" s="41"/>
      <c r="E73" s="319"/>
      <c r="F73" s="41"/>
      <c r="G73" s="41"/>
      <c r="H73" s="91"/>
      <c r="I73" s="91"/>
      <c r="J73" s="231"/>
    </row>
    <row r="74" spans="1:10" s="56" customFormat="1" ht="12.75">
      <c r="A74" s="90">
        <v>39638</v>
      </c>
      <c r="B74" s="307">
        <f t="shared" si="4"/>
        <v>6</v>
      </c>
      <c r="C74" s="41">
        <v>452854629</v>
      </c>
      <c r="D74" s="41"/>
      <c r="E74" s="319"/>
      <c r="F74" s="41"/>
      <c r="G74" s="41"/>
      <c r="H74" s="91"/>
      <c r="I74" s="91"/>
      <c r="J74" s="231"/>
    </row>
    <row r="75" spans="1:10" s="56" customFormat="1" ht="12.75">
      <c r="A75" s="90">
        <v>39650</v>
      </c>
      <c r="B75" s="307">
        <f t="shared" si="4"/>
        <v>12</v>
      </c>
      <c r="C75" s="41">
        <v>455092306</v>
      </c>
      <c r="D75" s="41"/>
      <c r="E75" s="319"/>
      <c r="F75" s="41"/>
      <c r="G75" s="41"/>
      <c r="H75" s="91"/>
      <c r="I75" s="91"/>
      <c r="J75" s="231"/>
    </row>
    <row r="76" spans="1:10" s="56" customFormat="1" ht="12.75">
      <c r="A76" s="90">
        <v>39665</v>
      </c>
      <c r="B76" s="307">
        <f t="shared" si="4"/>
        <v>15</v>
      </c>
      <c r="C76" s="41">
        <v>460303851</v>
      </c>
      <c r="D76" s="41"/>
      <c r="E76" s="319"/>
      <c r="F76" s="41"/>
      <c r="G76" s="41"/>
      <c r="H76" s="91"/>
      <c r="I76" s="91"/>
      <c r="J76" s="231"/>
    </row>
    <row r="77" spans="1:10" s="56" customFormat="1" ht="12.75">
      <c r="A77" s="90">
        <v>39666</v>
      </c>
      <c r="B77" s="307">
        <f t="shared" si="4"/>
        <v>1</v>
      </c>
      <c r="C77" s="41">
        <v>462792238</v>
      </c>
      <c r="D77" s="41"/>
      <c r="E77" s="319"/>
      <c r="F77" s="41"/>
      <c r="G77" s="41"/>
      <c r="H77" s="91"/>
      <c r="I77" s="91"/>
      <c r="J77" s="231"/>
    </row>
    <row r="78" spans="1:10" s="56" customFormat="1" ht="12.75">
      <c r="A78" s="90">
        <v>39715</v>
      </c>
      <c r="B78" s="307">
        <f>A78-A77</f>
        <v>49</v>
      </c>
      <c r="C78" s="529">
        <v>468148904</v>
      </c>
      <c r="D78" s="41"/>
      <c r="E78" s="319"/>
      <c r="F78" s="41"/>
      <c r="G78" s="41"/>
      <c r="H78" s="91"/>
      <c r="I78" s="91"/>
      <c r="J78" s="231"/>
    </row>
    <row r="79" spans="1:10" s="56" customFormat="1" ht="12.75">
      <c r="A79" s="90">
        <v>39721</v>
      </c>
      <c r="B79" s="307">
        <f t="shared" si="4"/>
        <v>6</v>
      </c>
      <c r="C79" s="41">
        <f>C78-D79</f>
        <v>468148904</v>
      </c>
      <c r="D79" s="41"/>
      <c r="E79" s="319">
        <v>0.05884</v>
      </c>
      <c r="F79" s="41">
        <v>6905071</v>
      </c>
      <c r="G79" s="41">
        <f>G72</f>
        <v>164970</v>
      </c>
      <c r="H79" s="91"/>
      <c r="I79" s="91"/>
      <c r="J79" s="231"/>
    </row>
    <row r="80" spans="1:10" s="56" customFormat="1" ht="12.75">
      <c r="A80" s="243">
        <v>39728</v>
      </c>
      <c r="B80" s="307">
        <f t="shared" si="4"/>
        <v>7</v>
      </c>
      <c r="C80" s="107">
        <v>479491096</v>
      </c>
      <c r="D80" s="107"/>
      <c r="E80" s="420"/>
      <c r="F80" s="107"/>
      <c r="G80" s="107"/>
      <c r="H80" s="108"/>
      <c r="I80" s="108"/>
      <c r="J80" s="251"/>
    </row>
    <row r="81" spans="1:10" s="56" customFormat="1" ht="12.75">
      <c r="A81" s="528">
        <v>39783</v>
      </c>
      <c r="B81" s="307">
        <f t="shared" si="4"/>
        <v>55</v>
      </c>
      <c r="C81" s="245">
        <v>494917000</v>
      </c>
      <c r="D81" s="107"/>
      <c r="E81" s="420"/>
      <c r="F81" s="107"/>
      <c r="G81" s="107"/>
      <c r="H81" s="108"/>
      <c r="I81" s="108"/>
      <c r="J81" s="251"/>
    </row>
    <row r="82" spans="1:10" s="56" customFormat="1" ht="12.75">
      <c r="A82" s="97">
        <v>39812</v>
      </c>
      <c r="B82" s="307">
        <f t="shared" si="4"/>
        <v>29</v>
      </c>
      <c r="C82" s="99">
        <f>C81-D82</f>
        <v>494917000</v>
      </c>
      <c r="D82" s="99"/>
      <c r="E82" s="320">
        <v>0.06174</v>
      </c>
      <c r="F82" s="99">
        <f>((C79+D79)*E82/360*B80)+((C80+D80)*E82/360*B81)+((C82+D82)*E82/360*B82)</f>
        <v>7546282.221772</v>
      </c>
      <c r="G82" s="99">
        <f>G79</f>
        <v>164970</v>
      </c>
      <c r="H82" s="300">
        <f>SUM(F54:G82)</f>
        <v>24959886.221772</v>
      </c>
      <c r="I82" s="300">
        <f>SUM(D54:D82)</f>
        <v>0</v>
      </c>
      <c r="J82" s="301">
        <f>SUM(H82:I82)</f>
        <v>24959886.221772</v>
      </c>
    </row>
    <row r="83" spans="1:10" s="56" customFormat="1" ht="12.75">
      <c r="A83" s="84">
        <v>39903</v>
      </c>
      <c r="B83" s="349">
        <f>A83-A82</f>
        <v>91</v>
      </c>
      <c r="C83" s="86">
        <f>C82-D83</f>
        <v>494917000</v>
      </c>
      <c r="D83" s="42"/>
      <c r="E83" s="318">
        <f>E82</f>
        <v>0.06174</v>
      </c>
      <c r="F83" s="42">
        <f>((C83+D83)*E83/360*B83)</f>
        <v>7723922.160500001</v>
      </c>
      <c r="G83" s="42">
        <f>G82</f>
        <v>164970</v>
      </c>
      <c r="H83" s="104"/>
      <c r="I83" s="104"/>
      <c r="J83" s="242"/>
    </row>
    <row r="84" spans="1:10" s="56" customFormat="1" ht="12.75">
      <c r="A84" s="90">
        <v>39994</v>
      </c>
      <c r="B84" s="307">
        <f aca="true" t="shared" si="5" ref="B84:B95">A84-A83</f>
        <v>91</v>
      </c>
      <c r="C84" s="41">
        <f aca="true" t="shared" si="6" ref="C84:C95">C83-D84</f>
        <v>494917000</v>
      </c>
      <c r="D84" s="41"/>
      <c r="E84" s="319">
        <f>E83</f>
        <v>0.06174</v>
      </c>
      <c r="F84" s="41">
        <f>((C84+D84)*E84/360*B84)</f>
        <v>7723922.160500001</v>
      </c>
      <c r="G84" s="41">
        <f>G83</f>
        <v>164970</v>
      </c>
      <c r="H84" s="91"/>
      <c r="I84" s="91"/>
      <c r="J84" s="231"/>
    </row>
    <row r="85" spans="1:10" s="56" customFormat="1" ht="12.75">
      <c r="A85" s="90">
        <v>40086</v>
      </c>
      <c r="B85" s="307">
        <f t="shared" si="5"/>
        <v>92</v>
      </c>
      <c r="C85" s="41">
        <f t="shared" si="6"/>
        <v>494917000</v>
      </c>
      <c r="D85" s="41"/>
      <c r="E85" s="319">
        <f>E84</f>
        <v>0.06174</v>
      </c>
      <c r="F85" s="41">
        <f>((C85+D85)*E85/360*B85)</f>
        <v>7808800.426000001</v>
      </c>
      <c r="G85" s="41">
        <f>G84</f>
        <v>164970</v>
      </c>
      <c r="H85" s="91"/>
      <c r="I85" s="91"/>
      <c r="J85" s="231"/>
    </row>
    <row r="86" spans="1:10" s="56" customFormat="1" ht="12.75">
      <c r="A86" s="90">
        <v>40152</v>
      </c>
      <c r="B86" s="307">
        <f t="shared" si="5"/>
        <v>66</v>
      </c>
      <c r="C86" s="41">
        <f t="shared" si="6"/>
        <v>484800000</v>
      </c>
      <c r="D86" s="41">
        <v>10117000</v>
      </c>
      <c r="E86" s="319"/>
      <c r="F86" s="41"/>
      <c r="G86" s="41"/>
      <c r="H86" s="91"/>
      <c r="I86" s="91"/>
      <c r="J86" s="231"/>
    </row>
    <row r="87" spans="1:10" s="56" customFormat="1" ht="12.75">
      <c r="A87" s="97">
        <v>40177</v>
      </c>
      <c r="B87" s="308">
        <f t="shared" si="5"/>
        <v>25</v>
      </c>
      <c r="C87" s="99">
        <f t="shared" si="6"/>
        <v>484800000</v>
      </c>
      <c r="D87" s="99"/>
      <c r="E87" s="320">
        <f>E85</f>
        <v>0.06174</v>
      </c>
      <c r="F87" s="99">
        <f>((C86+D86)*E87/360*B86)+((C87+D87)*E87/360*B87)</f>
        <v>7680545.523000001</v>
      </c>
      <c r="G87" s="99">
        <f>G85</f>
        <v>164970</v>
      </c>
      <c r="H87" s="300">
        <f>SUM(F83:G87)</f>
        <v>31597070.270000003</v>
      </c>
      <c r="I87" s="300">
        <f>SUM(D83:D87)</f>
        <v>10117000</v>
      </c>
      <c r="J87" s="301">
        <f>SUM(H87:I87)</f>
        <v>41714070.27</v>
      </c>
    </row>
    <row r="88" spans="1:10" s="56" customFormat="1" ht="12.75">
      <c r="A88" s="103">
        <v>40242</v>
      </c>
      <c r="B88" s="306">
        <f t="shared" si="5"/>
        <v>65</v>
      </c>
      <c r="C88" s="42">
        <f t="shared" si="6"/>
        <v>474700000</v>
      </c>
      <c r="D88" s="42">
        <v>10100000</v>
      </c>
      <c r="E88" s="318"/>
      <c r="F88" s="42"/>
      <c r="G88" s="42"/>
      <c r="H88" s="330"/>
      <c r="I88" s="330"/>
      <c r="J88" s="331"/>
    </row>
    <row r="89" spans="1:10" s="56" customFormat="1" ht="12.75">
      <c r="A89" s="90">
        <v>40268</v>
      </c>
      <c r="B89" s="307">
        <f t="shared" si="5"/>
        <v>26</v>
      </c>
      <c r="C89" s="41">
        <f t="shared" si="6"/>
        <v>474700000</v>
      </c>
      <c r="D89" s="41"/>
      <c r="E89" s="319">
        <f>E87</f>
        <v>0.06174</v>
      </c>
      <c r="F89" s="41">
        <f>((C88+D88)*E89/360*B88)+((C89+D89)*E89/360*B89)</f>
        <v>7520995.300000001</v>
      </c>
      <c r="G89" s="41">
        <f>G87</f>
        <v>164970</v>
      </c>
      <c r="H89" s="91"/>
      <c r="I89" s="91"/>
      <c r="J89" s="231"/>
    </row>
    <row r="90" spans="1:10" s="56" customFormat="1" ht="12.75">
      <c r="A90" s="90">
        <v>40334</v>
      </c>
      <c r="B90" s="307">
        <f t="shared" si="5"/>
        <v>66</v>
      </c>
      <c r="C90" s="41">
        <f t="shared" si="6"/>
        <v>464600000</v>
      </c>
      <c r="D90" s="41">
        <f>D88</f>
        <v>10100000</v>
      </c>
      <c r="E90" s="319"/>
      <c r="F90" s="41"/>
      <c r="G90" s="41"/>
      <c r="H90" s="91"/>
      <c r="I90" s="91"/>
      <c r="J90" s="231"/>
    </row>
    <row r="91" spans="1:10" s="56" customFormat="1" ht="12.75">
      <c r="A91" s="90">
        <v>40359</v>
      </c>
      <c r="B91" s="307">
        <f t="shared" si="5"/>
        <v>25</v>
      </c>
      <c r="C91" s="41">
        <f t="shared" si="6"/>
        <v>464600000</v>
      </c>
      <c r="D91" s="41"/>
      <c r="E91" s="319">
        <f>E89</f>
        <v>0.06174</v>
      </c>
      <c r="F91" s="41">
        <f>((C90+D90)*E91/360*B90)+((C91+D91)*E91/360*B91)</f>
        <v>7365101.8</v>
      </c>
      <c r="G91" s="41">
        <f>G89</f>
        <v>164970</v>
      </c>
      <c r="H91" s="91"/>
      <c r="I91" s="91"/>
      <c r="J91" s="231"/>
    </row>
    <row r="92" spans="1:10" s="56" customFormat="1" ht="12.75">
      <c r="A92" s="90">
        <v>40426</v>
      </c>
      <c r="B92" s="307">
        <f t="shared" si="5"/>
        <v>67</v>
      </c>
      <c r="C92" s="41">
        <f t="shared" si="6"/>
        <v>454500000</v>
      </c>
      <c r="D92" s="41">
        <f>D90</f>
        <v>10100000</v>
      </c>
      <c r="E92" s="319"/>
      <c r="F92" s="41"/>
      <c r="G92" s="41"/>
      <c r="H92" s="91"/>
      <c r="I92" s="91"/>
      <c r="J92" s="231"/>
    </row>
    <row r="93" spans="1:10" s="56" customFormat="1" ht="12.75">
      <c r="A93" s="90">
        <v>40451</v>
      </c>
      <c r="B93" s="307">
        <f t="shared" si="5"/>
        <v>25</v>
      </c>
      <c r="C93" s="41">
        <f t="shared" si="6"/>
        <v>454500000</v>
      </c>
      <c r="D93" s="41"/>
      <c r="E93" s="319">
        <f>E91</f>
        <v>0.06174</v>
      </c>
      <c r="F93" s="41">
        <f>((C92+D92)*E93/360*B92)+((C93+D93)*E93/360*B93)</f>
        <v>7287155.05</v>
      </c>
      <c r="G93" s="41">
        <f>G91</f>
        <v>164970</v>
      </c>
      <c r="H93" s="91"/>
      <c r="I93" s="91"/>
      <c r="J93" s="231"/>
    </row>
    <row r="94" spans="1:10" s="56" customFormat="1" ht="12.75">
      <c r="A94" s="90">
        <v>40517</v>
      </c>
      <c r="B94" s="307">
        <f t="shared" si="5"/>
        <v>66</v>
      </c>
      <c r="C94" s="41">
        <f t="shared" si="6"/>
        <v>444400000</v>
      </c>
      <c r="D94" s="41">
        <f>D92</f>
        <v>10100000</v>
      </c>
      <c r="E94" s="319"/>
      <c r="F94" s="41"/>
      <c r="G94" s="41"/>
      <c r="H94" s="91"/>
      <c r="I94" s="91"/>
      <c r="J94" s="231"/>
    </row>
    <row r="95" spans="1:10" s="56" customFormat="1" ht="12.75">
      <c r="A95" s="97">
        <v>40542</v>
      </c>
      <c r="B95" s="308">
        <f t="shared" si="5"/>
        <v>25</v>
      </c>
      <c r="C95" s="99">
        <f t="shared" si="6"/>
        <v>444400000</v>
      </c>
      <c r="D95" s="99"/>
      <c r="E95" s="320">
        <f>E93</f>
        <v>0.06174</v>
      </c>
      <c r="F95" s="99">
        <f>((C94+D94)*E95/360*B94)+((C95+D95)*E95/360*B95)</f>
        <v>7049850.5</v>
      </c>
      <c r="G95" s="99">
        <f>G93</f>
        <v>164970</v>
      </c>
      <c r="H95" s="300">
        <f>SUM(F89:G95)</f>
        <v>29882982.650000002</v>
      </c>
      <c r="I95" s="300">
        <f>SUM(D88:D95)</f>
        <v>40400000</v>
      </c>
      <c r="J95" s="301">
        <f>SUM(H95:I95)</f>
        <v>70282982.65</v>
      </c>
    </row>
    <row r="96" spans="1:10" s="56" customFormat="1" ht="12.75">
      <c r="A96" s="103">
        <v>40607</v>
      </c>
      <c r="B96" s="306">
        <f aca="true" t="shared" si="7" ref="B96:B159">A96-A95</f>
        <v>65</v>
      </c>
      <c r="C96" s="42">
        <f aca="true" t="shared" si="8" ref="C96:C159">C95-D96</f>
        <v>434300000</v>
      </c>
      <c r="D96" s="42">
        <v>10100000</v>
      </c>
      <c r="E96" s="318"/>
      <c r="F96" s="42"/>
      <c r="G96" s="42"/>
      <c r="H96" s="330"/>
      <c r="I96" s="330"/>
      <c r="J96" s="331"/>
    </row>
    <row r="97" spans="1:10" s="56" customFormat="1" ht="12.75">
      <c r="A97" s="90">
        <v>40633</v>
      </c>
      <c r="B97" s="307">
        <f t="shared" si="7"/>
        <v>26</v>
      </c>
      <c r="C97" s="41">
        <f t="shared" si="8"/>
        <v>434300000</v>
      </c>
      <c r="D97" s="41"/>
      <c r="E97" s="319">
        <f>E95</f>
        <v>0.06174</v>
      </c>
      <c r="F97" s="41">
        <f>((C96+D96)*E97/360*B96)+((C97+D97)*E97/360*B97)</f>
        <v>6890492.7</v>
      </c>
      <c r="G97" s="41">
        <f>G95</f>
        <v>164970</v>
      </c>
      <c r="H97" s="91"/>
      <c r="I97" s="91"/>
      <c r="J97" s="231"/>
    </row>
    <row r="98" spans="1:10" s="56" customFormat="1" ht="12.75">
      <c r="A98" s="90">
        <v>40699</v>
      </c>
      <c r="B98" s="307">
        <f t="shared" si="7"/>
        <v>66</v>
      </c>
      <c r="C98" s="41">
        <f t="shared" si="8"/>
        <v>424200000</v>
      </c>
      <c r="D98" s="41">
        <f>D96</f>
        <v>10100000</v>
      </c>
      <c r="E98" s="319"/>
      <c r="F98" s="41"/>
      <c r="G98" s="41"/>
      <c r="H98" s="91"/>
      <c r="I98" s="91"/>
      <c r="J98" s="231"/>
    </row>
    <row r="99" spans="1:10" s="56" customFormat="1" ht="12.75">
      <c r="A99" s="90">
        <v>40724</v>
      </c>
      <c r="B99" s="307">
        <f t="shared" si="7"/>
        <v>25</v>
      </c>
      <c r="C99" s="41">
        <f t="shared" si="8"/>
        <v>424200000</v>
      </c>
      <c r="D99" s="41"/>
      <c r="E99" s="319">
        <f>E97</f>
        <v>0.06174</v>
      </c>
      <c r="F99" s="41">
        <f>((C98+D98)*E99/360*B98)+((C99+D99)*E99/360*B99)</f>
        <v>6734599.2</v>
      </c>
      <c r="G99" s="41">
        <f>G97</f>
        <v>164970</v>
      </c>
      <c r="H99" s="91"/>
      <c r="I99" s="91"/>
      <c r="J99" s="231"/>
    </row>
    <row r="100" spans="1:10" s="56" customFormat="1" ht="12.75">
      <c r="A100" s="90">
        <v>40791</v>
      </c>
      <c r="B100" s="307">
        <f t="shared" si="7"/>
        <v>67</v>
      </c>
      <c r="C100" s="41">
        <f t="shared" si="8"/>
        <v>414100000</v>
      </c>
      <c r="D100" s="41">
        <f>D98</f>
        <v>10100000</v>
      </c>
      <c r="E100" s="319"/>
      <c r="F100" s="41"/>
      <c r="G100" s="41"/>
      <c r="H100" s="91"/>
      <c r="I100" s="91"/>
      <c r="J100" s="231"/>
    </row>
    <row r="101" spans="1:10" s="56" customFormat="1" ht="12.75">
      <c r="A101" s="90">
        <v>40816</v>
      </c>
      <c r="B101" s="307">
        <f t="shared" si="7"/>
        <v>25</v>
      </c>
      <c r="C101" s="41">
        <f t="shared" si="8"/>
        <v>414100000</v>
      </c>
      <c r="D101" s="41"/>
      <c r="E101" s="319">
        <f>E99</f>
        <v>0.06174</v>
      </c>
      <c r="F101" s="41">
        <f>((C100+D100)*E101/360*B100)+((C101+D101)*E101/360*B101)</f>
        <v>6649723.850000001</v>
      </c>
      <c r="G101" s="41">
        <f>G99</f>
        <v>164970</v>
      </c>
      <c r="H101" s="91"/>
      <c r="I101" s="91"/>
      <c r="J101" s="231"/>
    </row>
    <row r="102" spans="1:10" s="56" customFormat="1" ht="12.75">
      <c r="A102" s="90">
        <v>40882</v>
      </c>
      <c r="B102" s="307">
        <f t="shared" si="7"/>
        <v>66</v>
      </c>
      <c r="C102" s="41">
        <f t="shared" si="8"/>
        <v>404000000</v>
      </c>
      <c r="D102" s="41">
        <f>D100</f>
        <v>10100000</v>
      </c>
      <c r="E102" s="319"/>
      <c r="F102" s="41"/>
      <c r="G102" s="41"/>
      <c r="H102" s="91"/>
      <c r="I102" s="91"/>
      <c r="J102" s="231"/>
    </row>
    <row r="103" spans="1:10" s="56" customFormat="1" ht="12.75">
      <c r="A103" s="97">
        <v>40907</v>
      </c>
      <c r="B103" s="308">
        <f t="shared" si="7"/>
        <v>25</v>
      </c>
      <c r="C103" s="99">
        <f t="shared" si="8"/>
        <v>404000000</v>
      </c>
      <c r="D103" s="99"/>
      <c r="E103" s="320">
        <f>E101</f>
        <v>0.06174</v>
      </c>
      <c r="F103" s="99">
        <f>((C102+D102)*E103/360*B102)+((C103+D103)*E103/360*B103)</f>
        <v>6419347.899999999</v>
      </c>
      <c r="G103" s="99">
        <f>G101</f>
        <v>164970</v>
      </c>
      <c r="H103" s="300">
        <f>SUM(F97:G103)</f>
        <v>27354043.65</v>
      </c>
      <c r="I103" s="300">
        <f>SUM(D96:D103)</f>
        <v>40400000</v>
      </c>
      <c r="J103" s="301">
        <f>SUM(H103:I103)</f>
        <v>67754043.65</v>
      </c>
    </row>
    <row r="104" spans="1:10" s="56" customFormat="1" ht="12.75">
      <c r="A104" s="103">
        <v>40973</v>
      </c>
      <c r="B104" s="306">
        <f t="shared" si="7"/>
        <v>66</v>
      </c>
      <c r="C104" s="42">
        <f t="shared" si="8"/>
        <v>393900000</v>
      </c>
      <c r="D104" s="42">
        <v>10100000</v>
      </c>
      <c r="E104" s="318"/>
      <c r="F104" s="42"/>
      <c r="G104" s="42"/>
      <c r="H104" s="330"/>
      <c r="I104" s="330"/>
      <c r="J104" s="331"/>
    </row>
    <row r="105" spans="1:10" s="56" customFormat="1" ht="12.75">
      <c r="A105" s="90">
        <v>40999</v>
      </c>
      <c r="B105" s="307">
        <f t="shared" si="7"/>
        <v>26</v>
      </c>
      <c r="C105" s="41">
        <f t="shared" si="8"/>
        <v>393900000</v>
      </c>
      <c r="D105" s="41"/>
      <c r="E105" s="319">
        <f>E103</f>
        <v>0.06174</v>
      </c>
      <c r="F105" s="41">
        <f>((C104+D104)*E105/360*B104)+((C105+D105)*E105/360*B105)</f>
        <v>6329276.1</v>
      </c>
      <c r="G105" s="41">
        <f>G103</f>
        <v>164970</v>
      </c>
      <c r="H105" s="91"/>
      <c r="I105" s="91"/>
      <c r="J105" s="231"/>
    </row>
    <row r="106" spans="1:10" s="56" customFormat="1" ht="12.75">
      <c r="A106" s="90">
        <v>41065</v>
      </c>
      <c r="B106" s="307">
        <f t="shared" si="7"/>
        <v>66</v>
      </c>
      <c r="C106" s="41">
        <f t="shared" si="8"/>
        <v>383800000</v>
      </c>
      <c r="D106" s="41">
        <f>D104</f>
        <v>10100000</v>
      </c>
      <c r="E106" s="319"/>
      <c r="F106" s="41"/>
      <c r="G106" s="41"/>
      <c r="H106" s="91"/>
      <c r="I106" s="91"/>
      <c r="J106" s="231"/>
    </row>
    <row r="107" spans="1:10" s="56" customFormat="1" ht="12.75">
      <c r="A107" s="90">
        <v>41090</v>
      </c>
      <c r="B107" s="307">
        <f t="shared" si="7"/>
        <v>25</v>
      </c>
      <c r="C107" s="41">
        <f t="shared" si="8"/>
        <v>383800000</v>
      </c>
      <c r="D107" s="41"/>
      <c r="E107" s="319">
        <f>E105</f>
        <v>0.06174</v>
      </c>
      <c r="F107" s="41">
        <f>((C106+D106)*E107/360*B106)+((C107+D107)*E107/360*B107)</f>
        <v>6104096.600000001</v>
      </c>
      <c r="G107" s="41">
        <f>G105</f>
        <v>164970</v>
      </c>
      <c r="H107" s="91"/>
      <c r="I107" s="91"/>
      <c r="J107" s="231"/>
    </row>
    <row r="108" spans="1:10" s="56" customFormat="1" ht="12.75">
      <c r="A108" s="90">
        <v>41157</v>
      </c>
      <c r="B108" s="307">
        <f t="shared" si="7"/>
        <v>67</v>
      </c>
      <c r="C108" s="41">
        <f t="shared" si="8"/>
        <v>373700000</v>
      </c>
      <c r="D108" s="41">
        <f>D106</f>
        <v>10100000</v>
      </c>
      <c r="E108" s="319"/>
      <c r="F108" s="41"/>
      <c r="G108" s="41"/>
      <c r="H108" s="91"/>
      <c r="I108" s="91"/>
      <c r="J108" s="231"/>
    </row>
    <row r="109" spans="1:10" s="56" customFormat="1" ht="12.75">
      <c r="A109" s="90">
        <v>41182</v>
      </c>
      <c r="B109" s="307">
        <f t="shared" si="7"/>
        <v>25</v>
      </c>
      <c r="C109" s="41">
        <f t="shared" si="8"/>
        <v>373700000</v>
      </c>
      <c r="D109" s="41"/>
      <c r="E109" s="319">
        <f>E107</f>
        <v>0.06174</v>
      </c>
      <c r="F109" s="41">
        <f>((C108+D108)*E109/360*B108)+((C109+D109)*E109/360*B109)</f>
        <v>6012292.649999999</v>
      </c>
      <c r="G109" s="41">
        <f>G107</f>
        <v>164970</v>
      </c>
      <c r="H109" s="91"/>
      <c r="I109" s="91"/>
      <c r="J109" s="231"/>
    </row>
    <row r="110" spans="1:10" s="56" customFormat="1" ht="12.75">
      <c r="A110" s="90">
        <v>41248</v>
      </c>
      <c r="B110" s="307">
        <f t="shared" si="7"/>
        <v>66</v>
      </c>
      <c r="C110" s="41">
        <f t="shared" si="8"/>
        <v>363600000</v>
      </c>
      <c r="D110" s="41">
        <f>D108</f>
        <v>10100000</v>
      </c>
      <c r="E110" s="319"/>
      <c r="F110" s="41"/>
      <c r="G110" s="41"/>
      <c r="H110" s="91"/>
      <c r="I110" s="91"/>
      <c r="J110" s="231"/>
    </row>
    <row r="111" spans="1:10" s="56" customFormat="1" ht="12.75">
      <c r="A111" s="97">
        <v>41273</v>
      </c>
      <c r="B111" s="308">
        <f t="shared" si="7"/>
        <v>25</v>
      </c>
      <c r="C111" s="99">
        <f t="shared" si="8"/>
        <v>363600000</v>
      </c>
      <c r="D111" s="99"/>
      <c r="E111" s="320">
        <f>E109</f>
        <v>0.06174</v>
      </c>
      <c r="F111" s="99">
        <f>((C110+D110)*E111/360*B110)+((C111+D111)*E111/360*B111)</f>
        <v>5788845.3</v>
      </c>
      <c r="G111" s="99">
        <f>G109</f>
        <v>164970</v>
      </c>
      <c r="H111" s="300">
        <f>SUM(F105:G111)</f>
        <v>24894390.65</v>
      </c>
      <c r="I111" s="300">
        <f>SUM(D104:D111)</f>
        <v>40400000</v>
      </c>
      <c r="J111" s="301">
        <f>SUM(H111:I111)</f>
        <v>65294390.65</v>
      </c>
    </row>
    <row r="112" spans="1:10" s="56" customFormat="1" ht="12.75">
      <c r="A112" s="103">
        <v>41338</v>
      </c>
      <c r="B112" s="306">
        <f t="shared" si="7"/>
        <v>65</v>
      </c>
      <c r="C112" s="42">
        <f t="shared" si="8"/>
        <v>353500000</v>
      </c>
      <c r="D112" s="42">
        <v>10100000</v>
      </c>
      <c r="E112" s="318"/>
      <c r="F112" s="42"/>
      <c r="G112" s="42"/>
      <c r="H112" s="330"/>
      <c r="I112" s="330"/>
      <c r="J112" s="331"/>
    </row>
    <row r="113" spans="1:10" s="56" customFormat="1" ht="12.75">
      <c r="A113" s="90">
        <v>41364</v>
      </c>
      <c r="B113" s="307">
        <f t="shared" si="7"/>
        <v>26</v>
      </c>
      <c r="C113" s="41">
        <f t="shared" si="8"/>
        <v>353500000</v>
      </c>
      <c r="D113" s="41"/>
      <c r="E113" s="319">
        <f>E111</f>
        <v>0.06174</v>
      </c>
      <c r="F113" s="41">
        <f>((C112+D112)*E113/360*B112)+((C113+D113)*E113/360*B113)</f>
        <v>5629487.5</v>
      </c>
      <c r="G113" s="41">
        <f>G111</f>
        <v>164970</v>
      </c>
      <c r="H113" s="91"/>
      <c r="I113" s="91"/>
      <c r="J113" s="231"/>
    </row>
    <row r="114" spans="1:10" s="56" customFormat="1" ht="12.75">
      <c r="A114" s="90">
        <v>41430</v>
      </c>
      <c r="B114" s="307">
        <f t="shared" si="7"/>
        <v>66</v>
      </c>
      <c r="C114" s="41">
        <f t="shared" si="8"/>
        <v>343400000</v>
      </c>
      <c r="D114" s="41">
        <f>D112</f>
        <v>10100000</v>
      </c>
      <c r="E114" s="319"/>
      <c r="F114" s="41"/>
      <c r="G114" s="41"/>
      <c r="H114" s="91"/>
      <c r="I114" s="91"/>
      <c r="J114" s="231"/>
    </row>
    <row r="115" spans="1:10" s="56" customFormat="1" ht="12.75">
      <c r="A115" s="90">
        <v>41455</v>
      </c>
      <c r="B115" s="307">
        <f t="shared" si="7"/>
        <v>25</v>
      </c>
      <c r="C115" s="41">
        <f t="shared" si="8"/>
        <v>343400000</v>
      </c>
      <c r="D115" s="41"/>
      <c r="E115" s="319">
        <f>E113</f>
        <v>0.06174</v>
      </c>
      <c r="F115" s="41">
        <f>((C114+D114)*E115/360*B114)+((C115+D115)*E115/360*B115)</f>
        <v>5473594</v>
      </c>
      <c r="G115" s="41">
        <f>G113</f>
        <v>164970</v>
      </c>
      <c r="H115" s="91"/>
      <c r="I115" s="91"/>
      <c r="J115" s="231"/>
    </row>
    <row r="116" spans="1:10" s="56" customFormat="1" ht="12.75">
      <c r="A116" s="90">
        <v>41522</v>
      </c>
      <c r="B116" s="307">
        <f t="shared" si="7"/>
        <v>67</v>
      </c>
      <c r="C116" s="41">
        <f t="shared" si="8"/>
        <v>333300000</v>
      </c>
      <c r="D116" s="41">
        <f>D114</f>
        <v>10100000</v>
      </c>
      <c r="E116" s="319"/>
      <c r="F116" s="41"/>
      <c r="G116" s="41"/>
      <c r="H116" s="91"/>
      <c r="I116" s="91"/>
      <c r="J116" s="231"/>
    </row>
    <row r="117" spans="1:10" s="56" customFormat="1" ht="12.75">
      <c r="A117" s="90">
        <v>41547</v>
      </c>
      <c r="B117" s="307">
        <f t="shared" si="7"/>
        <v>25</v>
      </c>
      <c r="C117" s="41">
        <f t="shared" si="8"/>
        <v>333300000</v>
      </c>
      <c r="D117" s="41"/>
      <c r="E117" s="319">
        <f>E115</f>
        <v>0.06174</v>
      </c>
      <c r="F117" s="41">
        <f>((C116+D116)*E117/360*B116)+((C117+D117)*E117/360*B117)</f>
        <v>5374861.449999999</v>
      </c>
      <c r="G117" s="41">
        <f>G115</f>
        <v>164970</v>
      </c>
      <c r="H117" s="91"/>
      <c r="I117" s="91"/>
      <c r="J117" s="231"/>
    </row>
    <row r="118" spans="1:10" s="56" customFormat="1" ht="12.75">
      <c r="A118" s="90">
        <v>41613</v>
      </c>
      <c r="B118" s="307">
        <f t="shared" si="7"/>
        <v>66</v>
      </c>
      <c r="C118" s="41">
        <f t="shared" si="8"/>
        <v>323200000</v>
      </c>
      <c r="D118" s="41">
        <f>D116</f>
        <v>10100000</v>
      </c>
      <c r="E118" s="319"/>
      <c r="F118" s="41"/>
      <c r="G118" s="41"/>
      <c r="H118" s="91"/>
      <c r="I118" s="91"/>
      <c r="J118" s="231"/>
    </row>
    <row r="119" spans="1:10" s="56" customFormat="1" ht="12.75">
      <c r="A119" s="97">
        <v>41638</v>
      </c>
      <c r="B119" s="308">
        <f t="shared" si="7"/>
        <v>25</v>
      </c>
      <c r="C119" s="99">
        <f t="shared" si="8"/>
        <v>323200000</v>
      </c>
      <c r="D119" s="99"/>
      <c r="E119" s="320">
        <f>E117</f>
        <v>0.06174</v>
      </c>
      <c r="F119" s="99">
        <f>((C118+D118)*E119/360*B118)+((C119+D119)*E119/360*B119)</f>
        <v>5158342.699999999</v>
      </c>
      <c r="G119" s="99">
        <f>G117</f>
        <v>164970</v>
      </c>
      <c r="H119" s="300">
        <f>SUM(F113:G119)</f>
        <v>22296165.65</v>
      </c>
      <c r="I119" s="300">
        <f>SUM(D112:D119)</f>
        <v>40400000</v>
      </c>
      <c r="J119" s="301">
        <f>SUM(H119:I119)</f>
        <v>62696165.65</v>
      </c>
    </row>
    <row r="120" spans="1:10" s="56" customFormat="1" ht="12.75">
      <c r="A120" s="103">
        <v>41703</v>
      </c>
      <c r="B120" s="306">
        <f t="shared" si="7"/>
        <v>65</v>
      </c>
      <c r="C120" s="42">
        <f t="shared" si="8"/>
        <v>313100000</v>
      </c>
      <c r="D120" s="42">
        <v>10100000</v>
      </c>
      <c r="E120" s="318"/>
      <c r="F120" s="42"/>
      <c r="G120" s="42"/>
      <c r="H120" s="330"/>
      <c r="I120" s="330"/>
      <c r="J120" s="331"/>
    </row>
    <row r="121" spans="1:10" s="56" customFormat="1" ht="12.75">
      <c r="A121" s="90">
        <v>41729</v>
      </c>
      <c r="B121" s="307">
        <f t="shared" si="7"/>
        <v>26</v>
      </c>
      <c r="C121" s="41">
        <f t="shared" si="8"/>
        <v>313100000</v>
      </c>
      <c r="D121" s="41"/>
      <c r="E121" s="319">
        <f>E119</f>
        <v>0.06174</v>
      </c>
      <c r="F121" s="41">
        <f>((C120+D120)*E121/360*B120)+((C121+D121)*E121/360*B121)</f>
        <v>4998984.9</v>
      </c>
      <c r="G121" s="41">
        <f>G119</f>
        <v>164970</v>
      </c>
      <c r="H121" s="91"/>
      <c r="I121" s="91"/>
      <c r="J121" s="231"/>
    </row>
    <row r="122" spans="1:10" s="56" customFormat="1" ht="12.75">
      <c r="A122" s="90">
        <v>41795</v>
      </c>
      <c r="B122" s="307">
        <f t="shared" si="7"/>
        <v>66</v>
      </c>
      <c r="C122" s="41">
        <f t="shared" si="8"/>
        <v>303000000</v>
      </c>
      <c r="D122" s="41">
        <f>D120</f>
        <v>10100000</v>
      </c>
      <c r="E122" s="319"/>
      <c r="F122" s="41"/>
      <c r="G122" s="41"/>
      <c r="H122" s="91"/>
      <c r="I122" s="91"/>
      <c r="J122" s="231"/>
    </row>
    <row r="123" spans="1:10" s="56" customFormat="1" ht="12.75">
      <c r="A123" s="90">
        <v>41820</v>
      </c>
      <c r="B123" s="307">
        <f t="shared" si="7"/>
        <v>25</v>
      </c>
      <c r="C123" s="41">
        <f t="shared" si="8"/>
        <v>303000000</v>
      </c>
      <c r="D123" s="41"/>
      <c r="E123" s="319">
        <f>E121</f>
        <v>0.06174</v>
      </c>
      <c r="F123" s="41">
        <f>((C122+D122)*E123/360*B122)+((C123+D123)*E123/360*B123)</f>
        <v>4843091.4</v>
      </c>
      <c r="G123" s="41">
        <f>G121</f>
        <v>164970</v>
      </c>
      <c r="H123" s="91"/>
      <c r="I123" s="91"/>
      <c r="J123" s="231"/>
    </row>
    <row r="124" spans="1:10" s="56" customFormat="1" ht="12.75">
      <c r="A124" s="90">
        <v>41887</v>
      </c>
      <c r="B124" s="307">
        <f t="shared" si="7"/>
        <v>67</v>
      </c>
      <c r="C124" s="41">
        <f t="shared" si="8"/>
        <v>292900000</v>
      </c>
      <c r="D124" s="41">
        <f>D122</f>
        <v>10100000</v>
      </c>
      <c r="E124" s="319"/>
      <c r="F124" s="41"/>
      <c r="G124" s="41"/>
      <c r="H124" s="91"/>
      <c r="I124" s="91"/>
      <c r="J124" s="231"/>
    </row>
    <row r="125" spans="1:10" s="56" customFormat="1" ht="12.75">
      <c r="A125" s="90">
        <v>41912</v>
      </c>
      <c r="B125" s="307">
        <f t="shared" si="7"/>
        <v>25</v>
      </c>
      <c r="C125" s="41">
        <f t="shared" si="8"/>
        <v>292900000</v>
      </c>
      <c r="D125" s="41"/>
      <c r="E125" s="319">
        <f>E123</f>
        <v>0.06174</v>
      </c>
      <c r="F125" s="41">
        <f>((C124+D124)*E125/360*B124)+((C125+D125)*E125/360*B125)</f>
        <v>4737430.25</v>
      </c>
      <c r="G125" s="41">
        <f>G123</f>
        <v>164970</v>
      </c>
      <c r="H125" s="91"/>
      <c r="I125" s="91"/>
      <c r="J125" s="231"/>
    </row>
    <row r="126" spans="1:10" s="56" customFormat="1" ht="12.75">
      <c r="A126" s="90">
        <v>41978</v>
      </c>
      <c r="B126" s="307">
        <f t="shared" si="7"/>
        <v>66</v>
      </c>
      <c r="C126" s="41">
        <f t="shared" si="8"/>
        <v>282800000</v>
      </c>
      <c r="D126" s="41">
        <f>D124</f>
        <v>10100000</v>
      </c>
      <c r="E126" s="319"/>
      <c r="F126" s="41"/>
      <c r="G126" s="41"/>
      <c r="H126" s="91"/>
      <c r="I126" s="91"/>
      <c r="J126" s="231"/>
    </row>
    <row r="127" spans="1:10" s="56" customFormat="1" ht="12.75">
      <c r="A127" s="97">
        <v>42003</v>
      </c>
      <c r="B127" s="308">
        <f t="shared" si="7"/>
        <v>25</v>
      </c>
      <c r="C127" s="99">
        <f t="shared" si="8"/>
        <v>282800000</v>
      </c>
      <c r="D127" s="99"/>
      <c r="E127" s="320">
        <f>E125</f>
        <v>0.06174</v>
      </c>
      <c r="F127" s="99">
        <f>((C126+D126)*E127/360*B126)+((C127+D127)*E127/360*B127)</f>
        <v>4527840.1</v>
      </c>
      <c r="G127" s="99">
        <f>G125</f>
        <v>164970</v>
      </c>
      <c r="H127" s="300">
        <f>SUM(F121:G127)</f>
        <v>19767226.65</v>
      </c>
      <c r="I127" s="300">
        <f>SUM(D120:D127)</f>
        <v>40400000</v>
      </c>
      <c r="J127" s="301">
        <f>SUM(H127:I127)</f>
        <v>60167226.65</v>
      </c>
    </row>
    <row r="128" spans="1:10" s="56" customFormat="1" ht="12.75">
      <c r="A128" s="103">
        <v>42068</v>
      </c>
      <c r="B128" s="306">
        <f t="shared" si="7"/>
        <v>65</v>
      </c>
      <c r="C128" s="42">
        <f t="shared" si="8"/>
        <v>272700000</v>
      </c>
      <c r="D128" s="42">
        <v>10100000</v>
      </c>
      <c r="E128" s="318"/>
      <c r="F128" s="42"/>
      <c r="G128" s="42"/>
      <c r="H128" s="330"/>
      <c r="I128" s="330"/>
      <c r="J128" s="331"/>
    </row>
    <row r="129" spans="1:10" s="56" customFormat="1" ht="12.75">
      <c r="A129" s="90">
        <v>42094</v>
      </c>
      <c r="B129" s="307">
        <f t="shared" si="7"/>
        <v>26</v>
      </c>
      <c r="C129" s="41">
        <f t="shared" si="8"/>
        <v>272700000</v>
      </c>
      <c r="D129" s="41"/>
      <c r="E129" s="319">
        <f>E127</f>
        <v>0.06174</v>
      </c>
      <c r="F129" s="41">
        <f>((C128+D128)*E129/360*B128)+((C129+D129)*E129/360*B129)</f>
        <v>4368482.3</v>
      </c>
      <c r="G129" s="41">
        <f>G127</f>
        <v>164970</v>
      </c>
      <c r="H129" s="91"/>
      <c r="I129" s="91"/>
      <c r="J129" s="231"/>
    </row>
    <row r="130" spans="1:10" s="56" customFormat="1" ht="12.75">
      <c r="A130" s="90">
        <v>42160</v>
      </c>
      <c r="B130" s="307">
        <f t="shared" si="7"/>
        <v>66</v>
      </c>
      <c r="C130" s="41">
        <f t="shared" si="8"/>
        <v>262600000</v>
      </c>
      <c r="D130" s="41">
        <f>D128</f>
        <v>10100000</v>
      </c>
      <c r="E130" s="319"/>
      <c r="F130" s="41"/>
      <c r="G130" s="41"/>
      <c r="H130" s="91"/>
      <c r="I130" s="91"/>
      <c r="J130" s="231"/>
    </row>
    <row r="131" spans="1:10" s="56" customFormat="1" ht="12.75">
      <c r="A131" s="90">
        <v>42185</v>
      </c>
      <c r="B131" s="307">
        <f t="shared" si="7"/>
        <v>25</v>
      </c>
      <c r="C131" s="41">
        <f t="shared" si="8"/>
        <v>262600000</v>
      </c>
      <c r="D131" s="41"/>
      <c r="E131" s="319">
        <f>E129</f>
        <v>0.06174</v>
      </c>
      <c r="F131" s="41">
        <f>((C130+D130)*E131/360*B130)+((C131+D131)*E131/360*B131)</f>
        <v>4212588.800000001</v>
      </c>
      <c r="G131" s="41">
        <f>G129</f>
        <v>164970</v>
      </c>
      <c r="H131" s="91"/>
      <c r="I131" s="91"/>
      <c r="J131" s="231"/>
    </row>
    <row r="132" spans="1:10" s="56" customFormat="1" ht="12.75">
      <c r="A132" s="90">
        <v>42252</v>
      </c>
      <c r="B132" s="307">
        <f t="shared" si="7"/>
        <v>67</v>
      </c>
      <c r="C132" s="41">
        <f t="shared" si="8"/>
        <v>252500000</v>
      </c>
      <c r="D132" s="41">
        <f>D130</f>
        <v>10100000</v>
      </c>
      <c r="E132" s="319"/>
      <c r="F132" s="41"/>
      <c r="G132" s="41"/>
      <c r="H132" s="91"/>
      <c r="I132" s="91"/>
      <c r="J132" s="231"/>
    </row>
    <row r="133" spans="1:10" s="56" customFormat="1" ht="12.75">
      <c r="A133" s="90">
        <v>42277</v>
      </c>
      <c r="B133" s="307">
        <f t="shared" si="7"/>
        <v>25</v>
      </c>
      <c r="C133" s="41">
        <f t="shared" si="8"/>
        <v>252500000</v>
      </c>
      <c r="D133" s="41"/>
      <c r="E133" s="319">
        <f>E131</f>
        <v>0.06174</v>
      </c>
      <c r="F133" s="41">
        <f>((C132+D132)*E133/360*B132)+((C133+D133)*E133/360*B133)</f>
        <v>4099999.0500000003</v>
      </c>
      <c r="G133" s="41">
        <f>G131</f>
        <v>164970</v>
      </c>
      <c r="H133" s="91"/>
      <c r="I133" s="91"/>
      <c r="J133" s="231"/>
    </row>
    <row r="134" spans="1:10" s="56" customFormat="1" ht="12.75">
      <c r="A134" s="90">
        <v>42343</v>
      </c>
      <c r="B134" s="307">
        <f t="shared" si="7"/>
        <v>66</v>
      </c>
      <c r="C134" s="41">
        <f t="shared" si="8"/>
        <v>242400000</v>
      </c>
      <c r="D134" s="41">
        <f>D132</f>
        <v>10100000</v>
      </c>
      <c r="E134" s="319"/>
      <c r="F134" s="41"/>
      <c r="G134" s="41"/>
      <c r="H134" s="91"/>
      <c r="I134" s="91"/>
      <c r="J134" s="231"/>
    </row>
    <row r="135" spans="1:10" s="56" customFormat="1" ht="12.75">
      <c r="A135" s="97">
        <v>42368</v>
      </c>
      <c r="B135" s="308">
        <f t="shared" si="7"/>
        <v>25</v>
      </c>
      <c r="C135" s="99">
        <f t="shared" si="8"/>
        <v>242400000</v>
      </c>
      <c r="D135" s="99"/>
      <c r="E135" s="320">
        <f>E133</f>
        <v>0.06174</v>
      </c>
      <c r="F135" s="99">
        <f>((C134+D134)*E135/360*B134)+((C135+D135)*E135/360*B135)</f>
        <v>3897337.5</v>
      </c>
      <c r="G135" s="99">
        <f>G133</f>
        <v>164970</v>
      </c>
      <c r="H135" s="300">
        <f>SUM(F129:G135)</f>
        <v>17238287.650000002</v>
      </c>
      <c r="I135" s="300">
        <f>SUM(D128:D135)</f>
        <v>40400000</v>
      </c>
      <c r="J135" s="301">
        <f>SUM(H135:I135)</f>
        <v>57638287.650000006</v>
      </c>
    </row>
    <row r="136" spans="1:10" s="56" customFormat="1" ht="12.75">
      <c r="A136" s="103">
        <v>42434</v>
      </c>
      <c r="B136" s="306">
        <f t="shared" si="7"/>
        <v>66</v>
      </c>
      <c r="C136" s="42">
        <f t="shared" si="8"/>
        <v>232300000</v>
      </c>
      <c r="D136" s="42">
        <v>10100000</v>
      </c>
      <c r="E136" s="318"/>
      <c r="F136" s="42"/>
      <c r="G136" s="42"/>
      <c r="H136" s="330"/>
      <c r="I136" s="330"/>
      <c r="J136" s="331"/>
    </row>
    <row r="137" spans="1:10" s="56" customFormat="1" ht="12.75">
      <c r="A137" s="90">
        <v>42460</v>
      </c>
      <c r="B137" s="307">
        <f t="shared" si="7"/>
        <v>26</v>
      </c>
      <c r="C137" s="41">
        <f t="shared" si="8"/>
        <v>232300000</v>
      </c>
      <c r="D137" s="41"/>
      <c r="E137" s="319">
        <f>E135</f>
        <v>0.06174</v>
      </c>
      <c r="F137" s="41">
        <f>((C136+D136)*E137/360*B136)+((C137+D137)*E137/360*B137)</f>
        <v>3779551.3</v>
      </c>
      <c r="G137" s="41">
        <f>G135</f>
        <v>164970</v>
      </c>
      <c r="H137" s="91"/>
      <c r="I137" s="91"/>
      <c r="J137" s="231"/>
    </row>
    <row r="138" spans="1:10" s="56" customFormat="1" ht="12.75">
      <c r="A138" s="90">
        <v>42526</v>
      </c>
      <c r="B138" s="307">
        <f t="shared" si="7"/>
        <v>66</v>
      </c>
      <c r="C138" s="41">
        <f t="shared" si="8"/>
        <v>222200000</v>
      </c>
      <c r="D138" s="41">
        <f>D136</f>
        <v>10100000</v>
      </c>
      <c r="E138" s="319"/>
      <c r="F138" s="41"/>
      <c r="G138" s="41"/>
      <c r="H138" s="91"/>
      <c r="I138" s="91"/>
      <c r="J138" s="231"/>
    </row>
    <row r="139" spans="1:10" s="56" customFormat="1" ht="12.75">
      <c r="A139" s="90">
        <v>42551</v>
      </c>
      <c r="B139" s="307">
        <f t="shared" si="7"/>
        <v>25</v>
      </c>
      <c r="C139" s="41">
        <f t="shared" si="8"/>
        <v>222200000</v>
      </c>
      <c r="D139" s="41"/>
      <c r="E139" s="319">
        <f>E137</f>
        <v>0.06174</v>
      </c>
      <c r="F139" s="41">
        <f>((C138+D138)*E139/360*B138)+((C139+D139)*E139/360*B139)</f>
        <v>3582086.1999999997</v>
      </c>
      <c r="G139" s="41">
        <f>G137</f>
        <v>164970</v>
      </c>
      <c r="H139" s="91"/>
      <c r="I139" s="91"/>
      <c r="J139" s="231"/>
    </row>
    <row r="140" spans="1:10" s="56" customFormat="1" ht="12.75">
      <c r="A140" s="90">
        <v>42618</v>
      </c>
      <c r="B140" s="307">
        <f t="shared" si="7"/>
        <v>67</v>
      </c>
      <c r="C140" s="41">
        <f t="shared" si="8"/>
        <v>212100000</v>
      </c>
      <c r="D140" s="41">
        <f>D138</f>
        <v>10100000</v>
      </c>
      <c r="E140" s="319"/>
      <c r="F140" s="41"/>
      <c r="G140" s="41"/>
      <c r="H140" s="91"/>
      <c r="I140" s="91"/>
      <c r="J140" s="231"/>
    </row>
    <row r="141" spans="1:10" s="56" customFormat="1" ht="12.75">
      <c r="A141" s="90">
        <v>42643</v>
      </c>
      <c r="B141" s="307">
        <f t="shared" si="7"/>
        <v>25</v>
      </c>
      <c r="C141" s="41">
        <f t="shared" si="8"/>
        <v>212100000</v>
      </c>
      <c r="D141" s="41"/>
      <c r="E141" s="319">
        <f>E139</f>
        <v>0.06174</v>
      </c>
      <c r="F141" s="41">
        <f>((C140+D140)*E141/360*B140)+((C141+D141)*E141/360*B141)</f>
        <v>3462567.85</v>
      </c>
      <c r="G141" s="41">
        <f>G139</f>
        <v>164970</v>
      </c>
      <c r="H141" s="91"/>
      <c r="I141" s="91"/>
      <c r="J141" s="231"/>
    </row>
    <row r="142" spans="1:10" s="56" customFormat="1" ht="12.75">
      <c r="A142" s="90">
        <v>42709</v>
      </c>
      <c r="B142" s="307">
        <f t="shared" si="7"/>
        <v>66</v>
      </c>
      <c r="C142" s="41">
        <f t="shared" si="8"/>
        <v>202000000</v>
      </c>
      <c r="D142" s="41">
        <f>D140</f>
        <v>10100000</v>
      </c>
      <c r="E142" s="319"/>
      <c r="F142" s="41"/>
      <c r="G142" s="41"/>
      <c r="H142" s="91"/>
      <c r="I142" s="91"/>
      <c r="J142" s="231"/>
    </row>
    <row r="143" spans="1:10" s="56" customFormat="1" ht="12.75">
      <c r="A143" s="97">
        <v>42734</v>
      </c>
      <c r="B143" s="308">
        <f t="shared" si="7"/>
        <v>25</v>
      </c>
      <c r="C143" s="99">
        <f t="shared" si="8"/>
        <v>202000000</v>
      </c>
      <c r="D143" s="99"/>
      <c r="E143" s="320">
        <f>E141</f>
        <v>0.06174</v>
      </c>
      <c r="F143" s="99">
        <f>((C142+D142)*E143/360*B142)+((C143+D143)*E143/360*B143)</f>
        <v>3266834.9</v>
      </c>
      <c r="G143" s="99">
        <f>G141</f>
        <v>164970</v>
      </c>
      <c r="H143" s="300">
        <f>SUM(F137:G143)</f>
        <v>14750920.25</v>
      </c>
      <c r="I143" s="300">
        <f>SUM(D136:D143)</f>
        <v>40400000</v>
      </c>
      <c r="J143" s="301">
        <f>SUM(H143:I143)</f>
        <v>55150920.25</v>
      </c>
    </row>
    <row r="144" spans="1:10" s="56" customFormat="1" ht="12.75">
      <c r="A144" s="103">
        <v>42799</v>
      </c>
      <c r="B144" s="306">
        <f t="shared" si="7"/>
        <v>65</v>
      </c>
      <c r="C144" s="42">
        <f t="shared" si="8"/>
        <v>191900000</v>
      </c>
      <c r="D144" s="42">
        <v>10100000</v>
      </c>
      <c r="E144" s="318"/>
      <c r="F144" s="42"/>
      <c r="G144" s="42"/>
      <c r="H144" s="330"/>
      <c r="I144" s="330"/>
      <c r="J144" s="331"/>
    </row>
    <row r="145" spans="1:10" s="56" customFormat="1" ht="12.75">
      <c r="A145" s="90">
        <v>42825</v>
      </c>
      <c r="B145" s="307">
        <f t="shared" si="7"/>
        <v>26</v>
      </c>
      <c r="C145" s="41">
        <f t="shared" si="8"/>
        <v>191900000</v>
      </c>
      <c r="D145" s="41"/>
      <c r="E145" s="319">
        <f>E143</f>
        <v>0.06174</v>
      </c>
      <c r="F145" s="41">
        <f>((C144+D144)*E145/360*B144)+((C145+D145)*E145/360*B145)</f>
        <v>3107477.1</v>
      </c>
      <c r="G145" s="41">
        <f>G143</f>
        <v>164970</v>
      </c>
      <c r="H145" s="91"/>
      <c r="I145" s="91"/>
      <c r="J145" s="231"/>
    </row>
    <row r="146" spans="1:10" s="56" customFormat="1" ht="12.75">
      <c r="A146" s="90">
        <v>42891</v>
      </c>
      <c r="B146" s="307">
        <f t="shared" si="7"/>
        <v>66</v>
      </c>
      <c r="C146" s="41">
        <f t="shared" si="8"/>
        <v>181800000</v>
      </c>
      <c r="D146" s="41">
        <f>D144</f>
        <v>10100000</v>
      </c>
      <c r="E146" s="319"/>
      <c r="F146" s="41"/>
      <c r="G146" s="41"/>
      <c r="H146" s="91"/>
      <c r="I146" s="91"/>
      <c r="J146" s="231"/>
    </row>
    <row r="147" spans="1:10" s="56" customFormat="1" ht="12.75">
      <c r="A147" s="90">
        <v>42916</v>
      </c>
      <c r="B147" s="307">
        <f t="shared" si="7"/>
        <v>25</v>
      </c>
      <c r="C147" s="41">
        <f t="shared" si="8"/>
        <v>181800000</v>
      </c>
      <c r="D147" s="41"/>
      <c r="E147" s="319">
        <f>E145</f>
        <v>0.06174</v>
      </c>
      <c r="F147" s="41">
        <f>((C146+D146)*E147/360*B146)+((C147+D147)*E147/360*B147)</f>
        <v>2951583.6</v>
      </c>
      <c r="G147" s="41">
        <f>G145</f>
        <v>164970</v>
      </c>
      <c r="H147" s="91"/>
      <c r="I147" s="91"/>
      <c r="J147" s="231"/>
    </row>
    <row r="148" spans="1:10" s="56" customFormat="1" ht="12.75">
      <c r="A148" s="90">
        <v>42983</v>
      </c>
      <c r="B148" s="307">
        <f t="shared" si="7"/>
        <v>67</v>
      </c>
      <c r="C148" s="41">
        <f t="shared" si="8"/>
        <v>171700000</v>
      </c>
      <c r="D148" s="41">
        <f>D146</f>
        <v>10100000</v>
      </c>
      <c r="E148" s="319"/>
      <c r="F148" s="41"/>
      <c r="G148" s="41"/>
      <c r="H148" s="91"/>
      <c r="I148" s="91"/>
      <c r="J148" s="231"/>
    </row>
    <row r="149" spans="1:10" s="56" customFormat="1" ht="12.75">
      <c r="A149" s="90">
        <v>43008</v>
      </c>
      <c r="B149" s="307">
        <f t="shared" si="7"/>
        <v>25</v>
      </c>
      <c r="C149" s="41">
        <f t="shared" si="8"/>
        <v>171700000</v>
      </c>
      <c r="D149" s="41"/>
      <c r="E149" s="319">
        <f>E147</f>
        <v>0.06174</v>
      </c>
      <c r="F149" s="41">
        <f>((C148+D148)*E149/360*B148)+((C149+D149)*E149/360*B149)</f>
        <v>2825136.6500000004</v>
      </c>
      <c r="G149" s="41">
        <f>G147</f>
        <v>164970</v>
      </c>
      <c r="H149" s="91"/>
      <c r="I149" s="91"/>
      <c r="J149" s="231"/>
    </row>
    <row r="150" spans="1:10" s="56" customFormat="1" ht="12.75">
      <c r="A150" s="90">
        <v>43074</v>
      </c>
      <c r="B150" s="307">
        <f t="shared" si="7"/>
        <v>66</v>
      </c>
      <c r="C150" s="41">
        <f t="shared" si="8"/>
        <v>161600000</v>
      </c>
      <c r="D150" s="41">
        <f>D148</f>
        <v>10100000</v>
      </c>
      <c r="E150" s="319"/>
      <c r="F150" s="41"/>
      <c r="G150" s="41"/>
      <c r="H150" s="91"/>
      <c r="I150" s="91"/>
      <c r="J150" s="231"/>
    </row>
    <row r="151" spans="1:10" s="56" customFormat="1" ht="12.75">
      <c r="A151" s="97">
        <v>43099</v>
      </c>
      <c r="B151" s="308">
        <f t="shared" si="7"/>
        <v>25</v>
      </c>
      <c r="C151" s="99">
        <f t="shared" si="8"/>
        <v>161600000</v>
      </c>
      <c r="D151" s="99"/>
      <c r="E151" s="320">
        <f>E149</f>
        <v>0.06174</v>
      </c>
      <c r="F151" s="99">
        <f>((C150+D150)*E151/360*B150)+((C151+D151)*E151/360*B151)</f>
        <v>2636332.3</v>
      </c>
      <c r="G151" s="99">
        <f>G149</f>
        <v>164970</v>
      </c>
      <c r="H151" s="300">
        <f>SUM(F145:G151)</f>
        <v>12180409.650000002</v>
      </c>
      <c r="I151" s="300">
        <f>SUM(D144:D151)</f>
        <v>40400000</v>
      </c>
      <c r="J151" s="301">
        <f>SUM(H151:I151)</f>
        <v>52580409.650000006</v>
      </c>
    </row>
    <row r="152" spans="1:10" s="56" customFormat="1" ht="12.75">
      <c r="A152" s="103">
        <v>43164</v>
      </c>
      <c r="B152" s="306">
        <f t="shared" si="7"/>
        <v>65</v>
      </c>
      <c r="C152" s="42">
        <f t="shared" si="8"/>
        <v>151500000</v>
      </c>
      <c r="D152" s="42">
        <v>10100000</v>
      </c>
      <c r="E152" s="318"/>
      <c r="F152" s="42"/>
      <c r="G152" s="42"/>
      <c r="H152" s="330"/>
      <c r="I152" s="330"/>
      <c r="J152" s="331"/>
    </row>
    <row r="153" spans="1:10" s="56" customFormat="1" ht="12.75">
      <c r="A153" s="90">
        <v>43190</v>
      </c>
      <c r="B153" s="307">
        <f t="shared" si="7"/>
        <v>26</v>
      </c>
      <c r="C153" s="41">
        <f t="shared" si="8"/>
        <v>151500000</v>
      </c>
      <c r="D153" s="41"/>
      <c r="E153" s="319">
        <f>E151</f>
        <v>0.06174</v>
      </c>
      <c r="F153" s="41">
        <f>((C152+D152)*E153/360*B152)+((C153+D153)*E153/360*B153)</f>
        <v>2476974.5</v>
      </c>
      <c r="G153" s="41">
        <f>G151</f>
        <v>164970</v>
      </c>
      <c r="H153" s="91"/>
      <c r="I153" s="91"/>
      <c r="J153" s="231"/>
    </row>
    <row r="154" spans="1:10" s="56" customFormat="1" ht="12.75">
      <c r="A154" s="90">
        <v>43256</v>
      </c>
      <c r="B154" s="307">
        <f t="shared" si="7"/>
        <v>66</v>
      </c>
      <c r="C154" s="41">
        <f t="shared" si="8"/>
        <v>141400000</v>
      </c>
      <c r="D154" s="41">
        <f>D152</f>
        <v>10100000</v>
      </c>
      <c r="E154" s="319"/>
      <c r="F154" s="41"/>
      <c r="G154" s="41"/>
      <c r="H154" s="91"/>
      <c r="I154" s="91"/>
      <c r="J154" s="231"/>
    </row>
    <row r="155" spans="1:10" s="56" customFormat="1" ht="12.75">
      <c r="A155" s="90">
        <v>43281</v>
      </c>
      <c r="B155" s="307">
        <f t="shared" si="7"/>
        <v>25</v>
      </c>
      <c r="C155" s="41">
        <f t="shared" si="8"/>
        <v>141400000</v>
      </c>
      <c r="D155" s="41"/>
      <c r="E155" s="319">
        <f>E153</f>
        <v>0.06174</v>
      </c>
      <c r="F155" s="41">
        <f>((C154+D154)*E155/360*B154)+((C155+D155)*E155/360*B155)</f>
        <v>2321081</v>
      </c>
      <c r="G155" s="253">
        <f>G153</f>
        <v>164970</v>
      </c>
      <c r="H155" s="91"/>
      <c r="I155" s="91"/>
      <c r="J155" s="231"/>
    </row>
    <row r="156" spans="1:10" s="56" customFormat="1" ht="12.75">
      <c r="A156" s="90">
        <v>43348</v>
      </c>
      <c r="B156" s="307">
        <f t="shared" si="7"/>
        <v>67</v>
      </c>
      <c r="C156" s="41">
        <f t="shared" si="8"/>
        <v>131300000</v>
      </c>
      <c r="D156" s="41">
        <f>D154</f>
        <v>10100000</v>
      </c>
      <c r="E156" s="319"/>
      <c r="F156" s="41"/>
      <c r="G156" s="41"/>
      <c r="H156" s="91"/>
      <c r="I156" s="91"/>
      <c r="J156" s="231"/>
    </row>
    <row r="157" spans="1:10" s="56" customFormat="1" ht="12.75">
      <c r="A157" s="90">
        <v>43373</v>
      </c>
      <c r="B157" s="307">
        <f t="shared" si="7"/>
        <v>25</v>
      </c>
      <c r="C157" s="41">
        <f t="shared" si="8"/>
        <v>131300000</v>
      </c>
      <c r="D157" s="41"/>
      <c r="E157" s="319">
        <f>E155</f>
        <v>0.06174</v>
      </c>
      <c r="F157" s="41">
        <f>((C156+D156)*E157/360*B156)+((C157+D157)*E157/360*B157)</f>
        <v>2187705.45</v>
      </c>
      <c r="G157" s="41">
        <f>494917000*0.015-SUM(G8:G155)</f>
        <v>165075</v>
      </c>
      <c r="H157" s="91"/>
      <c r="I157" s="91"/>
      <c r="J157" s="231"/>
    </row>
    <row r="158" spans="1:10" s="56" customFormat="1" ht="12.75">
      <c r="A158" s="90">
        <v>43439</v>
      </c>
      <c r="B158" s="307">
        <f t="shared" si="7"/>
        <v>66</v>
      </c>
      <c r="C158" s="41">
        <f t="shared" si="8"/>
        <v>121200000</v>
      </c>
      <c r="D158" s="41">
        <f>D156</f>
        <v>10100000</v>
      </c>
      <c r="E158" s="319"/>
      <c r="F158" s="41"/>
      <c r="G158" s="41"/>
      <c r="H158" s="91"/>
      <c r="I158" s="91"/>
      <c r="J158" s="231"/>
    </row>
    <row r="159" spans="1:10" s="56" customFormat="1" ht="12.75">
      <c r="A159" s="97">
        <v>43464</v>
      </c>
      <c r="B159" s="308">
        <f t="shared" si="7"/>
        <v>25</v>
      </c>
      <c r="C159" s="99">
        <f t="shared" si="8"/>
        <v>121200000</v>
      </c>
      <c r="D159" s="99"/>
      <c r="E159" s="320">
        <f>E157</f>
        <v>0.06174</v>
      </c>
      <c r="F159" s="99">
        <f>((C158+D158)*E159/360*B158)+((C159+D159)*E159/360*B159)</f>
        <v>2005829.7</v>
      </c>
      <c r="G159" s="41"/>
      <c r="H159" s="300">
        <f>SUM(F153:G159)</f>
        <v>9486605.65</v>
      </c>
      <c r="I159" s="300">
        <f>SUM(D152:D159)</f>
        <v>40400000</v>
      </c>
      <c r="J159" s="301">
        <f>SUM(H159:I159)</f>
        <v>49886605.65</v>
      </c>
    </row>
    <row r="160" spans="1:10" s="56" customFormat="1" ht="12.75">
      <c r="A160" s="103">
        <v>43529</v>
      </c>
      <c r="B160" s="306">
        <f aca="true" t="shared" si="9" ref="B160:B182">A160-A159</f>
        <v>65</v>
      </c>
      <c r="C160" s="42">
        <f aca="true" t="shared" si="10" ref="C160:C182">C159-D160</f>
        <v>111100000</v>
      </c>
      <c r="D160" s="42">
        <v>10100000</v>
      </c>
      <c r="E160" s="318"/>
      <c r="F160" s="42"/>
      <c r="G160" s="42"/>
      <c r="H160" s="330"/>
      <c r="I160" s="330"/>
      <c r="J160" s="331"/>
    </row>
    <row r="161" spans="1:10" s="56" customFormat="1" ht="12.75">
      <c r="A161" s="90">
        <v>43555</v>
      </c>
      <c r="B161" s="307">
        <f t="shared" si="9"/>
        <v>26</v>
      </c>
      <c r="C161" s="41">
        <f t="shared" si="10"/>
        <v>111100000</v>
      </c>
      <c r="D161" s="41"/>
      <c r="E161" s="319">
        <f>E159</f>
        <v>0.06174</v>
      </c>
      <c r="F161" s="41">
        <f>((C160+D160)*E161/360*B160)+((C161+D161)*E161/360*B161)</f>
        <v>1846471.9</v>
      </c>
      <c r="G161" s="41"/>
      <c r="H161" s="91"/>
      <c r="I161" s="91"/>
      <c r="J161" s="231"/>
    </row>
    <row r="162" spans="1:10" s="56" customFormat="1" ht="12.75">
      <c r="A162" s="90">
        <v>43621</v>
      </c>
      <c r="B162" s="307">
        <f t="shared" si="9"/>
        <v>66</v>
      </c>
      <c r="C162" s="41">
        <f t="shared" si="10"/>
        <v>101000000</v>
      </c>
      <c r="D162" s="41">
        <f>D160</f>
        <v>10100000</v>
      </c>
      <c r="E162" s="319"/>
      <c r="F162" s="41"/>
      <c r="G162" s="41"/>
      <c r="H162" s="91"/>
      <c r="I162" s="91"/>
      <c r="J162" s="231"/>
    </row>
    <row r="163" spans="1:10" s="56" customFormat="1" ht="12.75">
      <c r="A163" s="90">
        <v>43646</v>
      </c>
      <c r="B163" s="307">
        <f t="shared" si="9"/>
        <v>25</v>
      </c>
      <c r="C163" s="41">
        <f t="shared" si="10"/>
        <v>101000000</v>
      </c>
      <c r="D163" s="41"/>
      <c r="E163" s="319">
        <f>E161</f>
        <v>0.06174</v>
      </c>
      <c r="F163" s="41">
        <f>((C162+D162)*E163/360*B162)+((C163+D163)*E163/360*B163)</f>
        <v>1690578.4000000001</v>
      </c>
      <c r="G163" s="41"/>
      <c r="H163" s="91"/>
      <c r="I163" s="91"/>
      <c r="J163" s="231"/>
    </row>
    <row r="164" spans="1:10" s="56" customFormat="1" ht="12.75">
      <c r="A164" s="90">
        <v>43713</v>
      </c>
      <c r="B164" s="307">
        <f t="shared" si="9"/>
        <v>67</v>
      </c>
      <c r="C164" s="41">
        <f t="shared" si="10"/>
        <v>90900000</v>
      </c>
      <c r="D164" s="41">
        <f>D162</f>
        <v>10100000</v>
      </c>
      <c r="E164" s="319"/>
      <c r="F164" s="41"/>
      <c r="G164" s="41"/>
      <c r="H164" s="91"/>
      <c r="I164" s="91"/>
      <c r="J164" s="231"/>
    </row>
    <row r="165" spans="1:10" s="56" customFormat="1" ht="12.75">
      <c r="A165" s="90">
        <v>43738</v>
      </c>
      <c r="B165" s="307">
        <f t="shared" si="9"/>
        <v>25</v>
      </c>
      <c r="C165" s="41">
        <f t="shared" si="10"/>
        <v>90900000</v>
      </c>
      <c r="D165" s="41"/>
      <c r="E165" s="319">
        <f>E163</f>
        <v>0.06174</v>
      </c>
      <c r="F165" s="41">
        <f>((C164+D164)*E165/360*B164)+((C165+D165)*E165/360*B165)</f>
        <v>1550274.25</v>
      </c>
      <c r="G165" s="41"/>
      <c r="H165" s="91"/>
      <c r="I165" s="91"/>
      <c r="J165" s="231"/>
    </row>
    <row r="166" spans="1:10" s="56" customFormat="1" ht="12.75">
      <c r="A166" s="90">
        <v>43804</v>
      </c>
      <c r="B166" s="307">
        <f t="shared" si="9"/>
        <v>66</v>
      </c>
      <c r="C166" s="41">
        <f t="shared" si="10"/>
        <v>80800000</v>
      </c>
      <c r="D166" s="41">
        <f>D164</f>
        <v>10100000</v>
      </c>
      <c r="E166" s="319"/>
      <c r="F166" s="41"/>
      <c r="G166" s="41"/>
      <c r="H166" s="91"/>
      <c r="I166" s="91"/>
      <c r="J166" s="231"/>
    </row>
    <row r="167" spans="1:10" s="56" customFormat="1" ht="12.75">
      <c r="A167" s="97">
        <v>43829</v>
      </c>
      <c r="B167" s="308">
        <f t="shared" si="9"/>
        <v>25</v>
      </c>
      <c r="C167" s="99">
        <f t="shared" si="10"/>
        <v>80800000</v>
      </c>
      <c r="D167" s="99"/>
      <c r="E167" s="320">
        <f>E165</f>
        <v>0.06174</v>
      </c>
      <c r="F167" s="99">
        <f>((C166+D166)*E167/360*B166)+((C167+D167)*E167/360*B167)</f>
        <v>1375327.1</v>
      </c>
      <c r="G167" s="41"/>
      <c r="H167" s="300">
        <f>SUM(F161:G167)</f>
        <v>6462651.65</v>
      </c>
      <c r="I167" s="300">
        <f>SUM(D160:D167)</f>
        <v>40400000</v>
      </c>
      <c r="J167" s="301">
        <f>SUM(H167:I167)</f>
        <v>46862651.65</v>
      </c>
    </row>
    <row r="168" spans="1:10" s="56" customFormat="1" ht="12.75">
      <c r="A168" s="103">
        <v>43895</v>
      </c>
      <c r="B168" s="306">
        <f t="shared" si="9"/>
        <v>66</v>
      </c>
      <c r="C168" s="42">
        <f t="shared" si="10"/>
        <v>70700000</v>
      </c>
      <c r="D168" s="42">
        <v>10100000</v>
      </c>
      <c r="E168" s="318"/>
      <c r="F168" s="42"/>
      <c r="G168" s="42"/>
      <c r="H168" s="330"/>
      <c r="I168" s="330"/>
      <c r="J168" s="331"/>
    </row>
    <row r="169" spans="1:10" s="56" customFormat="1" ht="12.75">
      <c r="A169" s="90">
        <v>43921</v>
      </c>
      <c r="B169" s="307">
        <f t="shared" si="9"/>
        <v>26</v>
      </c>
      <c r="C169" s="41">
        <f t="shared" si="10"/>
        <v>70700000</v>
      </c>
      <c r="D169" s="41"/>
      <c r="E169" s="319">
        <f>E167</f>
        <v>0.06174</v>
      </c>
      <c r="F169" s="41">
        <f>((C168+D168)*E169/360*B168)+((C169+D169)*E169/360*B169)</f>
        <v>1229826.5</v>
      </c>
      <c r="G169" s="41"/>
      <c r="H169" s="91"/>
      <c r="I169" s="91"/>
      <c r="J169" s="231"/>
    </row>
    <row r="170" spans="1:10" s="56" customFormat="1" ht="12.75">
      <c r="A170" s="90">
        <v>43987</v>
      </c>
      <c r="B170" s="307">
        <f t="shared" si="9"/>
        <v>66</v>
      </c>
      <c r="C170" s="41">
        <f t="shared" si="10"/>
        <v>60600000</v>
      </c>
      <c r="D170" s="41">
        <f>D168</f>
        <v>10100000</v>
      </c>
      <c r="E170" s="319"/>
      <c r="F170" s="41"/>
      <c r="G170" s="41"/>
      <c r="H170" s="91"/>
      <c r="I170" s="91"/>
      <c r="J170" s="231"/>
    </row>
    <row r="171" spans="1:10" s="56" customFormat="1" ht="12.75">
      <c r="A171" s="90">
        <v>44012</v>
      </c>
      <c r="B171" s="307">
        <f t="shared" si="9"/>
        <v>25</v>
      </c>
      <c r="C171" s="41">
        <f t="shared" si="10"/>
        <v>60600000</v>
      </c>
      <c r="D171" s="41"/>
      <c r="E171" s="319">
        <f>E169</f>
        <v>0.06174</v>
      </c>
      <c r="F171" s="41">
        <f>((C170+D170)*E171/360*B170)+((C171+D171)*E171/360*B171)</f>
        <v>1060075.7999999998</v>
      </c>
      <c r="G171" s="41"/>
      <c r="H171" s="91"/>
      <c r="I171" s="91"/>
      <c r="J171" s="231"/>
    </row>
    <row r="172" spans="1:10" s="56" customFormat="1" ht="12.75">
      <c r="A172" s="90">
        <v>44079</v>
      </c>
      <c r="B172" s="307">
        <f t="shared" si="9"/>
        <v>67</v>
      </c>
      <c r="C172" s="41">
        <f t="shared" si="10"/>
        <v>50500000</v>
      </c>
      <c r="D172" s="41">
        <f>D170</f>
        <v>10100000</v>
      </c>
      <c r="E172" s="319"/>
      <c r="F172" s="41"/>
      <c r="G172" s="41"/>
      <c r="H172" s="91"/>
      <c r="I172" s="91"/>
      <c r="J172" s="231"/>
    </row>
    <row r="173" spans="1:10" s="56" customFormat="1" ht="12.75">
      <c r="A173" s="90">
        <v>44104</v>
      </c>
      <c r="B173" s="307">
        <f t="shared" si="9"/>
        <v>25</v>
      </c>
      <c r="C173" s="41">
        <f t="shared" si="10"/>
        <v>50500000</v>
      </c>
      <c r="D173" s="41"/>
      <c r="E173" s="319">
        <f>E171</f>
        <v>0.06174</v>
      </c>
      <c r="F173" s="41">
        <f>((C172+D172)*E173/360*B172)+((C173+D173)*E173/360*B173)</f>
        <v>912843.0499999999</v>
      </c>
      <c r="G173" s="41"/>
      <c r="H173" s="91"/>
      <c r="I173" s="91"/>
      <c r="J173" s="231"/>
    </row>
    <row r="174" spans="1:10" s="56" customFormat="1" ht="12.75">
      <c r="A174" s="90">
        <v>44170</v>
      </c>
      <c r="B174" s="307">
        <f t="shared" si="9"/>
        <v>66</v>
      </c>
      <c r="C174" s="41">
        <f t="shared" si="10"/>
        <v>40400000</v>
      </c>
      <c r="D174" s="41">
        <f>D172</f>
        <v>10100000</v>
      </c>
      <c r="E174" s="319"/>
      <c r="F174" s="41"/>
      <c r="G174" s="41"/>
      <c r="H174" s="91"/>
      <c r="I174" s="91"/>
      <c r="J174" s="231"/>
    </row>
    <row r="175" spans="1:10" s="56" customFormat="1" ht="12.75">
      <c r="A175" s="97">
        <v>44195</v>
      </c>
      <c r="B175" s="308">
        <f t="shared" si="9"/>
        <v>25</v>
      </c>
      <c r="C175" s="99">
        <f t="shared" si="10"/>
        <v>40400000</v>
      </c>
      <c r="D175" s="99"/>
      <c r="E175" s="320">
        <f>E173</f>
        <v>0.06174</v>
      </c>
      <c r="F175" s="99">
        <f>((C174+D174)*E175/360*B174)+((C175+D175)*E175/360*B175)</f>
        <v>744824.5</v>
      </c>
      <c r="G175" s="41"/>
      <c r="H175" s="300">
        <f>SUM(F169:G175)</f>
        <v>3947569.8499999996</v>
      </c>
      <c r="I175" s="300">
        <f>SUM(D168:D175)</f>
        <v>40400000</v>
      </c>
      <c r="J175" s="301">
        <f>SUM(H175:I175)</f>
        <v>44347569.85</v>
      </c>
    </row>
    <row r="176" spans="1:10" s="56" customFormat="1" ht="12.75">
      <c r="A176" s="103">
        <v>44260</v>
      </c>
      <c r="B176" s="306">
        <f t="shared" si="9"/>
        <v>65</v>
      </c>
      <c r="C176" s="42">
        <f t="shared" si="10"/>
        <v>30300000</v>
      </c>
      <c r="D176" s="42">
        <v>10100000</v>
      </c>
      <c r="E176" s="318"/>
      <c r="F176" s="42"/>
      <c r="G176" s="42"/>
      <c r="H176" s="330"/>
      <c r="I176" s="330"/>
      <c r="J176" s="331"/>
    </row>
    <row r="177" spans="1:10" s="56" customFormat="1" ht="12.75">
      <c r="A177" s="90">
        <v>44286</v>
      </c>
      <c r="B177" s="307">
        <f t="shared" si="9"/>
        <v>26</v>
      </c>
      <c r="C177" s="41">
        <f t="shared" si="10"/>
        <v>30300000</v>
      </c>
      <c r="D177" s="41"/>
      <c r="E177" s="319">
        <f>E175</f>
        <v>0.06174</v>
      </c>
      <c r="F177" s="41">
        <f>((C176+D176)*E177/360*B176)+((C177+D177)*E177/360*B177)</f>
        <v>585466.7</v>
      </c>
      <c r="G177" s="41"/>
      <c r="H177" s="91"/>
      <c r="I177" s="91"/>
      <c r="J177" s="231"/>
    </row>
    <row r="178" spans="1:10" s="56" customFormat="1" ht="12.75">
      <c r="A178" s="90">
        <v>44352</v>
      </c>
      <c r="B178" s="307">
        <f t="shared" si="9"/>
        <v>66</v>
      </c>
      <c r="C178" s="41">
        <f t="shared" si="10"/>
        <v>20200000</v>
      </c>
      <c r="D178" s="41">
        <f>D176</f>
        <v>10100000</v>
      </c>
      <c r="E178" s="319"/>
      <c r="F178" s="41"/>
      <c r="G178" s="41"/>
      <c r="H178" s="91"/>
      <c r="I178" s="91"/>
      <c r="J178" s="231"/>
    </row>
    <row r="179" spans="1:10" s="56" customFormat="1" ht="12.75">
      <c r="A179" s="90">
        <v>44377</v>
      </c>
      <c r="B179" s="307">
        <f t="shared" si="9"/>
        <v>25</v>
      </c>
      <c r="C179" s="41">
        <f t="shared" si="10"/>
        <v>20200000</v>
      </c>
      <c r="D179" s="41"/>
      <c r="E179" s="319">
        <f>E177</f>
        <v>0.06174</v>
      </c>
      <c r="F179" s="41">
        <f>((C178+D178)*E179/360*B178)+((C179+D179)*E179/360*B179)</f>
        <v>429573.2</v>
      </c>
      <c r="G179" s="41"/>
      <c r="H179" s="91"/>
      <c r="I179" s="91"/>
      <c r="J179" s="231"/>
    </row>
    <row r="180" spans="1:10" s="56" customFormat="1" ht="12.75">
      <c r="A180" s="90">
        <v>44444</v>
      </c>
      <c r="B180" s="307">
        <f t="shared" si="9"/>
        <v>67</v>
      </c>
      <c r="C180" s="41">
        <f t="shared" si="10"/>
        <v>10100000</v>
      </c>
      <c r="D180" s="41">
        <f>D178</f>
        <v>10100000</v>
      </c>
      <c r="E180" s="319"/>
      <c r="F180" s="41"/>
      <c r="G180" s="41"/>
      <c r="H180" s="91"/>
      <c r="I180" s="91"/>
      <c r="J180" s="231"/>
    </row>
    <row r="181" spans="1:10" s="56" customFormat="1" ht="12.75">
      <c r="A181" s="90">
        <v>44469</v>
      </c>
      <c r="B181" s="307">
        <f t="shared" si="9"/>
        <v>25</v>
      </c>
      <c r="C181" s="41">
        <f t="shared" si="10"/>
        <v>10100000</v>
      </c>
      <c r="D181" s="41"/>
      <c r="E181" s="319">
        <f>E179</f>
        <v>0.06174</v>
      </c>
      <c r="F181" s="41">
        <f>((C180+D180)*E181/360*B180)+((C181+D181)*E181/360*B181)</f>
        <v>275411.85</v>
      </c>
      <c r="G181" s="41"/>
      <c r="H181" s="91"/>
      <c r="I181" s="91"/>
      <c r="J181" s="231"/>
    </row>
    <row r="182" spans="1:10" s="56" customFormat="1" ht="13.5" thickBot="1">
      <c r="A182" s="90">
        <v>44535</v>
      </c>
      <c r="B182" s="307">
        <f t="shared" si="9"/>
        <v>66</v>
      </c>
      <c r="C182" s="41">
        <f t="shared" si="10"/>
        <v>0</v>
      </c>
      <c r="D182" s="41">
        <f>D180</f>
        <v>10100000</v>
      </c>
      <c r="E182" s="319">
        <f>E181</f>
        <v>0.06174</v>
      </c>
      <c r="F182" s="41">
        <f>((C182+D182)*E182/360*B182)</f>
        <v>114321.90000000001</v>
      </c>
      <c r="G182" s="41"/>
      <c r="H182" s="281">
        <f>SUM(F176:G182)</f>
        <v>1404773.65</v>
      </c>
      <c r="I182" s="281">
        <f>SUM(D176:D182)</f>
        <v>40400000</v>
      </c>
      <c r="J182" s="282">
        <f>SUM(H182:I182)</f>
        <v>41804773.65</v>
      </c>
    </row>
    <row r="183" spans="1:10" ht="13.5" thickTop="1">
      <c r="A183" s="563" t="s">
        <v>14</v>
      </c>
      <c r="B183" s="564"/>
      <c r="C183" s="565"/>
      <c r="D183" s="117">
        <f>SUM(D8:D182)</f>
        <v>494917000</v>
      </c>
      <c r="E183" s="321"/>
      <c r="F183" s="117">
        <f>SUM(F8:F182)</f>
        <v>240908665.09177202</v>
      </c>
      <c r="G183" s="117">
        <f>SUM(G8:G182)</f>
        <v>7423755</v>
      </c>
      <c r="H183" s="117">
        <f>SUM(H8:H182)</f>
        <v>248662570.09177205</v>
      </c>
      <c r="I183" s="117">
        <f>SUM(I8:I182)</f>
        <v>494917000</v>
      </c>
      <c r="J183" s="119">
        <f>SUM(J8:J182)</f>
        <v>743579570.0917718</v>
      </c>
    </row>
    <row r="184" spans="1:10" ht="12.75">
      <c r="A184" s="120"/>
      <c r="B184" s="121"/>
      <c r="E184" s="322"/>
      <c r="H184" s="121"/>
      <c r="J184" s="121"/>
    </row>
    <row r="185" spans="1:4" ht="12.75">
      <c r="A185" s="121"/>
      <c r="C185" s="58"/>
      <c r="D185" s="58"/>
    </row>
    <row r="186" spans="1:8" ht="12.75">
      <c r="A186" s="121"/>
      <c r="C186" s="58"/>
      <c r="D186" s="316" t="s">
        <v>3</v>
      </c>
      <c r="F186" s="316" t="s">
        <v>106</v>
      </c>
      <c r="G186" s="316" t="s">
        <v>137</v>
      </c>
      <c r="H186" s="316" t="s">
        <v>138</v>
      </c>
    </row>
    <row r="187" spans="1:8" ht="12.75">
      <c r="A187" s="261"/>
      <c r="B187" s="337"/>
      <c r="C187" s="337"/>
      <c r="D187" s="337"/>
      <c r="E187" s="338"/>
      <c r="F187" s="338" t="s">
        <v>135</v>
      </c>
      <c r="G187" s="338" t="s">
        <v>136</v>
      </c>
      <c r="H187" s="338" t="s">
        <v>139</v>
      </c>
    </row>
    <row r="188" spans="1:8" ht="12.75">
      <c r="A188" s="121" t="s">
        <v>126</v>
      </c>
      <c r="C188" s="58"/>
      <c r="D188" s="332">
        <v>39328</v>
      </c>
      <c r="F188" s="121">
        <v>7021710</v>
      </c>
      <c r="G188" s="121">
        <f>F188</f>
        <v>7021710</v>
      </c>
      <c r="H188" s="121">
        <f aca="true" t="shared" si="11" ref="H188:H193">494917000-G188</f>
        <v>487895290</v>
      </c>
    </row>
    <row r="189" spans="1:8" ht="12.75">
      <c r="A189" s="121" t="s">
        <v>127</v>
      </c>
      <c r="C189" s="58"/>
      <c r="D189" s="332">
        <v>39343</v>
      </c>
      <c r="F189" s="121">
        <v>4495993</v>
      </c>
      <c r="G189" s="121">
        <f>G188+F189</f>
        <v>11517703</v>
      </c>
      <c r="H189" s="121">
        <f t="shared" si="11"/>
        <v>483399297</v>
      </c>
    </row>
    <row r="190" spans="1:8" ht="12.75">
      <c r="A190" s="121" t="s">
        <v>128</v>
      </c>
      <c r="C190" s="58"/>
      <c r="D190" s="332">
        <v>39345</v>
      </c>
      <c r="F190" s="121">
        <v>9182272</v>
      </c>
      <c r="G190" s="121">
        <f>G189+F190</f>
        <v>20699975</v>
      </c>
      <c r="H190" s="121">
        <f t="shared" si="11"/>
        <v>474217025</v>
      </c>
    </row>
    <row r="191" spans="1:8" ht="12.75">
      <c r="A191" s="121" t="s">
        <v>129</v>
      </c>
      <c r="C191" s="58"/>
      <c r="D191" s="332">
        <v>39350</v>
      </c>
      <c r="F191" s="121">
        <v>7847959</v>
      </c>
      <c r="G191" s="121">
        <f>G190+F191</f>
        <v>28547934</v>
      </c>
      <c r="H191" s="121">
        <f t="shared" si="11"/>
        <v>466369066</v>
      </c>
    </row>
    <row r="192" spans="1:8" ht="12.75">
      <c r="A192" s="121" t="s">
        <v>130</v>
      </c>
      <c r="C192" s="58"/>
      <c r="D192" s="332">
        <v>39365</v>
      </c>
      <c r="F192" s="121">
        <v>9076184</v>
      </c>
      <c r="G192" s="121">
        <f>G191+F192</f>
        <v>37624118</v>
      </c>
      <c r="H192" s="121">
        <f t="shared" si="11"/>
        <v>457292882</v>
      </c>
    </row>
    <row r="193" spans="1:8" ht="12.75">
      <c r="A193" s="121" t="s">
        <v>131</v>
      </c>
      <c r="C193" s="58"/>
      <c r="D193" s="332">
        <v>39367</v>
      </c>
      <c r="F193" s="121">
        <v>4030100</v>
      </c>
      <c r="G193" s="121">
        <f>G192+F193</f>
        <v>41654218</v>
      </c>
      <c r="H193" s="121">
        <f t="shared" si="11"/>
        <v>453262782</v>
      </c>
    </row>
    <row r="194" spans="1:8" ht="12.75">
      <c r="A194" s="121" t="s">
        <v>132</v>
      </c>
      <c r="C194" s="58"/>
      <c r="D194" s="332">
        <v>39374</v>
      </c>
      <c r="F194" s="121">
        <v>2196673</v>
      </c>
      <c r="G194" s="121">
        <f aca="true" t="shared" si="12" ref="G194:G204">G193+F194</f>
        <v>43850891</v>
      </c>
      <c r="H194" s="121">
        <f aca="true" t="shared" si="13" ref="H194:H204">494917000-G194</f>
        <v>451066109</v>
      </c>
    </row>
    <row r="195" spans="1:8" ht="12.75">
      <c r="A195" s="121" t="s">
        <v>133</v>
      </c>
      <c r="C195" s="58"/>
      <c r="D195" s="332">
        <v>39375</v>
      </c>
      <c r="F195" s="121">
        <v>6334623</v>
      </c>
      <c r="G195" s="121">
        <f t="shared" si="12"/>
        <v>50185514</v>
      </c>
      <c r="H195" s="121">
        <f t="shared" si="13"/>
        <v>444731486</v>
      </c>
    </row>
    <row r="196" spans="1:8" ht="12.75">
      <c r="A196" s="121" t="s">
        <v>134</v>
      </c>
      <c r="C196" s="58"/>
      <c r="D196" s="332">
        <v>39380</v>
      </c>
      <c r="F196" s="121">
        <v>43993741</v>
      </c>
      <c r="G196" s="121">
        <f t="shared" si="12"/>
        <v>94179255</v>
      </c>
      <c r="H196" s="121">
        <f t="shared" si="13"/>
        <v>400737745</v>
      </c>
    </row>
    <row r="197" spans="1:8" ht="12.75">
      <c r="A197" s="121" t="s">
        <v>141</v>
      </c>
      <c r="C197" s="58"/>
      <c r="D197" s="332">
        <v>39381</v>
      </c>
      <c r="F197" s="121">
        <v>2327751</v>
      </c>
      <c r="G197" s="121">
        <f t="shared" si="12"/>
        <v>96507006</v>
      </c>
      <c r="H197" s="121">
        <f t="shared" si="13"/>
        <v>398409994</v>
      </c>
    </row>
    <row r="198" spans="1:8" ht="12.75">
      <c r="A198" s="121" t="s">
        <v>142</v>
      </c>
      <c r="C198" s="58"/>
      <c r="D198" s="332">
        <v>39384</v>
      </c>
      <c r="F198" s="121">
        <v>13559767</v>
      </c>
      <c r="G198" s="121">
        <f t="shared" si="12"/>
        <v>110066773</v>
      </c>
      <c r="H198" s="121">
        <f t="shared" si="13"/>
        <v>384850227</v>
      </c>
    </row>
    <row r="199" spans="1:8" ht="12.75">
      <c r="A199" s="121" t="s">
        <v>143</v>
      </c>
      <c r="C199" s="58"/>
      <c r="D199" s="332">
        <v>39386</v>
      </c>
      <c r="F199" s="121">
        <v>5051156</v>
      </c>
      <c r="G199" s="121">
        <f t="shared" si="12"/>
        <v>115117929</v>
      </c>
      <c r="H199" s="121">
        <f t="shared" si="13"/>
        <v>379799071</v>
      </c>
    </row>
    <row r="200" spans="1:8" ht="12.75">
      <c r="A200" s="121" t="s">
        <v>144</v>
      </c>
      <c r="C200" s="58"/>
      <c r="D200" s="332">
        <v>39392</v>
      </c>
      <c r="F200" s="121">
        <v>495250</v>
      </c>
      <c r="G200" s="121">
        <f t="shared" si="12"/>
        <v>115613179</v>
      </c>
      <c r="H200" s="121">
        <f t="shared" si="13"/>
        <v>379303821</v>
      </c>
    </row>
    <row r="201" spans="1:8" ht="12.75">
      <c r="A201" s="121" t="s">
        <v>145</v>
      </c>
      <c r="C201" s="58"/>
      <c r="D201" s="332">
        <v>39394</v>
      </c>
      <c r="F201" s="121">
        <v>9453214</v>
      </c>
      <c r="G201" s="121">
        <f t="shared" si="12"/>
        <v>125066393</v>
      </c>
      <c r="H201" s="121">
        <f t="shared" si="13"/>
        <v>369850607</v>
      </c>
    </row>
    <row r="202" spans="1:8" ht="12.75">
      <c r="A202" s="121" t="s">
        <v>146</v>
      </c>
      <c r="C202" s="58"/>
      <c r="D202" s="332">
        <v>39399</v>
      </c>
      <c r="F202" s="121">
        <v>11458638</v>
      </c>
      <c r="G202" s="121">
        <f t="shared" si="12"/>
        <v>136525031</v>
      </c>
      <c r="H202" s="121">
        <f t="shared" si="13"/>
        <v>358391969</v>
      </c>
    </row>
    <row r="203" spans="1:8" ht="12.75">
      <c r="A203" s="121" t="s">
        <v>147</v>
      </c>
      <c r="C203" s="58"/>
      <c r="D203" s="332">
        <v>39402</v>
      </c>
      <c r="F203" s="121">
        <v>1995017</v>
      </c>
      <c r="G203" s="121">
        <f t="shared" si="12"/>
        <v>138520048</v>
      </c>
      <c r="H203" s="121">
        <f t="shared" si="13"/>
        <v>356396952</v>
      </c>
    </row>
    <row r="204" spans="1:8" ht="12.75">
      <c r="A204" s="121" t="s">
        <v>148</v>
      </c>
      <c r="C204" s="58"/>
      <c r="D204" s="332">
        <v>39407</v>
      </c>
      <c r="F204" s="121">
        <v>10429639</v>
      </c>
      <c r="G204" s="121">
        <f t="shared" si="12"/>
        <v>148949687</v>
      </c>
      <c r="H204" s="121">
        <f t="shared" si="13"/>
        <v>345967313</v>
      </c>
    </row>
    <row r="205" spans="1:8" ht="12.75">
      <c r="A205" s="121" t="s">
        <v>154</v>
      </c>
      <c r="C205" s="58"/>
      <c r="D205" s="332">
        <v>39409</v>
      </c>
      <c r="F205" s="121">
        <v>4567911</v>
      </c>
      <c r="G205" s="121">
        <f aca="true" t="shared" si="14" ref="G205:G214">G204+F205</f>
        <v>153517598</v>
      </c>
      <c r="H205" s="121">
        <f aca="true" t="shared" si="15" ref="H205:H214">494917000-G205</f>
        <v>341399402</v>
      </c>
    </row>
    <row r="206" spans="1:8" ht="12.75">
      <c r="A206" s="121" t="s">
        <v>155</v>
      </c>
      <c r="C206" s="58"/>
      <c r="D206" s="332">
        <v>39414</v>
      </c>
      <c r="F206" s="121">
        <v>6187880</v>
      </c>
      <c r="G206" s="121">
        <f t="shared" si="14"/>
        <v>159705478</v>
      </c>
      <c r="H206" s="121">
        <f t="shared" si="15"/>
        <v>335211522</v>
      </c>
    </row>
    <row r="207" spans="1:8" ht="12.75">
      <c r="A207" s="121" t="s">
        <v>156</v>
      </c>
      <c r="C207" s="58"/>
      <c r="D207" s="332">
        <v>39415</v>
      </c>
      <c r="F207" s="121">
        <v>2446818</v>
      </c>
      <c r="G207" s="121">
        <f t="shared" si="14"/>
        <v>162152296</v>
      </c>
      <c r="H207" s="121">
        <f t="shared" si="15"/>
        <v>332764704</v>
      </c>
    </row>
    <row r="208" spans="1:8" ht="12.75">
      <c r="A208" s="121" t="s">
        <v>157</v>
      </c>
      <c r="C208" s="58"/>
      <c r="D208" s="332">
        <v>39419</v>
      </c>
      <c r="F208" s="121">
        <v>1291058</v>
      </c>
      <c r="G208" s="121">
        <f t="shared" si="14"/>
        <v>163443354</v>
      </c>
      <c r="H208" s="121">
        <f t="shared" si="15"/>
        <v>331473646</v>
      </c>
    </row>
    <row r="209" spans="1:8" ht="12.75">
      <c r="A209" s="121" t="s">
        <v>158</v>
      </c>
      <c r="C209" s="58"/>
      <c r="D209" s="332">
        <v>39427</v>
      </c>
      <c r="F209" s="121">
        <v>17224825</v>
      </c>
      <c r="G209" s="121">
        <f t="shared" si="14"/>
        <v>180668179</v>
      </c>
      <c r="H209" s="121">
        <f t="shared" si="15"/>
        <v>314248821</v>
      </c>
    </row>
    <row r="210" spans="1:8" ht="12.75">
      <c r="A210" s="121" t="s">
        <v>159</v>
      </c>
      <c r="C210" s="58"/>
      <c r="D210" s="332">
        <v>39429</v>
      </c>
      <c r="F210" s="121">
        <v>2044975</v>
      </c>
      <c r="G210" s="121">
        <f t="shared" si="14"/>
        <v>182713154</v>
      </c>
      <c r="H210" s="121">
        <f t="shared" si="15"/>
        <v>312203846</v>
      </c>
    </row>
    <row r="211" spans="1:8" ht="12.75">
      <c r="A211" s="121" t="s">
        <v>160</v>
      </c>
      <c r="C211" s="58"/>
      <c r="D211" s="332">
        <v>39434</v>
      </c>
      <c r="F211" s="121">
        <v>1720188</v>
      </c>
      <c r="G211" s="121">
        <f t="shared" si="14"/>
        <v>184433342</v>
      </c>
      <c r="H211" s="121">
        <f t="shared" si="15"/>
        <v>310483658</v>
      </c>
    </row>
    <row r="212" spans="1:8" ht="12.75">
      <c r="A212" s="121" t="s">
        <v>161</v>
      </c>
      <c r="C212" s="58"/>
      <c r="D212" s="332">
        <v>39435</v>
      </c>
      <c r="F212" s="121">
        <v>17758627</v>
      </c>
      <c r="G212" s="121">
        <f t="shared" si="14"/>
        <v>202191969</v>
      </c>
      <c r="H212" s="121">
        <f t="shared" si="15"/>
        <v>292725031</v>
      </c>
    </row>
    <row r="213" spans="1:8" ht="12.75">
      <c r="A213" s="121" t="s">
        <v>162</v>
      </c>
      <c r="C213" s="58"/>
      <c r="D213" s="332">
        <v>39445</v>
      </c>
      <c r="F213" s="121">
        <v>41133863</v>
      </c>
      <c r="G213" s="121">
        <f t="shared" si="14"/>
        <v>243325832</v>
      </c>
      <c r="H213" s="121">
        <f t="shared" si="15"/>
        <v>251591168</v>
      </c>
    </row>
    <row r="214" spans="1:8" ht="12.75">
      <c r="A214" s="121" t="s">
        <v>163</v>
      </c>
      <c r="C214" s="58"/>
      <c r="D214" s="332">
        <v>39454</v>
      </c>
      <c r="F214" s="121">
        <v>2833719</v>
      </c>
      <c r="G214" s="121">
        <f t="shared" si="14"/>
        <v>246159551</v>
      </c>
      <c r="H214" s="121">
        <f t="shared" si="15"/>
        <v>248757449</v>
      </c>
    </row>
    <row r="215" spans="1:8" ht="12.75">
      <c r="A215" s="121" t="s">
        <v>164</v>
      </c>
      <c r="C215" s="58"/>
      <c r="D215" s="332">
        <v>39456</v>
      </c>
      <c r="F215" s="121">
        <v>4015750</v>
      </c>
      <c r="G215" s="121">
        <f aca="true" t="shared" si="16" ref="G215:G222">G214+F215</f>
        <v>250175301</v>
      </c>
      <c r="H215" s="121">
        <f aca="true" t="shared" si="17" ref="H215:H222">494917000-G215</f>
        <v>244741699</v>
      </c>
    </row>
    <row r="216" spans="1:8" ht="12.75">
      <c r="A216" s="121" t="s">
        <v>165</v>
      </c>
      <c r="C216" s="58"/>
      <c r="D216" s="332">
        <v>39457</v>
      </c>
      <c r="F216" s="121">
        <v>1376768</v>
      </c>
      <c r="G216" s="121">
        <f t="shared" si="16"/>
        <v>251552069</v>
      </c>
      <c r="H216" s="121">
        <f t="shared" si="17"/>
        <v>243364931</v>
      </c>
    </row>
    <row r="217" spans="1:8" ht="12.75">
      <c r="A217" s="121" t="s">
        <v>166</v>
      </c>
      <c r="C217" s="58"/>
      <c r="D217" s="332">
        <v>39463</v>
      </c>
      <c r="F217" s="121">
        <v>8450714</v>
      </c>
      <c r="G217" s="121">
        <f t="shared" si="16"/>
        <v>260002783</v>
      </c>
      <c r="H217" s="121">
        <f t="shared" si="17"/>
        <v>234914217</v>
      </c>
    </row>
    <row r="218" spans="1:8" ht="12.75">
      <c r="A218" s="121" t="s">
        <v>167</v>
      </c>
      <c r="C218" s="58"/>
      <c r="D218" s="332">
        <v>39464</v>
      </c>
      <c r="F218" s="121">
        <v>3093036</v>
      </c>
      <c r="G218" s="121">
        <f t="shared" si="16"/>
        <v>263095819</v>
      </c>
      <c r="H218" s="121">
        <f t="shared" si="17"/>
        <v>231821181</v>
      </c>
    </row>
    <row r="219" spans="1:8" ht="12.75">
      <c r="A219" s="121" t="s">
        <v>168</v>
      </c>
      <c r="C219" s="58"/>
      <c r="D219" s="332">
        <v>39476</v>
      </c>
      <c r="F219" s="121">
        <v>5741529</v>
      </c>
      <c r="G219" s="121">
        <f t="shared" si="16"/>
        <v>268837348</v>
      </c>
      <c r="H219" s="121">
        <f t="shared" si="17"/>
        <v>226079652</v>
      </c>
    </row>
    <row r="220" spans="1:8" ht="12.75">
      <c r="A220" s="121" t="s">
        <v>169</v>
      </c>
      <c r="C220" s="58"/>
      <c r="D220" s="332">
        <v>39491</v>
      </c>
      <c r="F220" s="121">
        <v>2400000</v>
      </c>
      <c r="G220" s="121">
        <f t="shared" si="16"/>
        <v>271237348</v>
      </c>
      <c r="H220" s="121">
        <f t="shared" si="17"/>
        <v>223679652</v>
      </c>
    </row>
    <row r="221" spans="1:8" ht="12.75">
      <c r="A221" s="121" t="s">
        <v>185</v>
      </c>
      <c r="C221" s="58"/>
      <c r="D221" s="332">
        <v>39496</v>
      </c>
      <c r="F221" s="121">
        <v>965780</v>
      </c>
      <c r="G221" s="121">
        <f t="shared" si="16"/>
        <v>272203128</v>
      </c>
      <c r="H221" s="121">
        <f t="shared" si="17"/>
        <v>222713872</v>
      </c>
    </row>
    <row r="222" spans="1:8" ht="12.75">
      <c r="A222" s="121" t="s">
        <v>186</v>
      </c>
      <c r="C222" s="58"/>
      <c r="D222" s="332">
        <v>39497</v>
      </c>
      <c r="F222" s="121">
        <v>3826055</v>
      </c>
      <c r="G222" s="121">
        <f t="shared" si="16"/>
        <v>276029183</v>
      </c>
      <c r="H222" s="121">
        <f t="shared" si="17"/>
        <v>218887817</v>
      </c>
    </row>
    <row r="223" spans="1:8" ht="12.75">
      <c r="A223" s="121" t="s">
        <v>187</v>
      </c>
      <c r="C223" s="58"/>
      <c r="D223" s="332">
        <v>39498</v>
      </c>
      <c r="F223" s="121">
        <v>5174649</v>
      </c>
      <c r="G223" s="121">
        <f aca="true" t="shared" si="18" ref="G223:G228">G222+F223</f>
        <v>281203832</v>
      </c>
      <c r="H223" s="121">
        <f aca="true" t="shared" si="19" ref="H223:H228">494917000-G223</f>
        <v>213713168</v>
      </c>
    </row>
    <row r="224" spans="1:8" ht="12.75">
      <c r="A224" s="121" t="s">
        <v>188</v>
      </c>
      <c r="C224" s="58"/>
      <c r="D224" s="332">
        <v>39500</v>
      </c>
      <c r="F224" s="121">
        <v>2472031</v>
      </c>
      <c r="G224" s="121">
        <f t="shared" si="18"/>
        <v>283675863</v>
      </c>
      <c r="H224" s="121">
        <f t="shared" si="19"/>
        <v>211241137</v>
      </c>
    </row>
    <row r="225" spans="1:8" ht="12.75">
      <c r="A225" s="121" t="s">
        <v>189</v>
      </c>
      <c r="C225" s="58"/>
      <c r="D225" s="332">
        <v>39505</v>
      </c>
      <c r="F225" s="121">
        <v>5982773</v>
      </c>
      <c r="G225" s="121">
        <f t="shared" si="18"/>
        <v>289658636</v>
      </c>
      <c r="H225" s="121">
        <f t="shared" si="19"/>
        <v>205258364</v>
      </c>
    </row>
    <row r="226" spans="1:8" ht="12.75">
      <c r="A226" s="121" t="s">
        <v>190</v>
      </c>
      <c r="C226" s="58"/>
      <c r="D226" s="332">
        <v>39507</v>
      </c>
      <c r="F226" s="121">
        <v>1616855</v>
      </c>
      <c r="G226" s="121">
        <f t="shared" si="18"/>
        <v>291275491</v>
      </c>
      <c r="H226" s="121">
        <f t="shared" si="19"/>
        <v>203641509</v>
      </c>
    </row>
    <row r="227" spans="1:8" ht="12.75">
      <c r="A227" s="121" t="s">
        <v>191</v>
      </c>
      <c r="C227" s="58"/>
      <c r="D227" s="332">
        <v>39511</v>
      </c>
      <c r="F227" s="121">
        <v>14590547</v>
      </c>
      <c r="G227" s="121">
        <f t="shared" si="18"/>
        <v>305866038</v>
      </c>
      <c r="H227" s="121">
        <f t="shared" si="19"/>
        <v>189050962</v>
      </c>
    </row>
    <row r="228" spans="1:8" ht="12.75">
      <c r="A228" s="121" t="s">
        <v>192</v>
      </c>
      <c r="C228" s="58"/>
      <c r="D228" s="332">
        <v>39512</v>
      </c>
      <c r="F228" s="121">
        <v>952324</v>
      </c>
      <c r="G228" s="121">
        <f t="shared" si="18"/>
        <v>306818362</v>
      </c>
      <c r="H228" s="121">
        <f t="shared" si="19"/>
        <v>188098638</v>
      </c>
    </row>
    <row r="229" spans="1:8" ht="12.75">
      <c r="A229" s="121" t="s">
        <v>193</v>
      </c>
      <c r="C229" s="58"/>
      <c r="D229" s="332">
        <v>39517</v>
      </c>
      <c r="F229" s="121">
        <v>10253017</v>
      </c>
      <c r="G229" s="121">
        <f aca="true" t="shared" si="20" ref="G229:G235">G228+F229</f>
        <v>317071379</v>
      </c>
      <c r="H229" s="121">
        <f aca="true" t="shared" si="21" ref="H229:H235">494917000-G229</f>
        <v>177845621</v>
      </c>
    </row>
    <row r="230" spans="1:8" ht="12.75">
      <c r="A230" s="121" t="s">
        <v>194</v>
      </c>
      <c r="C230" s="58"/>
      <c r="D230" s="332">
        <v>39520</v>
      </c>
      <c r="F230" s="121">
        <v>5758890</v>
      </c>
      <c r="G230" s="121">
        <f t="shared" si="20"/>
        <v>322830269</v>
      </c>
      <c r="H230" s="121">
        <f t="shared" si="21"/>
        <v>172086731</v>
      </c>
    </row>
    <row r="231" spans="1:8" ht="12.75">
      <c r="A231" s="121" t="s">
        <v>195</v>
      </c>
      <c r="C231" s="58"/>
      <c r="D231" s="332">
        <v>39526</v>
      </c>
      <c r="E231" s="516"/>
      <c r="F231" s="121">
        <v>2092593</v>
      </c>
      <c r="G231" s="121">
        <f t="shared" si="20"/>
        <v>324922862</v>
      </c>
      <c r="H231" s="121">
        <f t="shared" si="21"/>
        <v>169994138</v>
      </c>
    </row>
    <row r="232" spans="1:8" ht="12.75">
      <c r="A232" s="121" t="s">
        <v>196</v>
      </c>
      <c r="C232" s="58"/>
      <c r="D232" s="332">
        <v>39538</v>
      </c>
      <c r="F232" s="121">
        <v>15114539</v>
      </c>
      <c r="G232" s="121">
        <f t="shared" si="20"/>
        <v>340037401</v>
      </c>
      <c r="H232" s="121">
        <f t="shared" si="21"/>
        <v>154879599</v>
      </c>
    </row>
    <row r="233" spans="1:8" ht="12.75">
      <c r="A233" s="121" t="s">
        <v>197</v>
      </c>
      <c r="C233" s="58"/>
      <c r="D233" s="332">
        <v>39540</v>
      </c>
      <c r="F233" s="121">
        <v>3988710</v>
      </c>
      <c r="G233" s="121">
        <f t="shared" si="20"/>
        <v>344026111</v>
      </c>
      <c r="H233" s="121">
        <f t="shared" si="21"/>
        <v>150890889</v>
      </c>
    </row>
    <row r="234" spans="1:8" ht="12.75">
      <c r="A234" s="121" t="s">
        <v>198</v>
      </c>
      <c r="C234" s="58"/>
      <c r="D234" s="332">
        <v>39542</v>
      </c>
      <c r="F234" s="121">
        <v>6937965</v>
      </c>
      <c r="G234" s="121">
        <f t="shared" si="20"/>
        <v>350964076</v>
      </c>
      <c r="H234" s="121">
        <f t="shared" si="21"/>
        <v>143952924</v>
      </c>
    </row>
    <row r="235" spans="1:8" ht="12.75">
      <c r="A235" s="121" t="s">
        <v>208</v>
      </c>
      <c r="C235" s="58"/>
      <c r="D235" s="332">
        <v>39547</v>
      </c>
      <c r="F235" s="121">
        <v>8818913</v>
      </c>
      <c r="G235" s="121">
        <f t="shared" si="20"/>
        <v>359782989</v>
      </c>
      <c r="H235" s="121">
        <f t="shared" si="21"/>
        <v>135134011</v>
      </c>
    </row>
    <row r="236" spans="1:8" ht="12.75">
      <c r="A236" s="121" t="s">
        <v>209</v>
      </c>
      <c r="C236" s="58"/>
      <c r="D236" s="332">
        <v>39559</v>
      </c>
      <c r="F236" s="121">
        <v>1680000</v>
      </c>
      <c r="G236" s="121">
        <f aca="true" t="shared" si="22" ref="G236:G242">G235+F236</f>
        <v>361462989</v>
      </c>
      <c r="H236" s="121">
        <f aca="true" t="shared" si="23" ref="H236:H243">494917000-G236</f>
        <v>133454011</v>
      </c>
    </row>
    <row r="237" spans="1:8" ht="12.75">
      <c r="A237" s="121" t="s">
        <v>210</v>
      </c>
      <c r="C237" s="58"/>
      <c r="D237" s="332">
        <v>39562</v>
      </c>
      <c r="F237" s="121">
        <v>19658531</v>
      </c>
      <c r="G237" s="121">
        <f t="shared" si="22"/>
        <v>381121520</v>
      </c>
      <c r="H237" s="121">
        <f t="shared" si="23"/>
        <v>113795480</v>
      </c>
    </row>
    <row r="238" spans="1:8" ht="12.75">
      <c r="A238" s="121" t="s">
        <v>211</v>
      </c>
      <c r="C238" s="58"/>
      <c r="D238" s="332">
        <v>39563</v>
      </c>
      <c r="F238" s="121">
        <v>991017</v>
      </c>
      <c r="G238" s="121">
        <f t="shared" si="22"/>
        <v>382112537</v>
      </c>
      <c r="H238" s="121">
        <f t="shared" si="23"/>
        <v>112804463</v>
      </c>
    </row>
    <row r="239" spans="1:8" ht="12.75">
      <c r="A239" s="121" t="s">
        <v>212</v>
      </c>
      <c r="C239" s="58"/>
      <c r="D239" s="332">
        <v>39566</v>
      </c>
      <c r="F239" s="121">
        <v>5898332</v>
      </c>
      <c r="G239" s="121">
        <f t="shared" si="22"/>
        <v>388010869</v>
      </c>
      <c r="H239" s="121">
        <f t="shared" si="23"/>
        <v>106906131</v>
      </c>
    </row>
    <row r="240" spans="1:8" ht="12.75">
      <c r="A240" s="121" t="s">
        <v>213</v>
      </c>
      <c r="C240" s="58"/>
      <c r="D240" s="332">
        <v>39574</v>
      </c>
      <c r="F240" s="121">
        <v>5560152</v>
      </c>
      <c r="G240" s="121">
        <f t="shared" si="22"/>
        <v>393571021</v>
      </c>
      <c r="H240" s="121">
        <f t="shared" si="23"/>
        <v>101345979</v>
      </c>
    </row>
    <row r="241" spans="1:8" ht="12.75">
      <c r="A241" s="121" t="s">
        <v>214</v>
      </c>
      <c r="C241" s="58"/>
      <c r="D241" s="332">
        <v>39587</v>
      </c>
      <c r="F241" s="121">
        <v>12193992</v>
      </c>
      <c r="G241" s="121">
        <f t="shared" si="22"/>
        <v>405765013</v>
      </c>
      <c r="H241" s="121">
        <f t="shared" si="23"/>
        <v>89151987</v>
      </c>
    </row>
    <row r="242" spans="1:8" ht="12.75">
      <c r="A242" s="121" t="s">
        <v>215</v>
      </c>
      <c r="C242" s="58"/>
      <c r="D242" s="332">
        <v>39588</v>
      </c>
      <c r="F242" s="121">
        <v>3005276</v>
      </c>
      <c r="G242" s="121">
        <f t="shared" si="22"/>
        <v>408770289</v>
      </c>
      <c r="H242" s="121">
        <f t="shared" si="23"/>
        <v>86146711</v>
      </c>
    </row>
    <row r="243" spans="1:8" ht="12.75">
      <c r="A243" s="121" t="s">
        <v>216</v>
      </c>
      <c r="C243" s="58"/>
      <c r="D243" s="332">
        <v>39596</v>
      </c>
      <c r="F243" s="121">
        <v>3655986</v>
      </c>
      <c r="G243" s="121">
        <f aca="true" t="shared" si="24" ref="G243:G248">G242+F243</f>
        <v>412426275</v>
      </c>
      <c r="H243" s="121">
        <f t="shared" si="23"/>
        <v>82490725</v>
      </c>
    </row>
    <row r="244" spans="1:8" ht="12.75">
      <c r="A244" s="121" t="s">
        <v>217</v>
      </c>
      <c r="C244" s="58"/>
      <c r="D244" s="332">
        <v>39602</v>
      </c>
      <c r="F244" s="121">
        <v>8804975</v>
      </c>
      <c r="G244" s="121">
        <f t="shared" si="24"/>
        <v>421231250</v>
      </c>
      <c r="H244" s="121">
        <f aca="true" t="shared" si="25" ref="H244:H251">494917000-G244</f>
        <v>73685750</v>
      </c>
    </row>
    <row r="245" spans="1:8" ht="12.75">
      <c r="A245" s="121" t="s">
        <v>219</v>
      </c>
      <c r="C245" s="58"/>
      <c r="D245" s="332">
        <v>39603</v>
      </c>
      <c r="F245" s="121">
        <v>8450408</v>
      </c>
      <c r="G245" s="121">
        <f t="shared" si="24"/>
        <v>429681658</v>
      </c>
      <c r="H245" s="121">
        <f t="shared" si="25"/>
        <v>65235342</v>
      </c>
    </row>
    <row r="246" spans="1:8" ht="12.75">
      <c r="A246" s="121" t="s">
        <v>220</v>
      </c>
      <c r="C246" s="58"/>
      <c r="D246" s="332">
        <v>39608</v>
      </c>
      <c r="F246" s="121">
        <v>4539136</v>
      </c>
      <c r="G246" s="121">
        <f t="shared" si="24"/>
        <v>434220794</v>
      </c>
      <c r="H246" s="121">
        <f t="shared" si="25"/>
        <v>60696206</v>
      </c>
    </row>
    <row r="247" spans="1:8" ht="12.75">
      <c r="A247" s="121" t="s">
        <v>221</v>
      </c>
      <c r="C247" s="58"/>
      <c r="D247" s="332">
        <v>39611</v>
      </c>
      <c r="F247" s="121">
        <v>3021870</v>
      </c>
      <c r="G247" s="121">
        <f t="shared" si="24"/>
        <v>437242664</v>
      </c>
      <c r="H247" s="121">
        <f t="shared" si="25"/>
        <v>57674336</v>
      </c>
    </row>
    <row r="248" spans="1:8" ht="12.75">
      <c r="A248" s="121" t="s">
        <v>222</v>
      </c>
      <c r="C248" s="58"/>
      <c r="D248" s="332">
        <v>39615</v>
      </c>
      <c r="F248" s="121">
        <v>2033324</v>
      </c>
      <c r="G248" s="121">
        <f t="shared" si="24"/>
        <v>439275988</v>
      </c>
      <c r="H248" s="121">
        <f t="shared" si="25"/>
        <v>55641012</v>
      </c>
    </row>
    <row r="249" spans="1:9" ht="12.75">
      <c r="A249" s="121" t="s">
        <v>223</v>
      </c>
      <c r="C249" s="58"/>
      <c r="D249" s="332">
        <v>39624</v>
      </c>
      <c r="F249" s="121">
        <v>9793336</v>
      </c>
      <c r="G249" s="121">
        <f aca="true" t="shared" si="26" ref="G249:G254">G248+F249</f>
        <v>449069324</v>
      </c>
      <c r="H249" s="121">
        <f t="shared" si="25"/>
        <v>45847676</v>
      </c>
      <c r="I249" s="121">
        <f>SUM(F214:F249)</f>
        <v>205743492</v>
      </c>
    </row>
    <row r="250" spans="1:8" ht="12.75">
      <c r="A250" s="121" t="s">
        <v>224</v>
      </c>
      <c r="C250" s="58"/>
      <c r="D250" s="332">
        <v>39632</v>
      </c>
      <c r="F250" s="121">
        <v>2568387</v>
      </c>
      <c r="G250" s="121">
        <f t="shared" si="26"/>
        <v>451637711</v>
      </c>
      <c r="H250" s="121">
        <f t="shared" si="25"/>
        <v>43279289</v>
      </c>
    </row>
    <row r="251" spans="1:8" ht="12.75">
      <c r="A251" s="121" t="s">
        <v>248</v>
      </c>
      <c r="C251" s="58"/>
      <c r="D251" s="332">
        <v>39638</v>
      </c>
      <c r="F251" s="121">
        <v>1216918</v>
      </c>
      <c r="G251" s="121">
        <f t="shared" si="26"/>
        <v>452854629</v>
      </c>
      <c r="H251" s="121">
        <f t="shared" si="25"/>
        <v>42062371</v>
      </c>
    </row>
    <row r="252" spans="1:8" ht="12.75">
      <c r="A252" s="121" t="s">
        <v>249</v>
      </c>
      <c r="C252" s="58"/>
      <c r="D252" s="332">
        <v>39650</v>
      </c>
      <c r="F252" s="121">
        <v>2237677</v>
      </c>
      <c r="G252" s="121">
        <f t="shared" si="26"/>
        <v>455092306</v>
      </c>
      <c r="H252" s="121">
        <f aca="true" t="shared" si="27" ref="H252:H257">494917000-G252</f>
        <v>39824694</v>
      </c>
    </row>
    <row r="253" spans="1:8" ht="12.75">
      <c r="A253" s="121" t="s">
        <v>303</v>
      </c>
      <c r="C253" s="58"/>
      <c r="D253" s="332">
        <v>39665</v>
      </c>
      <c r="F253" s="121">
        <v>5211545</v>
      </c>
      <c r="G253" s="121">
        <f t="shared" si="26"/>
        <v>460303851</v>
      </c>
      <c r="H253" s="121">
        <f t="shared" si="27"/>
        <v>34613149</v>
      </c>
    </row>
    <row r="254" spans="1:8" ht="12.75">
      <c r="A254" s="121" t="s">
        <v>304</v>
      </c>
      <c r="C254" s="58"/>
      <c r="D254" s="332">
        <v>39666</v>
      </c>
      <c r="F254" s="121">
        <v>2488387</v>
      </c>
      <c r="G254" s="121">
        <f t="shared" si="26"/>
        <v>462792238</v>
      </c>
      <c r="H254" s="121">
        <f t="shared" si="27"/>
        <v>32124762</v>
      </c>
    </row>
    <row r="255" spans="1:8" ht="12.75">
      <c r="A255" s="121" t="s">
        <v>309</v>
      </c>
      <c r="C255" s="58"/>
      <c r="D255" s="332">
        <v>39715</v>
      </c>
      <c r="F255" s="121">
        <v>5356666</v>
      </c>
      <c r="G255" s="121">
        <f>G254+F255</f>
        <v>468148904</v>
      </c>
      <c r="H255" s="121">
        <f t="shared" si="27"/>
        <v>26768096</v>
      </c>
    </row>
    <row r="256" spans="1:8" ht="12.75">
      <c r="A256" s="121" t="s">
        <v>319</v>
      </c>
      <c r="C256" s="58"/>
      <c r="D256" s="332">
        <v>39728</v>
      </c>
      <c r="F256" s="121">
        <v>11342192</v>
      </c>
      <c r="G256" s="121">
        <f>G255+F256</f>
        <v>479491096</v>
      </c>
      <c r="H256" s="121">
        <f t="shared" si="27"/>
        <v>15425904</v>
      </c>
    </row>
    <row r="257" spans="1:8" ht="13.5" thickBot="1">
      <c r="A257" s="121" t="s">
        <v>250</v>
      </c>
      <c r="C257" s="58"/>
      <c r="D257" s="332">
        <v>39692</v>
      </c>
      <c r="F257" s="121">
        <v>15425904</v>
      </c>
      <c r="G257" s="121">
        <f>G256+F257</f>
        <v>494917000</v>
      </c>
      <c r="H257" s="121">
        <f t="shared" si="27"/>
        <v>0</v>
      </c>
    </row>
    <row r="258" spans="1:6" ht="13.5" thickTop="1">
      <c r="A258" s="126" t="s">
        <v>14</v>
      </c>
      <c r="B258" s="126"/>
      <c r="C258" s="124"/>
      <c r="D258" s="124"/>
      <c r="E258" s="333"/>
      <c r="F258" s="124">
        <f>SUM(F188:F257)</f>
        <v>494917000</v>
      </c>
    </row>
  </sheetData>
  <sheetProtection/>
  <mergeCells count="1">
    <mergeCell ref="A183:C183"/>
  </mergeCells>
  <printOptions horizontalCentered="1"/>
  <pageMargins left="0.3937007874015748" right="0.3937007874015748" top="0.7874015748031497" bottom="0.3937007874015748" header="0.1968503937007874" footer="0.11811023622047245"/>
  <pageSetup blackAndWhite="1" horizontalDpi="300" verticalDpi="300" orientation="portrait" paperSize="9" scale="90" r:id="rId1"/>
  <headerFooter alignWithMargins="0">
    <oddHeader>&amp;C&amp;"Times New Roman CE,Félkövér dőlt"&amp;12Adósságszolgálat számítása
Panel Plusz Programhoz kapcsolódó 494.917 ezer Ft hitel</oddHeader>
    <oddFooter>&amp;L&amp;8&amp;D&amp;C&amp;8C:\Andi\adósságszolgálat\&amp;F\&amp;A    Oláhné P. Andrea&amp;R&amp;8&amp;P/&amp;N</oddFooter>
  </headerFooter>
  <rowBreaks count="1" manualBreakCount="1">
    <brk id="18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85">
      <selection activeCell="D102" sqref="D102"/>
    </sheetView>
  </sheetViews>
  <sheetFormatPr defaultColWidth="9.00390625" defaultRowHeight="12.75"/>
  <cols>
    <col min="1" max="1" width="11.37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8.625" style="58" customWidth="1"/>
    <col min="6" max="7" width="12.625" style="58" customWidth="1"/>
    <col min="8" max="8" width="14.625" style="58" bestFit="1" customWidth="1"/>
    <col min="9" max="9" width="12.625" style="58" bestFit="1" customWidth="1"/>
    <col min="10" max="10" width="14.375" style="58" bestFit="1" customWidth="1"/>
    <col min="11" max="11" width="2.125" style="58" customWidth="1"/>
    <col min="12" max="16384" width="9.375" style="58" customWidth="1"/>
  </cols>
  <sheetData>
    <row r="1" spans="1:7" ht="12.75">
      <c r="A1" s="162" t="s">
        <v>204</v>
      </c>
      <c r="B1" s="162"/>
      <c r="C1" s="163"/>
      <c r="D1" s="163">
        <v>196360000</v>
      </c>
      <c r="E1" s="162" t="s">
        <v>205</v>
      </c>
      <c r="F1" s="162" t="s">
        <v>299</v>
      </c>
      <c r="G1" s="162"/>
    </row>
    <row r="2" spans="1:7" ht="12.75">
      <c r="A2" s="162" t="s">
        <v>206</v>
      </c>
      <c r="B2" s="162"/>
      <c r="C2" s="163"/>
      <c r="D2" s="163">
        <v>17</v>
      </c>
      <c r="E2" s="162" t="s">
        <v>207</v>
      </c>
      <c r="F2" s="162"/>
      <c r="G2" s="162"/>
    </row>
    <row r="3" spans="1:7" ht="12.75">
      <c r="A3" s="162" t="s">
        <v>226</v>
      </c>
      <c r="B3" s="162"/>
      <c r="C3" s="163"/>
      <c r="D3" s="233">
        <v>1.499</v>
      </c>
      <c r="E3" s="162" t="s">
        <v>227</v>
      </c>
      <c r="F3" s="163">
        <f>ROUND(D1*D3/100,0)</f>
        <v>2943436</v>
      </c>
      <c r="G3" s="162" t="s">
        <v>205</v>
      </c>
    </row>
    <row r="4" spans="1:7" ht="12.75">
      <c r="A4" s="163" t="s">
        <v>228</v>
      </c>
      <c r="B4" s="162"/>
      <c r="C4" s="163"/>
      <c r="D4" s="163">
        <v>3</v>
      </c>
      <c r="E4" s="162" t="s">
        <v>207</v>
      </c>
      <c r="F4" s="162"/>
      <c r="G4" s="162"/>
    </row>
    <row r="5" spans="1:10" ht="12.75">
      <c r="A5" s="163" t="s">
        <v>252</v>
      </c>
      <c r="B5" s="162"/>
      <c r="C5" s="163"/>
      <c r="D5" s="398"/>
      <c r="G5" s="399"/>
      <c r="H5" s="488">
        <v>0.052249</v>
      </c>
      <c r="J5" s="132"/>
    </row>
    <row r="6" spans="1:10" ht="12.75">
      <c r="A6" s="66" t="s">
        <v>3</v>
      </c>
      <c r="B6" s="67" t="s">
        <v>4</v>
      </c>
      <c r="C6" s="68" t="s">
        <v>5</v>
      </c>
      <c r="D6" s="68" t="s">
        <v>21</v>
      </c>
      <c r="E6" s="68" t="s">
        <v>18</v>
      </c>
      <c r="F6" s="69" t="s">
        <v>20</v>
      </c>
      <c r="G6" s="69" t="s">
        <v>120</v>
      </c>
      <c r="H6" s="70" t="s">
        <v>6</v>
      </c>
      <c r="I6" s="70" t="s">
        <v>6</v>
      </c>
      <c r="J6" s="71" t="s">
        <v>6</v>
      </c>
    </row>
    <row r="7" spans="1:10" ht="12.75">
      <c r="A7" s="72"/>
      <c r="B7" s="73" t="s">
        <v>7</v>
      </c>
      <c r="C7" s="74" t="s">
        <v>8</v>
      </c>
      <c r="D7" s="74" t="s">
        <v>13</v>
      </c>
      <c r="E7" s="74" t="s">
        <v>19</v>
      </c>
      <c r="F7" s="75" t="s">
        <v>13</v>
      </c>
      <c r="G7" s="75" t="s">
        <v>121</v>
      </c>
      <c r="H7" s="76" t="s">
        <v>9</v>
      </c>
      <c r="I7" s="76" t="s">
        <v>11</v>
      </c>
      <c r="J7" s="77" t="s">
        <v>10</v>
      </c>
    </row>
    <row r="8" spans="1:10" ht="12.75">
      <c r="A8" s="78"/>
      <c r="B8" s="79"/>
      <c r="C8" s="80"/>
      <c r="D8" s="80"/>
      <c r="E8" s="80"/>
      <c r="F8" s="81"/>
      <c r="G8" s="136" t="s">
        <v>229</v>
      </c>
      <c r="H8" s="136" t="s">
        <v>123</v>
      </c>
      <c r="I8" s="82" t="s">
        <v>13</v>
      </c>
      <c r="J8" s="83" t="s">
        <v>12</v>
      </c>
    </row>
    <row r="9" spans="1:10" ht="12.75">
      <c r="A9" s="413">
        <v>39420</v>
      </c>
      <c r="B9" s="307"/>
      <c r="C9" s="359">
        <v>181092155</v>
      </c>
      <c r="D9" s="408"/>
      <c r="E9" s="409"/>
      <c r="F9" s="107"/>
      <c r="G9" s="410"/>
      <c r="H9" s="410"/>
      <c r="I9" s="411"/>
      <c r="J9" s="412"/>
    </row>
    <row r="10" spans="1:10" ht="12.75">
      <c r="A10" s="490">
        <v>39420</v>
      </c>
      <c r="B10" s="307"/>
      <c r="C10" s="359"/>
      <c r="D10" s="408"/>
      <c r="E10" s="409"/>
      <c r="F10" s="107"/>
      <c r="G10" s="489">
        <v>36793</v>
      </c>
      <c r="H10" s="410"/>
      <c r="I10" s="411"/>
      <c r="J10" s="412"/>
    </row>
    <row r="11" spans="1:10" ht="12.75">
      <c r="A11" s="405">
        <v>39438</v>
      </c>
      <c r="B11" s="308">
        <f>A11-A9</f>
        <v>18</v>
      </c>
      <c r="C11" s="99">
        <f>C9-D11</f>
        <v>181092155</v>
      </c>
      <c r="D11" s="406"/>
      <c r="E11" s="402">
        <f>H5</f>
        <v>0.052249</v>
      </c>
      <c r="F11" s="99">
        <v>630792</v>
      </c>
      <c r="G11" s="407">
        <f>ROUND(F3/((D2+D4)*4),0)</f>
        <v>36793</v>
      </c>
      <c r="H11" s="300">
        <f>SUM(F9:G11)</f>
        <v>704378</v>
      </c>
      <c r="I11" s="300">
        <f>SUM(D11)</f>
        <v>0</v>
      </c>
      <c r="J11" s="301">
        <f>SUM(H11:I11)</f>
        <v>704378</v>
      </c>
    </row>
    <row r="12" spans="1:10" ht="12.75">
      <c r="A12" s="515">
        <v>39454</v>
      </c>
      <c r="B12" s="306">
        <f>A12-A10</f>
        <v>34</v>
      </c>
      <c r="C12" s="152">
        <v>187534067</v>
      </c>
      <c r="D12" s="324"/>
      <c r="E12" s="403"/>
      <c r="F12" s="42"/>
      <c r="G12" s="326"/>
      <c r="H12" s="330"/>
      <c r="I12" s="330"/>
      <c r="J12" s="331"/>
    </row>
    <row r="13" spans="1:10" ht="12.75">
      <c r="A13" s="90">
        <v>39538</v>
      </c>
      <c r="B13" s="307">
        <f>A13-A12</f>
        <v>84</v>
      </c>
      <c r="C13" s="41">
        <f>C12-D13</f>
        <v>187534067</v>
      </c>
      <c r="D13" s="41"/>
      <c r="E13" s="401">
        <v>0.052039</v>
      </c>
      <c r="F13" s="41">
        <v>2542110</v>
      </c>
      <c r="G13" s="41">
        <f>G11</f>
        <v>36793</v>
      </c>
      <c r="H13" s="91"/>
      <c r="I13" s="91"/>
      <c r="J13" s="231"/>
    </row>
    <row r="14" spans="1:10" ht="12.75">
      <c r="A14" s="90">
        <v>39640</v>
      </c>
      <c r="B14" s="307">
        <f>A14-A13</f>
        <v>102</v>
      </c>
      <c r="C14" s="41">
        <f aca="true" t="shared" si="0" ref="C14:C25">C13-D14</f>
        <v>187534067</v>
      </c>
      <c r="D14" s="41"/>
      <c r="E14" s="401">
        <v>0.051699</v>
      </c>
      <c r="F14" s="41">
        <v>2450940</v>
      </c>
      <c r="G14" s="41">
        <f>G13</f>
        <v>36793</v>
      </c>
      <c r="H14" s="91"/>
      <c r="I14" s="91"/>
      <c r="J14" s="231"/>
    </row>
    <row r="15" spans="1:12" ht="12.75">
      <c r="A15" s="90">
        <v>39721</v>
      </c>
      <c r="B15" s="307">
        <f>A15-A14</f>
        <v>81</v>
      </c>
      <c r="C15" s="41">
        <f t="shared" si="0"/>
        <v>187534067</v>
      </c>
      <c r="D15" s="41"/>
      <c r="E15" s="401">
        <v>0.053859</v>
      </c>
      <c r="F15" s="41">
        <v>2580087</v>
      </c>
      <c r="G15" s="41">
        <f>G14</f>
        <v>36793</v>
      </c>
      <c r="H15" s="91"/>
      <c r="I15" s="91"/>
      <c r="J15" s="231"/>
      <c r="L15" s="121"/>
    </row>
    <row r="16" spans="1:10" ht="12.75">
      <c r="A16" s="528">
        <v>39762</v>
      </c>
      <c r="B16" s="307">
        <f>A16-A15</f>
        <v>41</v>
      </c>
      <c r="C16" s="245">
        <v>196360000</v>
      </c>
      <c r="D16" s="107"/>
      <c r="E16" s="409"/>
      <c r="F16" s="107"/>
      <c r="G16" s="107"/>
      <c r="H16" s="108"/>
      <c r="I16" s="108"/>
      <c r="J16" s="251"/>
    </row>
    <row r="17" spans="1:10" ht="12.75">
      <c r="A17" s="97">
        <v>39813</v>
      </c>
      <c r="B17" s="307">
        <f>A17-A16</f>
        <v>51</v>
      </c>
      <c r="C17" s="99">
        <f>C16-D17</f>
        <v>196360000</v>
      </c>
      <c r="D17" s="99"/>
      <c r="E17" s="402">
        <f>E15</f>
        <v>0.053859</v>
      </c>
      <c r="F17" s="99">
        <f>((C15+D15)*E17/360*B16)+((C17+D17)*E17/360*B17)</f>
        <v>2648554.736490758</v>
      </c>
      <c r="G17" s="99">
        <f>G15</f>
        <v>36793</v>
      </c>
      <c r="H17" s="300">
        <f>SUM(F13:G17)</f>
        <v>10368863.736490758</v>
      </c>
      <c r="I17" s="300">
        <f>SUM(D13:D17)</f>
        <v>0</v>
      </c>
      <c r="J17" s="301">
        <f>SUM(H17:I17)</f>
        <v>10368863.736490758</v>
      </c>
    </row>
    <row r="18" spans="1:10" ht="12.75">
      <c r="A18" s="103">
        <v>39903</v>
      </c>
      <c r="B18" s="306">
        <f aca="true" t="shared" si="1" ref="B18:B25">A18-A17</f>
        <v>90</v>
      </c>
      <c r="C18" s="42">
        <f t="shared" si="0"/>
        <v>196360000</v>
      </c>
      <c r="D18" s="42"/>
      <c r="E18" s="403">
        <f aca="true" t="shared" si="2" ref="E18:E24">E17</f>
        <v>0.053859</v>
      </c>
      <c r="F18" s="42">
        <f>((C18+D18)*E18/360*B18)</f>
        <v>2643938.31</v>
      </c>
      <c r="G18" s="42">
        <f aca="true" t="shared" si="3" ref="G18:G24">G17</f>
        <v>36793</v>
      </c>
      <c r="H18" s="104"/>
      <c r="I18" s="104"/>
      <c r="J18" s="242"/>
    </row>
    <row r="19" spans="1:10" ht="12.75">
      <c r="A19" s="90">
        <v>39994</v>
      </c>
      <c r="B19" s="307">
        <f t="shared" si="1"/>
        <v>91</v>
      </c>
      <c r="C19" s="41">
        <f t="shared" si="0"/>
        <v>196360000</v>
      </c>
      <c r="D19" s="41"/>
      <c r="E19" s="401">
        <f t="shared" si="2"/>
        <v>0.053859</v>
      </c>
      <c r="F19" s="41">
        <f>((C19+D19)*E19/360*B19)</f>
        <v>2673315.402333333</v>
      </c>
      <c r="G19" s="41">
        <f t="shared" si="3"/>
        <v>36793</v>
      </c>
      <c r="H19" s="91"/>
      <c r="I19" s="91"/>
      <c r="J19" s="231"/>
    </row>
    <row r="20" spans="1:10" ht="12.75">
      <c r="A20" s="90">
        <v>40086</v>
      </c>
      <c r="B20" s="307">
        <f t="shared" si="1"/>
        <v>92</v>
      </c>
      <c r="C20" s="41">
        <f t="shared" si="0"/>
        <v>196360000</v>
      </c>
      <c r="D20" s="41"/>
      <c r="E20" s="401">
        <f t="shared" si="2"/>
        <v>0.053859</v>
      </c>
      <c r="F20" s="41">
        <f>((C20+D20)*E20/360*B20)</f>
        <v>2702692.4946666667</v>
      </c>
      <c r="G20" s="41">
        <f t="shared" si="3"/>
        <v>36793</v>
      </c>
      <c r="H20" s="91"/>
      <c r="I20" s="91"/>
      <c r="J20" s="231"/>
    </row>
    <row r="21" spans="1:10" ht="12.75">
      <c r="A21" s="97">
        <v>40178</v>
      </c>
      <c r="B21" s="308">
        <f t="shared" si="1"/>
        <v>92</v>
      </c>
      <c r="C21" s="99">
        <f t="shared" si="0"/>
        <v>196360000</v>
      </c>
      <c r="D21" s="99"/>
      <c r="E21" s="402">
        <f t="shared" si="2"/>
        <v>0.053859</v>
      </c>
      <c r="F21" s="99">
        <f>((C21+D21)*E21/360*B21)</f>
        <v>2702692.4946666667</v>
      </c>
      <c r="G21" s="99">
        <f t="shared" si="3"/>
        <v>36793</v>
      </c>
      <c r="H21" s="300">
        <f>SUM(F18:G21)</f>
        <v>10869810.701666666</v>
      </c>
      <c r="I21" s="300">
        <f>SUM(D18:D21)</f>
        <v>0</v>
      </c>
      <c r="J21" s="301">
        <f>SUM(H21:I21)</f>
        <v>10869810.701666666</v>
      </c>
    </row>
    <row r="22" spans="1:10" ht="12.75">
      <c r="A22" s="103">
        <v>40268</v>
      </c>
      <c r="B22" s="306">
        <f t="shared" si="1"/>
        <v>90</v>
      </c>
      <c r="C22" s="42">
        <f t="shared" si="0"/>
        <v>196360000</v>
      </c>
      <c r="D22" s="42"/>
      <c r="E22" s="403">
        <f t="shared" si="2"/>
        <v>0.053859</v>
      </c>
      <c r="F22" s="42">
        <f>((C22+D22)*E22/360*B22)</f>
        <v>2643938.31</v>
      </c>
      <c r="G22" s="42">
        <f t="shared" si="3"/>
        <v>36793</v>
      </c>
      <c r="H22" s="104"/>
      <c r="I22" s="104"/>
      <c r="J22" s="242"/>
    </row>
    <row r="23" spans="1:10" ht="12.75">
      <c r="A23" s="90">
        <v>40359</v>
      </c>
      <c r="B23" s="307">
        <f t="shared" si="1"/>
        <v>91</v>
      </c>
      <c r="C23" s="41">
        <f t="shared" si="0"/>
        <v>193554858</v>
      </c>
      <c r="D23" s="41">
        <v>2805142</v>
      </c>
      <c r="E23" s="401">
        <f t="shared" si="2"/>
        <v>0.053859</v>
      </c>
      <c r="F23" s="41">
        <f aca="true" t="shared" si="4" ref="F23:F54">((C23+D23)*E23/360*B23)</f>
        <v>2673315.402333333</v>
      </c>
      <c r="G23" s="41">
        <f t="shared" si="3"/>
        <v>36793</v>
      </c>
      <c r="H23" s="91"/>
      <c r="I23" s="91"/>
      <c r="J23" s="231"/>
    </row>
    <row r="24" spans="1:10" ht="12.75">
      <c r="A24" s="90">
        <v>40451</v>
      </c>
      <c r="B24" s="307">
        <f t="shared" si="1"/>
        <v>92</v>
      </c>
      <c r="C24" s="41">
        <f t="shared" si="0"/>
        <v>190749716</v>
      </c>
      <c r="D24" s="41">
        <f aca="true" t="shared" si="5" ref="D24:D55">D23</f>
        <v>2805142</v>
      </c>
      <c r="E24" s="401">
        <f t="shared" si="2"/>
        <v>0.053859</v>
      </c>
      <c r="F24" s="41">
        <f t="shared" si="4"/>
        <v>2664082.6136833997</v>
      </c>
      <c r="G24" s="41">
        <f t="shared" si="3"/>
        <v>36793</v>
      </c>
      <c r="H24" s="91"/>
      <c r="I24" s="91"/>
      <c r="J24" s="231"/>
    </row>
    <row r="25" spans="1:10" ht="12.75">
      <c r="A25" s="97">
        <v>40543</v>
      </c>
      <c r="B25" s="308">
        <f t="shared" si="1"/>
        <v>92</v>
      </c>
      <c r="C25" s="99">
        <f t="shared" si="0"/>
        <v>187944574</v>
      </c>
      <c r="D25" s="99">
        <f t="shared" si="5"/>
        <v>2805142</v>
      </c>
      <c r="E25" s="402">
        <f aca="true" t="shared" si="6" ref="E25:E56">E24</f>
        <v>0.053859</v>
      </c>
      <c r="F25" s="99">
        <f t="shared" si="4"/>
        <v>2625472.732700133</v>
      </c>
      <c r="G25" s="99">
        <f aca="true" t="shared" si="7" ref="G25:G56">G24</f>
        <v>36793</v>
      </c>
      <c r="H25" s="300">
        <f>SUM(F22:G25)</f>
        <v>10753981.058716865</v>
      </c>
      <c r="I25" s="300">
        <f>SUM(D22:D25)</f>
        <v>8415426</v>
      </c>
      <c r="J25" s="301">
        <f>SUM(H25:I25)</f>
        <v>19169407.058716863</v>
      </c>
    </row>
    <row r="26" spans="1:10" ht="12.75">
      <c r="A26" s="103">
        <v>40633</v>
      </c>
      <c r="B26" s="306">
        <f>A26-A25</f>
        <v>90</v>
      </c>
      <c r="C26" s="42">
        <f>C25-D26</f>
        <v>185139432</v>
      </c>
      <c r="D26" s="42">
        <f t="shared" si="5"/>
        <v>2805142</v>
      </c>
      <c r="E26" s="403">
        <f t="shared" si="6"/>
        <v>0.053859</v>
      </c>
      <c r="F26" s="42">
        <f t="shared" si="4"/>
        <v>2530626.7027665</v>
      </c>
      <c r="G26" s="42">
        <f t="shared" si="7"/>
        <v>36793</v>
      </c>
      <c r="H26" s="104"/>
      <c r="I26" s="104"/>
      <c r="J26" s="242"/>
    </row>
    <row r="27" spans="1:10" ht="12.75">
      <c r="A27" s="90">
        <v>40724</v>
      </c>
      <c r="B27" s="307">
        <f>A27-A26</f>
        <v>91</v>
      </c>
      <c r="C27" s="41">
        <f>C26-D27</f>
        <v>182334290</v>
      </c>
      <c r="D27" s="41">
        <f t="shared" si="5"/>
        <v>2805142</v>
      </c>
      <c r="E27" s="401">
        <f t="shared" si="6"/>
        <v>0.053859</v>
      </c>
      <c r="F27" s="41">
        <f t="shared" si="4"/>
        <v>2520554.5688778004</v>
      </c>
      <c r="G27" s="41">
        <f t="shared" si="7"/>
        <v>36793</v>
      </c>
      <c r="H27" s="91"/>
      <c r="I27" s="91"/>
      <c r="J27" s="231"/>
    </row>
    <row r="28" spans="1:10" ht="12.75">
      <c r="A28" s="90">
        <v>40816</v>
      </c>
      <c r="B28" s="307">
        <f>A28-A27</f>
        <v>92</v>
      </c>
      <c r="C28" s="41">
        <f>C27-D28</f>
        <v>179529148</v>
      </c>
      <c r="D28" s="41">
        <f t="shared" si="5"/>
        <v>2805142</v>
      </c>
      <c r="E28" s="401">
        <f t="shared" si="6"/>
        <v>0.053859</v>
      </c>
      <c r="F28" s="41">
        <f t="shared" si="4"/>
        <v>2509643.089750333</v>
      </c>
      <c r="G28" s="41">
        <f t="shared" si="7"/>
        <v>36793</v>
      </c>
      <c r="H28" s="91"/>
      <c r="I28" s="91"/>
      <c r="J28" s="231"/>
    </row>
    <row r="29" spans="1:10" ht="12.75">
      <c r="A29" s="97">
        <v>40908</v>
      </c>
      <c r="B29" s="308">
        <f>A29-A28</f>
        <v>92</v>
      </c>
      <c r="C29" s="99">
        <f>C28-D29</f>
        <v>176724006</v>
      </c>
      <c r="D29" s="99">
        <f t="shared" si="5"/>
        <v>2805142</v>
      </c>
      <c r="E29" s="402">
        <f t="shared" si="6"/>
        <v>0.053859</v>
      </c>
      <c r="F29" s="99">
        <f t="shared" si="4"/>
        <v>2471033.2087670667</v>
      </c>
      <c r="G29" s="99">
        <f t="shared" si="7"/>
        <v>36793</v>
      </c>
      <c r="H29" s="300">
        <f>SUM(F26:G29)</f>
        <v>10179029.5701617</v>
      </c>
      <c r="I29" s="300">
        <f>SUM(D26:D29)</f>
        <v>11220568</v>
      </c>
      <c r="J29" s="301">
        <f>SUM(H29:I29)</f>
        <v>21399597.5701617</v>
      </c>
    </row>
    <row r="30" spans="1:10" ht="12.75">
      <c r="A30" s="103">
        <v>40999</v>
      </c>
      <c r="B30" s="306">
        <f aca="true" t="shared" si="8" ref="B30:B92">A30-A29</f>
        <v>91</v>
      </c>
      <c r="C30" s="42">
        <f aca="true" t="shared" si="9" ref="C30:C92">C29-D30</f>
        <v>173918864</v>
      </c>
      <c r="D30" s="42">
        <f t="shared" si="5"/>
        <v>2805142</v>
      </c>
      <c r="E30" s="403">
        <f t="shared" si="6"/>
        <v>0.053859</v>
      </c>
      <c r="F30" s="42">
        <f t="shared" si="4"/>
        <v>2405983.94378615</v>
      </c>
      <c r="G30" s="42">
        <f t="shared" si="7"/>
        <v>36793</v>
      </c>
      <c r="H30" s="104"/>
      <c r="I30" s="104"/>
      <c r="J30" s="242"/>
    </row>
    <row r="31" spans="1:10" ht="12.75">
      <c r="A31" s="90">
        <v>41090</v>
      </c>
      <c r="B31" s="307">
        <f t="shared" si="8"/>
        <v>91</v>
      </c>
      <c r="C31" s="41">
        <f t="shared" si="9"/>
        <v>171113722</v>
      </c>
      <c r="D31" s="41">
        <f t="shared" si="5"/>
        <v>2805142</v>
      </c>
      <c r="E31" s="401">
        <f t="shared" si="6"/>
        <v>0.053859</v>
      </c>
      <c r="F31" s="41">
        <f t="shared" si="4"/>
        <v>2367793.7354222666</v>
      </c>
      <c r="G31" s="41">
        <f t="shared" si="7"/>
        <v>36793</v>
      </c>
      <c r="H31" s="91"/>
      <c r="I31" s="91"/>
      <c r="J31" s="231"/>
    </row>
    <row r="32" spans="1:10" ht="12.75">
      <c r="A32" s="90">
        <v>41182</v>
      </c>
      <c r="B32" s="307">
        <f t="shared" si="8"/>
        <v>92</v>
      </c>
      <c r="C32" s="41">
        <f t="shared" si="9"/>
        <v>168308580</v>
      </c>
      <c r="D32" s="41">
        <f t="shared" si="5"/>
        <v>2805142</v>
      </c>
      <c r="E32" s="401">
        <f t="shared" si="6"/>
        <v>0.053859</v>
      </c>
      <c r="F32" s="41">
        <f t="shared" si="4"/>
        <v>2355203.5658172662</v>
      </c>
      <c r="G32" s="41">
        <f t="shared" si="7"/>
        <v>36793</v>
      </c>
      <c r="H32" s="91"/>
      <c r="I32" s="91"/>
      <c r="J32" s="231"/>
    </row>
    <row r="33" spans="1:10" ht="12.75">
      <c r="A33" s="97">
        <v>41274</v>
      </c>
      <c r="B33" s="308">
        <f t="shared" si="8"/>
        <v>92</v>
      </c>
      <c r="C33" s="99">
        <f t="shared" si="9"/>
        <v>165503438</v>
      </c>
      <c r="D33" s="99">
        <f t="shared" si="5"/>
        <v>2805142</v>
      </c>
      <c r="E33" s="402">
        <f t="shared" si="6"/>
        <v>0.053859</v>
      </c>
      <c r="F33" s="99">
        <f t="shared" si="4"/>
        <v>2316593.6848339997</v>
      </c>
      <c r="G33" s="99">
        <f t="shared" si="7"/>
        <v>36793</v>
      </c>
      <c r="H33" s="300">
        <f>SUM(F30:G33)</f>
        <v>9592746.929859683</v>
      </c>
      <c r="I33" s="300">
        <f>SUM(D30:D33)</f>
        <v>11220568</v>
      </c>
      <c r="J33" s="301">
        <f>SUM(H33:I33)</f>
        <v>20813314.929859683</v>
      </c>
    </row>
    <row r="34" spans="1:10" ht="12.75">
      <c r="A34" s="103">
        <v>41364</v>
      </c>
      <c r="B34" s="306">
        <f t="shared" si="8"/>
        <v>90</v>
      </c>
      <c r="C34" s="42">
        <f t="shared" si="9"/>
        <v>162698296</v>
      </c>
      <c r="D34" s="42">
        <f t="shared" si="5"/>
        <v>2805142</v>
      </c>
      <c r="E34" s="403">
        <f t="shared" si="6"/>
        <v>0.053859</v>
      </c>
      <c r="F34" s="42">
        <f t="shared" si="4"/>
        <v>2228462.4168105</v>
      </c>
      <c r="G34" s="42">
        <f t="shared" si="7"/>
        <v>36793</v>
      </c>
      <c r="H34" s="104"/>
      <c r="I34" s="104"/>
      <c r="J34" s="242"/>
    </row>
    <row r="35" spans="1:10" ht="12.75">
      <c r="A35" s="90">
        <v>41455</v>
      </c>
      <c r="B35" s="307">
        <f t="shared" si="8"/>
        <v>91</v>
      </c>
      <c r="C35" s="41">
        <f t="shared" si="9"/>
        <v>159893154</v>
      </c>
      <c r="D35" s="41">
        <f t="shared" si="5"/>
        <v>2805142</v>
      </c>
      <c r="E35" s="401">
        <f t="shared" si="6"/>
        <v>0.053859</v>
      </c>
      <c r="F35" s="41">
        <f t="shared" si="4"/>
        <v>2215032.9019667334</v>
      </c>
      <c r="G35" s="41">
        <f t="shared" si="7"/>
        <v>36793</v>
      </c>
      <c r="H35" s="91"/>
      <c r="I35" s="91"/>
      <c r="J35" s="231"/>
    </row>
    <row r="36" spans="1:10" ht="12.75">
      <c r="A36" s="90">
        <v>41547</v>
      </c>
      <c r="B36" s="307">
        <f t="shared" si="8"/>
        <v>92</v>
      </c>
      <c r="C36" s="41">
        <f t="shared" si="9"/>
        <v>157088012</v>
      </c>
      <c r="D36" s="41">
        <f t="shared" si="5"/>
        <v>2805142</v>
      </c>
      <c r="E36" s="401">
        <f t="shared" si="6"/>
        <v>0.053859</v>
      </c>
      <c r="F36" s="41">
        <f t="shared" si="4"/>
        <v>2200764.0418841997</v>
      </c>
      <c r="G36" s="41">
        <f t="shared" si="7"/>
        <v>36793</v>
      </c>
      <c r="H36" s="91"/>
      <c r="I36" s="91"/>
      <c r="J36" s="231"/>
    </row>
    <row r="37" spans="1:10" ht="12.75">
      <c r="A37" s="97">
        <v>41639</v>
      </c>
      <c r="B37" s="308">
        <f t="shared" si="8"/>
        <v>92</v>
      </c>
      <c r="C37" s="99">
        <f t="shared" si="9"/>
        <v>154282870</v>
      </c>
      <c r="D37" s="99">
        <f t="shared" si="5"/>
        <v>2805142</v>
      </c>
      <c r="E37" s="402">
        <f t="shared" si="6"/>
        <v>0.053859</v>
      </c>
      <c r="F37" s="99">
        <f t="shared" si="4"/>
        <v>2162154.160900933</v>
      </c>
      <c r="G37" s="99">
        <f t="shared" si="7"/>
        <v>36793</v>
      </c>
      <c r="H37" s="300">
        <f>SUM(F34:G37)</f>
        <v>8953585.521562366</v>
      </c>
      <c r="I37" s="300">
        <f>SUM(D34:D37)</f>
        <v>11220568</v>
      </c>
      <c r="J37" s="301">
        <f>SUM(H37:I37)</f>
        <v>20174153.521562368</v>
      </c>
    </row>
    <row r="38" spans="1:10" ht="12.75">
      <c r="A38" s="103">
        <v>41729</v>
      </c>
      <c r="B38" s="306">
        <f t="shared" si="8"/>
        <v>90</v>
      </c>
      <c r="C38" s="42">
        <f t="shared" si="9"/>
        <v>151477728</v>
      </c>
      <c r="D38" s="42">
        <f t="shared" si="5"/>
        <v>2805142</v>
      </c>
      <c r="E38" s="403">
        <f t="shared" si="6"/>
        <v>0.053859</v>
      </c>
      <c r="F38" s="42">
        <f t="shared" si="4"/>
        <v>2077380.2738325</v>
      </c>
      <c r="G38" s="42">
        <f t="shared" si="7"/>
        <v>36793</v>
      </c>
      <c r="H38" s="104"/>
      <c r="I38" s="104"/>
      <c r="J38" s="242"/>
    </row>
    <row r="39" spans="1:10" ht="12.75">
      <c r="A39" s="90">
        <v>41820</v>
      </c>
      <c r="B39" s="307">
        <f t="shared" si="8"/>
        <v>91</v>
      </c>
      <c r="C39" s="41">
        <f t="shared" si="9"/>
        <v>148672586</v>
      </c>
      <c r="D39" s="41">
        <f t="shared" si="5"/>
        <v>2805142</v>
      </c>
      <c r="E39" s="401">
        <f t="shared" si="6"/>
        <v>0.053859</v>
      </c>
      <c r="F39" s="41">
        <f t="shared" si="4"/>
        <v>2062272.0685111997</v>
      </c>
      <c r="G39" s="41">
        <f t="shared" si="7"/>
        <v>36793</v>
      </c>
      <c r="H39" s="91"/>
      <c r="I39" s="91"/>
      <c r="J39" s="231"/>
    </row>
    <row r="40" spans="1:10" ht="12.75">
      <c r="A40" s="90">
        <v>41912</v>
      </c>
      <c r="B40" s="307">
        <f t="shared" si="8"/>
        <v>92</v>
      </c>
      <c r="C40" s="41">
        <f t="shared" si="9"/>
        <v>145867444</v>
      </c>
      <c r="D40" s="41">
        <f t="shared" si="5"/>
        <v>2805142</v>
      </c>
      <c r="E40" s="401">
        <f t="shared" si="6"/>
        <v>0.053859</v>
      </c>
      <c r="F40" s="41">
        <f t="shared" si="4"/>
        <v>2046324.5179511332</v>
      </c>
      <c r="G40" s="41">
        <f t="shared" si="7"/>
        <v>36793</v>
      </c>
      <c r="H40" s="91"/>
      <c r="I40" s="91"/>
      <c r="J40" s="231"/>
    </row>
    <row r="41" spans="1:10" ht="12.75">
      <c r="A41" s="97">
        <v>42004</v>
      </c>
      <c r="B41" s="308">
        <f t="shared" si="8"/>
        <v>92</v>
      </c>
      <c r="C41" s="99">
        <f t="shared" si="9"/>
        <v>143062302</v>
      </c>
      <c r="D41" s="99">
        <f t="shared" si="5"/>
        <v>2805142</v>
      </c>
      <c r="E41" s="402">
        <f t="shared" si="6"/>
        <v>0.053859</v>
      </c>
      <c r="F41" s="99">
        <f t="shared" si="4"/>
        <v>2007714.6369678664</v>
      </c>
      <c r="G41" s="99">
        <f t="shared" si="7"/>
        <v>36793</v>
      </c>
      <c r="H41" s="300">
        <f>SUM(F38:G41)</f>
        <v>8340863.497262699</v>
      </c>
      <c r="I41" s="300">
        <f>SUM(D38:D41)</f>
        <v>11220568</v>
      </c>
      <c r="J41" s="301">
        <f>SUM(H41:I41)</f>
        <v>19561431.497262698</v>
      </c>
    </row>
    <row r="42" spans="1:10" ht="12.75">
      <c r="A42" s="103">
        <v>42094</v>
      </c>
      <c r="B42" s="306">
        <f t="shared" si="8"/>
        <v>90</v>
      </c>
      <c r="C42" s="42">
        <f t="shared" si="9"/>
        <v>140257160</v>
      </c>
      <c r="D42" s="42">
        <f t="shared" si="5"/>
        <v>2805142</v>
      </c>
      <c r="E42" s="403">
        <f t="shared" si="6"/>
        <v>0.053859</v>
      </c>
      <c r="F42" s="42">
        <f t="shared" si="4"/>
        <v>1926298.1308545</v>
      </c>
      <c r="G42" s="42">
        <f t="shared" si="7"/>
        <v>36793</v>
      </c>
      <c r="H42" s="104"/>
      <c r="I42" s="104"/>
      <c r="J42" s="242"/>
    </row>
    <row r="43" spans="1:10" ht="12.75">
      <c r="A43" s="90">
        <v>42185</v>
      </c>
      <c r="B43" s="307">
        <f t="shared" si="8"/>
        <v>91</v>
      </c>
      <c r="C43" s="41">
        <f t="shared" si="9"/>
        <v>137452018</v>
      </c>
      <c r="D43" s="41">
        <f t="shared" si="5"/>
        <v>2805142</v>
      </c>
      <c r="E43" s="401">
        <f t="shared" si="6"/>
        <v>0.053859</v>
      </c>
      <c r="F43" s="41">
        <f t="shared" si="4"/>
        <v>1909511.2350556666</v>
      </c>
      <c r="G43" s="41">
        <f t="shared" si="7"/>
        <v>36793</v>
      </c>
      <c r="H43" s="91"/>
      <c r="I43" s="91"/>
      <c r="J43" s="231"/>
    </row>
    <row r="44" spans="1:10" ht="12.75">
      <c r="A44" s="90">
        <v>42277</v>
      </c>
      <c r="B44" s="307">
        <f t="shared" si="8"/>
        <v>92</v>
      </c>
      <c r="C44" s="41">
        <f t="shared" si="9"/>
        <v>134646876</v>
      </c>
      <c r="D44" s="41">
        <f t="shared" si="5"/>
        <v>2805142</v>
      </c>
      <c r="E44" s="401">
        <f t="shared" si="6"/>
        <v>0.053859</v>
      </c>
      <c r="F44" s="41">
        <f t="shared" si="4"/>
        <v>1891884.994018067</v>
      </c>
      <c r="G44" s="41">
        <f t="shared" si="7"/>
        <v>36793</v>
      </c>
      <c r="H44" s="91"/>
      <c r="I44" s="91"/>
      <c r="J44" s="231"/>
    </row>
    <row r="45" spans="1:10" ht="12.75">
      <c r="A45" s="97">
        <v>42369</v>
      </c>
      <c r="B45" s="308">
        <f t="shared" si="8"/>
        <v>92</v>
      </c>
      <c r="C45" s="99">
        <f t="shared" si="9"/>
        <v>131841734</v>
      </c>
      <c r="D45" s="99">
        <f t="shared" si="5"/>
        <v>2805142</v>
      </c>
      <c r="E45" s="402">
        <f t="shared" si="6"/>
        <v>0.053859</v>
      </c>
      <c r="F45" s="99">
        <f t="shared" si="4"/>
        <v>1853275.1130348</v>
      </c>
      <c r="G45" s="99">
        <f t="shared" si="7"/>
        <v>36793</v>
      </c>
      <c r="H45" s="300">
        <f>SUM(F42:G45)</f>
        <v>7728141.472963033</v>
      </c>
      <c r="I45" s="300">
        <f>SUM(D42:D45)</f>
        <v>11220568</v>
      </c>
      <c r="J45" s="301">
        <f>SUM(H45:I45)</f>
        <v>18948709.472963035</v>
      </c>
    </row>
    <row r="46" spans="1:10" ht="12.75">
      <c r="A46" s="103">
        <v>42460</v>
      </c>
      <c r="B46" s="306">
        <f t="shared" si="8"/>
        <v>91</v>
      </c>
      <c r="C46" s="42">
        <f t="shared" si="9"/>
        <v>129036592</v>
      </c>
      <c r="D46" s="42">
        <f t="shared" si="5"/>
        <v>2805142</v>
      </c>
      <c r="E46" s="403">
        <f t="shared" si="6"/>
        <v>0.053859</v>
      </c>
      <c r="F46" s="42">
        <f t="shared" si="4"/>
        <v>1794940.6099640166</v>
      </c>
      <c r="G46" s="42">
        <f t="shared" si="7"/>
        <v>36793</v>
      </c>
      <c r="H46" s="104"/>
      <c r="I46" s="104"/>
      <c r="J46" s="242"/>
    </row>
    <row r="47" spans="1:10" ht="12.75">
      <c r="A47" s="90">
        <v>42551</v>
      </c>
      <c r="B47" s="307">
        <f t="shared" si="8"/>
        <v>91</v>
      </c>
      <c r="C47" s="41">
        <f t="shared" si="9"/>
        <v>126231450</v>
      </c>
      <c r="D47" s="41">
        <f t="shared" si="5"/>
        <v>2805142</v>
      </c>
      <c r="E47" s="401">
        <f t="shared" si="6"/>
        <v>0.053859</v>
      </c>
      <c r="F47" s="41">
        <f t="shared" si="4"/>
        <v>1756750.4016001332</v>
      </c>
      <c r="G47" s="41">
        <f t="shared" si="7"/>
        <v>36793</v>
      </c>
      <c r="H47" s="91"/>
      <c r="I47" s="91"/>
      <c r="J47" s="231"/>
    </row>
    <row r="48" spans="1:10" ht="12.75">
      <c r="A48" s="90">
        <v>42643</v>
      </c>
      <c r="B48" s="307">
        <f t="shared" si="8"/>
        <v>92</v>
      </c>
      <c r="C48" s="41">
        <f t="shared" si="9"/>
        <v>123426308</v>
      </c>
      <c r="D48" s="41">
        <f t="shared" si="5"/>
        <v>2805142</v>
      </c>
      <c r="E48" s="401">
        <f t="shared" si="6"/>
        <v>0.053859</v>
      </c>
      <c r="F48" s="41">
        <f t="shared" si="4"/>
        <v>1737445.470085</v>
      </c>
      <c r="G48" s="41">
        <f t="shared" si="7"/>
        <v>36793</v>
      </c>
      <c r="H48" s="91"/>
      <c r="I48" s="91"/>
      <c r="J48" s="231"/>
    </row>
    <row r="49" spans="1:10" ht="12.75">
      <c r="A49" s="97">
        <v>42735</v>
      </c>
      <c r="B49" s="308">
        <f t="shared" si="8"/>
        <v>92</v>
      </c>
      <c r="C49" s="99">
        <f t="shared" si="9"/>
        <v>120621166</v>
      </c>
      <c r="D49" s="99">
        <f t="shared" si="5"/>
        <v>2805142</v>
      </c>
      <c r="E49" s="402">
        <f t="shared" si="6"/>
        <v>0.053859</v>
      </c>
      <c r="F49" s="99">
        <f t="shared" si="4"/>
        <v>1698835.5891017332</v>
      </c>
      <c r="G49" s="99">
        <f t="shared" si="7"/>
        <v>36793</v>
      </c>
      <c r="H49" s="300">
        <f>SUM(F46:G49)</f>
        <v>7135144.070750883</v>
      </c>
      <c r="I49" s="300">
        <f>SUM(D46:D49)</f>
        <v>11220568</v>
      </c>
      <c r="J49" s="301">
        <f>SUM(H49:I49)</f>
        <v>18355712.070750885</v>
      </c>
    </row>
    <row r="50" spans="1:10" ht="12.75">
      <c r="A50" s="103">
        <v>42825</v>
      </c>
      <c r="B50" s="306">
        <f t="shared" si="8"/>
        <v>90</v>
      </c>
      <c r="C50" s="42">
        <f t="shared" si="9"/>
        <v>117816024</v>
      </c>
      <c r="D50" s="42">
        <f t="shared" si="5"/>
        <v>2805142</v>
      </c>
      <c r="E50" s="403">
        <f t="shared" si="6"/>
        <v>0.053859</v>
      </c>
      <c r="F50" s="42">
        <f t="shared" si="4"/>
        <v>1624133.8448985</v>
      </c>
      <c r="G50" s="42">
        <f t="shared" si="7"/>
        <v>36793</v>
      </c>
      <c r="H50" s="104"/>
      <c r="I50" s="104"/>
      <c r="J50" s="242"/>
    </row>
    <row r="51" spans="1:10" ht="12.75">
      <c r="A51" s="90">
        <v>42916</v>
      </c>
      <c r="B51" s="307">
        <f t="shared" si="8"/>
        <v>91</v>
      </c>
      <c r="C51" s="41">
        <f t="shared" si="9"/>
        <v>115010882</v>
      </c>
      <c r="D51" s="41">
        <f t="shared" si="5"/>
        <v>2805142</v>
      </c>
      <c r="E51" s="401">
        <f t="shared" si="6"/>
        <v>0.053859</v>
      </c>
      <c r="F51" s="41">
        <f t="shared" si="4"/>
        <v>1603989.5681446</v>
      </c>
      <c r="G51" s="41">
        <f t="shared" si="7"/>
        <v>36793</v>
      </c>
      <c r="H51" s="91"/>
      <c r="I51" s="91"/>
      <c r="J51" s="231"/>
    </row>
    <row r="52" spans="1:10" ht="12.75">
      <c r="A52" s="90">
        <v>43008</v>
      </c>
      <c r="B52" s="307">
        <f t="shared" si="8"/>
        <v>92</v>
      </c>
      <c r="C52" s="41">
        <f t="shared" si="9"/>
        <v>112205740</v>
      </c>
      <c r="D52" s="41">
        <f t="shared" si="5"/>
        <v>2805142</v>
      </c>
      <c r="E52" s="401">
        <f t="shared" si="6"/>
        <v>0.053859</v>
      </c>
      <c r="F52" s="41">
        <f t="shared" si="4"/>
        <v>1583005.9461519334</v>
      </c>
      <c r="G52" s="41">
        <f t="shared" si="7"/>
        <v>36793</v>
      </c>
      <c r="H52" s="91"/>
      <c r="I52" s="91"/>
      <c r="J52" s="231"/>
    </row>
    <row r="53" spans="1:10" ht="12.75">
      <c r="A53" s="97">
        <v>43100</v>
      </c>
      <c r="B53" s="308">
        <f t="shared" si="8"/>
        <v>92</v>
      </c>
      <c r="C53" s="99">
        <f t="shared" si="9"/>
        <v>109400598</v>
      </c>
      <c r="D53" s="99">
        <f t="shared" si="5"/>
        <v>2805142</v>
      </c>
      <c r="E53" s="402">
        <f t="shared" si="6"/>
        <v>0.053859</v>
      </c>
      <c r="F53" s="99">
        <f t="shared" si="4"/>
        <v>1544396.0651686667</v>
      </c>
      <c r="G53" s="99">
        <f t="shared" si="7"/>
        <v>36793</v>
      </c>
      <c r="H53" s="300">
        <f>SUM(F50:G53)</f>
        <v>6502697.4243637</v>
      </c>
      <c r="I53" s="300">
        <f>SUM(D50:D53)</f>
        <v>11220568</v>
      </c>
      <c r="J53" s="301">
        <f>SUM(H53:I53)</f>
        <v>17723265.4243637</v>
      </c>
    </row>
    <row r="54" spans="1:10" ht="12.75">
      <c r="A54" s="103">
        <v>43190</v>
      </c>
      <c r="B54" s="306">
        <f t="shared" si="8"/>
        <v>90</v>
      </c>
      <c r="C54" s="42">
        <f t="shared" si="9"/>
        <v>106595456</v>
      </c>
      <c r="D54" s="42">
        <f t="shared" si="5"/>
        <v>2805142</v>
      </c>
      <c r="E54" s="403">
        <f t="shared" si="6"/>
        <v>0.053859</v>
      </c>
      <c r="F54" s="42">
        <f t="shared" si="4"/>
        <v>1473051.7019205</v>
      </c>
      <c r="G54" s="42">
        <f t="shared" si="7"/>
        <v>36793</v>
      </c>
      <c r="H54" s="104"/>
      <c r="I54" s="104"/>
      <c r="J54" s="242"/>
    </row>
    <row r="55" spans="1:10" ht="12.75">
      <c r="A55" s="90">
        <v>43281</v>
      </c>
      <c r="B55" s="307">
        <f t="shared" si="8"/>
        <v>91</v>
      </c>
      <c r="C55" s="41">
        <f t="shared" si="9"/>
        <v>103790314</v>
      </c>
      <c r="D55" s="41">
        <f t="shared" si="5"/>
        <v>2805142</v>
      </c>
      <c r="E55" s="401">
        <f t="shared" si="6"/>
        <v>0.053859</v>
      </c>
      <c r="F55" s="41">
        <f aca="true" t="shared" si="10" ref="F55:F86">((C55+D55)*E55/360*B55)</f>
        <v>1451228.7346890667</v>
      </c>
      <c r="G55" s="41">
        <f t="shared" si="7"/>
        <v>36793</v>
      </c>
      <c r="H55" s="91"/>
      <c r="I55" s="91"/>
      <c r="J55" s="231"/>
    </row>
    <row r="56" spans="1:10" ht="12.75">
      <c r="A56" s="90">
        <v>43373</v>
      </c>
      <c r="B56" s="307">
        <f t="shared" si="8"/>
        <v>92</v>
      </c>
      <c r="C56" s="41">
        <f t="shared" si="9"/>
        <v>100985172</v>
      </c>
      <c r="D56" s="41">
        <f aca="true" t="shared" si="11" ref="D56:D91">D55</f>
        <v>2805142</v>
      </c>
      <c r="E56" s="401">
        <f t="shared" si="6"/>
        <v>0.053859</v>
      </c>
      <c r="F56" s="41">
        <f t="shared" si="10"/>
        <v>1428566.4222188666</v>
      </c>
      <c r="G56" s="41">
        <f t="shared" si="7"/>
        <v>36793</v>
      </c>
      <c r="H56" s="91"/>
      <c r="I56" s="91"/>
      <c r="J56" s="231"/>
    </row>
    <row r="57" spans="1:10" ht="12.75">
      <c r="A57" s="97">
        <v>43465</v>
      </c>
      <c r="B57" s="308">
        <f t="shared" si="8"/>
        <v>92</v>
      </c>
      <c r="C57" s="99">
        <f t="shared" si="9"/>
        <v>98180030</v>
      </c>
      <c r="D57" s="99">
        <f t="shared" si="11"/>
        <v>2805142</v>
      </c>
      <c r="E57" s="402">
        <f aca="true" t="shared" si="12" ref="E57:E92">E56</f>
        <v>0.053859</v>
      </c>
      <c r="F57" s="99">
        <f t="shared" si="10"/>
        <v>1389956.5412356</v>
      </c>
      <c r="G57" s="99">
        <f aca="true" t="shared" si="13" ref="G57:G90">G56</f>
        <v>36793</v>
      </c>
      <c r="H57" s="300">
        <f>SUM(F54:G57)</f>
        <v>5889975.4000640325</v>
      </c>
      <c r="I57" s="300">
        <f>SUM(D54:D57)</f>
        <v>11220568</v>
      </c>
      <c r="J57" s="301">
        <f>SUM(H57:I57)</f>
        <v>17110543.400064033</v>
      </c>
    </row>
    <row r="58" spans="1:10" ht="12.75">
      <c r="A58" s="103">
        <v>43555</v>
      </c>
      <c r="B58" s="306">
        <f t="shared" si="8"/>
        <v>90</v>
      </c>
      <c r="C58" s="42">
        <f t="shared" si="9"/>
        <v>95374888</v>
      </c>
      <c r="D58" s="42">
        <f t="shared" si="11"/>
        <v>2805142</v>
      </c>
      <c r="E58" s="403">
        <f t="shared" si="12"/>
        <v>0.053859</v>
      </c>
      <c r="F58" s="42">
        <f t="shared" si="10"/>
        <v>1321969.5589425</v>
      </c>
      <c r="G58" s="42">
        <f t="shared" si="13"/>
        <v>36793</v>
      </c>
      <c r="H58" s="104"/>
      <c r="I58" s="104"/>
      <c r="J58" s="242"/>
    </row>
    <row r="59" spans="1:10" ht="12.75">
      <c r="A59" s="90">
        <v>43646</v>
      </c>
      <c r="B59" s="307">
        <f t="shared" si="8"/>
        <v>91</v>
      </c>
      <c r="C59" s="41">
        <f t="shared" si="9"/>
        <v>92569746</v>
      </c>
      <c r="D59" s="41">
        <f t="shared" si="11"/>
        <v>2805142</v>
      </c>
      <c r="E59" s="401">
        <f t="shared" si="12"/>
        <v>0.053859</v>
      </c>
      <c r="F59" s="41">
        <f t="shared" si="10"/>
        <v>1298467.9012335334</v>
      </c>
      <c r="G59" s="41">
        <f t="shared" si="13"/>
        <v>36793</v>
      </c>
      <c r="H59" s="91"/>
      <c r="I59" s="91"/>
      <c r="J59" s="231"/>
    </row>
    <row r="60" spans="1:10" ht="12.75">
      <c r="A60" s="90">
        <v>43738</v>
      </c>
      <c r="B60" s="307">
        <f t="shared" si="8"/>
        <v>92</v>
      </c>
      <c r="C60" s="41">
        <f t="shared" si="9"/>
        <v>89764604</v>
      </c>
      <c r="D60" s="41">
        <f t="shared" si="11"/>
        <v>2805142</v>
      </c>
      <c r="E60" s="401">
        <f t="shared" si="12"/>
        <v>0.053859</v>
      </c>
      <c r="F60" s="41">
        <f t="shared" si="10"/>
        <v>1274126.8982858</v>
      </c>
      <c r="G60" s="41">
        <f t="shared" si="13"/>
        <v>36793</v>
      </c>
      <c r="H60" s="91"/>
      <c r="I60" s="91"/>
      <c r="J60" s="231"/>
    </row>
    <row r="61" spans="1:10" ht="12.75">
      <c r="A61" s="97">
        <v>43830</v>
      </c>
      <c r="B61" s="308">
        <f t="shared" si="8"/>
        <v>92</v>
      </c>
      <c r="C61" s="99">
        <f t="shared" si="9"/>
        <v>86959462</v>
      </c>
      <c r="D61" s="99">
        <f t="shared" si="11"/>
        <v>2805142</v>
      </c>
      <c r="E61" s="402">
        <f t="shared" si="12"/>
        <v>0.053859</v>
      </c>
      <c r="F61" s="99">
        <f t="shared" si="10"/>
        <v>1235517.0173025331</v>
      </c>
      <c r="G61" s="99">
        <f t="shared" si="13"/>
        <v>36793</v>
      </c>
      <c r="H61" s="300">
        <f>SUM(F58:G61)</f>
        <v>5277253.375764366</v>
      </c>
      <c r="I61" s="300">
        <f>SUM(D58:D61)</f>
        <v>11220568</v>
      </c>
      <c r="J61" s="301">
        <f>SUM(H61:I61)</f>
        <v>16497821.375764366</v>
      </c>
    </row>
    <row r="62" spans="1:10" ht="12.75">
      <c r="A62" s="103">
        <v>43921</v>
      </c>
      <c r="B62" s="306">
        <f t="shared" si="8"/>
        <v>91</v>
      </c>
      <c r="C62" s="42">
        <f t="shared" si="9"/>
        <v>84154320</v>
      </c>
      <c r="D62" s="42">
        <f t="shared" si="11"/>
        <v>2805142</v>
      </c>
      <c r="E62" s="403">
        <f t="shared" si="12"/>
        <v>0.053859</v>
      </c>
      <c r="F62" s="42">
        <f t="shared" si="10"/>
        <v>1183897.2761418833</v>
      </c>
      <c r="G62" s="42">
        <f t="shared" si="13"/>
        <v>36793</v>
      </c>
      <c r="H62" s="104"/>
      <c r="I62" s="104"/>
      <c r="J62" s="242"/>
    </row>
    <row r="63" spans="1:10" ht="12.75">
      <c r="A63" s="90">
        <v>44012</v>
      </c>
      <c r="B63" s="307">
        <f t="shared" si="8"/>
        <v>91</v>
      </c>
      <c r="C63" s="41">
        <f t="shared" si="9"/>
        <v>81349178</v>
      </c>
      <c r="D63" s="41">
        <f t="shared" si="11"/>
        <v>2805142</v>
      </c>
      <c r="E63" s="401">
        <f t="shared" si="12"/>
        <v>0.053859</v>
      </c>
      <c r="F63" s="41">
        <f t="shared" si="10"/>
        <v>1145707.067778</v>
      </c>
      <c r="G63" s="41">
        <f t="shared" si="13"/>
        <v>36793</v>
      </c>
      <c r="H63" s="91"/>
      <c r="I63" s="91"/>
      <c r="J63" s="231"/>
    </row>
    <row r="64" spans="1:10" ht="12.75">
      <c r="A64" s="90">
        <v>44104</v>
      </c>
      <c r="B64" s="307">
        <f t="shared" si="8"/>
        <v>92</v>
      </c>
      <c r="C64" s="41">
        <f t="shared" si="9"/>
        <v>78544036</v>
      </c>
      <c r="D64" s="41">
        <f t="shared" si="11"/>
        <v>2805142</v>
      </c>
      <c r="E64" s="401">
        <f t="shared" si="12"/>
        <v>0.053859</v>
      </c>
      <c r="F64" s="41">
        <f t="shared" si="10"/>
        <v>1119687.3743527334</v>
      </c>
      <c r="G64" s="41">
        <f t="shared" si="13"/>
        <v>36793</v>
      </c>
      <c r="H64" s="91"/>
      <c r="I64" s="91"/>
      <c r="J64" s="231"/>
    </row>
    <row r="65" spans="1:10" ht="12.75">
      <c r="A65" s="97">
        <v>44196</v>
      </c>
      <c r="B65" s="308">
        <f t="shared" si="8"/>
        <v>92</v>
      </c>
      <c r="C65" s="99">
        <f t="shared" si="9"/>
        <v>75738894</v>
      </c>
      <c r="D65" s="99">
        <f t="shared" si="11"/>
        <v>2805142</v>
      </c>
      <c r="E65" s="402">
        <f t="shared" si="12"/>
        <v>0.053859</v>
      </c>
      <c r="F65" s="99">
        <f t="shared" si="10"/>
        <v>1081077.4933694666</v>
      </c>
      <c r="G65" s="99">
        <f t="shared" si="13"/>
        <v>36793</v>
      </c>
      <c r="H65" s="300">
        <f>SUM(F62:G65)</f>
        <v>4677541.211642084</v>
      </c>
      <c r="I65" s="300">
        <f>SUM(D62:D65)</f>
        <v>11220568</v>
      </c>
      <c r="J65" s="301">
        <f>SUM(H65:I65)</f>
        <v>15898109.211642083</v>
      </c>
    </row>
    <row r="66" spans="1:10" ht="12.75">
      <c r="A66" s="103">
        <v>44286</v>
      </c>
      <c r="B66" s="306">
        <f t="shared" si="8"/>
        <v>90</v>
      </c>
      <c r="C66" s="42">
        <f t="shared" si="9"/>
        <v>72933752</v>
      </c>
      <c r="D66" s="42">
        <f t="shared" si="11"/>
        <v>2805142</v>
      </c>
      <c r="E66" s="403">
        <f t="shared" si="12"/>
        <v>0.053859</v>
      </c>
      <c r="F66" s="42">
        <f t="shared" si="10"/>
        <v>1019805.2729865</v>
      </c>
      <c r="G66" s="42">
        <f t="shared" si="13"/>
        <v>36793</v>
      </c>
      <c r="H66" s="104"/>
      <c r="I66" s="104"/>
      <c r="J66" s="242"/>
    </row>
    <row r="67" spans="1:10" ht="12.75">
      <c r="A67" s="90">
        <v>44377</v>
      </c>
      <c r="B67" s="307">
        <f t="shared" si="8"/>
        <v>91</v>
      </c>
      <c r="C67" s="41">
        <f t="shared" si="9"/>
        <v>70128610</v>
      </c>
      <c r="D67" s="41">
        <f t="shared" si="11"/>
        <v>2805142</v>
      </c>
      <c r="E67" s="401">
        <f t="shared" si="12"/>
        <v>0.053859</v>
      </c>
      <c r="F67" s="41">
        <f t="shared" si="10"/>
        <v>992946.2343224667</v>
      </c>
      <c r="G67" s="41">
        <f t="shared" si="13"/>
        <v>36793</v>
      </c>
      <c r="H67" s="91"/>
      <c r="I67" s="91"/>
      <c r="J67" s="231"/>
    </row>
    <row r="68" spans="1:10" ht="12.75">
      <c r="A68" s="90">
        <v>44469</v>
      </c>
      <c r="B68" s="307">
        <f t="shared" si="8"/>
        <v>92</v>
      </c>
      <c r="C68" s="41">
        <f t="shared" si="9"/>
        <v>67323468</v>
      </c>
      <c r="D68" s="41">
        <f t="shared" si="11"/>
        <v>2805142</v>
      </c>
      <c r="E68" s="401">
        <f t="shared" si="12"/>
        <v>0.053859</v>
      </c>
      <c r="F68" s="41">
        <f t="shared" si="10"/>
        <v>965247.8504196667</v>
      </c>
      <c r="G68" s="41">
        <f t="shared" si="13"/>
        <v>36793</v>
      </c>
      <c r="H68" s="91"/>
      <c r="I68" s="91"/>
      <c r="J68" s="231"/>
    </row>
    <row r="69" spans="1:10" ht="12.75">
      <c r="A69" s="97">
        <v>44561</v>
      </c>
      <c r="B69" s="308">
        <f t="shared" si="8"/>
        <v>92</v>
      </c>
      <c r="C69" s="99">
        <f t="shared" si="9"/>
        <v>64518326</v>
      </c>
      <c r="D69" s="99">
        <f t="shared" si="11"/>
        <v>2805142</v>
      </c>
      <c r="E69" s="402">
        <f t="shared" si="12"/>
        <v>0.053859</v>
      </c>
      <c r="F69" s="99">
        <f t="shared" si="10"/>
        <v>926637.9694363999</v>
      </c>
      <c r="G69" s="99">
        <f t="shared" si="13"/>
        <v>36793</v>
      </c>
      <c r="H69" s="300">
        <f>SUM(F66:G69)</f>
        <v>4051809.3271650337</v>
      </c>
      <c r="I69" s="300">
        <f>SUM(D66:D69)</f>
        <v>11220568</v>
      </c>
      <c r="J69" s="301">
        <f>SUM(H69:I69)</f>
        <v>15272377.327165034</v>
      </c>
    </row>
    <row r="70" spans="1:10" ht="12.75">
      <c r="A70" s="103">
        <v>44651</v>
      </c>
      <c r="B70" s="306">
        <f t="shared" si="8"/>
        <v>90</v>
      </c>
      <c r="C70" s="42">
        <f t="shared" si="9"/>
        <v>61713184</v>
      </c>
      <c r="D70" s="42">
        <f t="shared" si="11"/>
        <v>2805142</v>
      </c>
      <c r="E70" s="403">
        <f t="shared" si="12"/>
        <v>0.053859</v>
      </c>
      <c r="F70" s="42">
        <f t="shared" si="10"/>
        <v>868723.1300085</v>
      </c>
      <c r="G70" s="42">
        <f t="shared" si="13"/>
        <v>36793</v>
      </c>
      <c r="H70" s="104"/>
      <c r="I70" s="104"/>
      <c r="J70" s="242"/>
    </row>
    <row r="71" spans="1:10" ht="12.75">
      <c r="A71" s="90">
        <v>44742</v>
      </c>
      <c r="B71" s="307">
        <f t="shared" si="8"/>
        <v>91</v>
      </c>
      <c r="C71" s="41">
        <f t="shared" si="9"/>
        <v>58908042</v>
      </c>
      <c r="D71" s="41">
        <f t="shared" si="11"/>
        <v>2805142</v>
      </c>
      <c r="E71" s="401">
        <f t="shared" si="12"/>
        <v>0.053859</v>
      </c>
      <c r="F71" s="41">
        <f t="shared" si="10"/>
        <v>840185.4008669333</v>
      </c>
      <c r="G71" s="41">
        <f t="shared" si="13"/>
        <v>36793</v>
      </c>
      <c r="H71" s="91"/>
      <c r="I71" s="91"/>
      <c r="J71" s="231"/>
    </row>
    <row r="72" spans="1:10" ht="12.75">
      <c r="A72" s="90">
        <v>44834</v>
      </c>
      <c r="B72" s="307">
        <f t="shared" si="8"/>
        <v>92</v>
      </c>
      <c r="C72" s="41">
        <f t="shared" si="9"/>
        <v>56102900</v>
      </c>
      <c r="D72" s="41">
        <f t="shared" si="11"/>
        <v>2805142</v>
      </c>
      <c r="E72" s="401">
        <f t="shared" si="12"/>
        <v>0.053859</v>
      </c>
      <c r="F72" s="41">
        <f t="shared" si="10"/>
        <v>810808.3264866</v>
      </c>
      <c r="G72" s="41">
        <f t="shared" si="13"/>
        <v>36793</v>
      </c>
      <c r="H72" s="91"/>
      <c r="I72" s="91"/>
      <c r="J72" s="231"/>
    </row>
    <row r="73" spans="1:10" ht="12.75">
      <c r="A73" s="97">
        <v>44926</v>
      </c>
      <c r="B73" s="308">
        <f t="shared" si="8"/>
        <v>92</v>
      </c>
      <c r="C73" s="99">
        <f t="shared" si="9"/>
        <v>53297758</v>
      </c>
      <c r="D73" s="99">
        <f t="shared" si="11"/>
        <v>2805142</v>
      </c>
      <c r="E73" s="402">
        <f t="shared" si="12"/>
        <v>0.053859</v>
      </c>
      <c r="F73" s="99">
        <f t="shared" si="10"/>
        <v>772198.4455033332</v>
      </c>
      <c r="G73" s="99">
        <f t="shared" si="13"/>
        <v>36793</v>
      </c>
      <c r="H73" s="300">
        <f>SUM(F70:G73)</f>
        <v>3439087.3028653665</v>
      </c>
      <c r="I73" s="300">
        <f>SUM(D70:D73)</f>
        <v>11220568</v>
      </c>
      <c r="J73" s="301">
        <f>SUM(H73:I73)</f>
        <v>14659655.302865367</v>
      </c>
    </row>
    <row r="74" spans="1:10" ht="12.75">
      <c r="A74" s="103">
        <v>45016</v>
      </c>
      <c r="B74" s="306">
        <f t="shared" si="8"/>
        <v>90</v>
      </c>
      <c r="C74" s="42">
        <f t="shared" si="9"/>
        <v>50492616</v>
      </c>
      <c r="D74" s="42">
        <f t="shared" si="11"/>
        <v>2805142</v>
      </c>
      <c r="E74" s="403">
        <f t="shared" si="12"/>
        <v>0.053859</v>
      </c>
      <c r="F74" s="42">
        <f t="shared" si="10"/>
        <v>717640.9870305</v>
      </c>
      <c r="G74" s="42">
        <f t="shared" si="13"/>
        <v>36793</v>
      </c>
      <c r="H74" s="104"/>
      <c r="I74" s="104"/>
      <c r="J74" s="242"/>
    </row>
    <row r="75" spans="1:10" ht="12.75">
      <c r="A75" s="90">
        <v>45107</v>
      </c>
      <c r="B75" s="307">
        <f t="shared" si="8"/>
        <v>91</v>
      </c>
      <c r="C75" s="41">
        <f t="shared" si="9"/>
        <v>47687474</v>
      </c>
      <c r="D75" s="41">
        <f t="shared" si="11"/>
        <v>2805142</v>
      </c>
      <c r="E75" s="401">
        <f t="shared" si="12"/>
        <v>0.053859</v>
      </c>
      <c r="F75" s="41">
        <f t="shared" si="10"/>
        <v>687424.5674114</v>
      </c>
      <c r="G75" s="41">
        <f t="shared" si="13"/>
        <v>36793</v>
      </c>
      <c r="H75" s="91"/>
      <c r="I75" s="91"/>
      <c r="J75" s="231"/>
    </row>
    <row r="76" spans="1:10" ht="12.75">
      <c r="A76" s="90">
        <v>45199</v>
      </c>
      <c r="B76" s="307">
        <f t="shared" si="8"/>
        <v>92</v>
      </c>
      <c r="C76" s="41">
        <f t="shared" si="9"/>
        <v>44882332</v>
      </c>
      <c r="D76" s="41">
        <f t="shared" si="11"/>
        <v>2805142</v>
      </c>
      <c r="E76" s="401">
        <f t="shared" si="12"/>
        <v>0.053859</v>
      </c>
      <c r="F76" s="41">
        <f t="shared" si="10"/>
        <v>656368.8025535332</v>
      </c>
      <c r="G76" s="41">
        <f t="shared" si="13"/>
        <v>36793</v>
      </c>
      <c r="H76" s="91"/>
      <c r="I76" s="91"/>
      <c r="J76" s="231"/>
    </row>
    <row r="77" spans="1:10" ht="12.75">
      <c r="A77" s="97">
        <v>45291</v>
      </c>
      <c r="B77" s="308">
        <f t="shared" si="8"/>
        <v>92</v>
      </c>
      <c r="C77" s="99">
        <f t="shared" si="9"/>
        <v>42077190</v>
      </c>
      <c r="D77" s="99">
        <f t="shared" si="11"/>
        <v>2805142</v>
      </c>
      <c r="E77" s="402">
        <f t="shared" si="12"/>
        <v>0.053859</v>
      </c>
      <c r="F77" s="99">
        <f t="shared" si="10"/>
        <v>617758.9215702667</v>
      </c>
      <c r="G77" s="99">
        <f t="shared" si="13"/>
        <v>36793</v>
      </c>
      <c r="H77" s="300">
        <f>SUM(F74:G77)</f>
        <v>2826365.2785656997</v>
      </c>
      <c r="I77" s="300">
        <f>SUM(D74:D77)</f>
        <v>11220568</v>
      </c>
      <c r="J77" s="301">
        <f>SUM(H77:I77)</f>
        <v>14046933.2785657</v>
      </c>
    </row>
    <row r="78" spans="1:10" ht="12.75">
      <c r="A78" s="103">
        <v>45382</v>
      </c>
      <c r="B78" s="306">
        <f t="shared" si="8"/>
        <v>91</v>
      </c>
      <c r="C78" s="42">
        <f t="shared" si="9"/>
        <v>39272048</v>
      </c>
      <c r="D78" s="42">
        <f t="shared" si="11"/>
        <v>2805142</v>
      </c>
      <c r="E78" s="403">
        <f t="shared" si="12"/>
        <v>0.053859</v>
      </c>
      <c r="F78" s="42">
        <f t="shared" si="10"/>
        <v>572853.94231975</v>
      </c>
      <c r="G78" s="42">
        <f t="shared" si="13"/>
        <v>36793</v>
      </c>
      <c r="H78" s="104"/>
      <c r="I78" s="104"/>
      <c r="J78" s="242"/>
    </row>
    <row r="79" spans="1:10" ht="12.75">
      <c r="A79" s="90">
        <v>45473</v>
      </c>
      <c r="B79" s="307">
        <f t="shared" si="8"/>
        <v>91</v>
      </c>
      <c r="C79" s="41">
        <f t="shared" si="9"/>
        <v>36466906</v>
      </c>
      <c r="D79" s="41">
        <f t="shared" si="11"/>
        <v>2805142</v>
      </c>
      <c r="E79" s="401">
        <f t="shared" si="12"/>
        <v>0.053859</v>
      </c>
      <c r="F79" s="41">
        <f t="shared" si="10"/>
        <v>534663.7339558667</v>
      </c>
      <c r="G79" s="41">
        <f t="shared" si="13"/>
        <v>36793</v>
      </c>
      <c r="H79" s="91"/>
      <c r="I79" s="91"/>
      <c r="J79" s="231"/>
    </row>
    <row r="80" spans="1:10" ht="12.75">
      <c r="A80" s="90">
        <v>45565</v>
      </c>
      <c r="B80" s="307">
        <f t="shared" si="8"/>
        <v>92</v>
      </c>
      <c r="C80" s="41">
        <f t="shared" si="9"/>
        <v>33661764</v>
      </c>
      <c r="D80" s="41">
        <f t="shared" si="11"/>
        <v>2805142</v>
      </c>
      <c r="E80" s="401">
        <f t="shared" si="12"/>
        <v>0.053859</v>
      </c>
      <c r="F80" s="41">
        <f t="shared" si="10"/>
        <v>501929.27862046665</v>
      </c>
      <c r="G80" s="41">
        <f t="shared" si="13"/>
        <v>36793</v>
      </c>
      <c r="H80" s="91"/>
      <c r="I80" s="91"/>
      <c r="J80" s="231"/>
    </row>
    <row r="81" spans="1:10" ht="12.75">
      <c r="A81" s="97">
        <v>45657</v>
      </c>
      <c r="B81" s="308">
        <f t="shared" si="8"/>
        <v>92</v>
      </c>
      <c r="C81" s="99">
        <f t="shared" si="9"/>
        <v>30856622</v>
      </c>
      <c r="D81" s="99">
        <f t="shared" si="11"/>
        <v>2805142</v>
      </c>
      <c r="E81" s="402">
        <f t="shared" si="12"/>
        <v>0.053859</v>
      </c>
      <c r="F81" s="99">
        <f t="shared" si="10"/>
        <v>463319.3976372</v>
      </c>
      <c r="G81" s="99">
        <f t="shared" si="13"/>
        <v>36793</v>
      </c>
      <c r="H81" s="300">
        <f>SUM(F78:G81)</f>
        <v>2219938.352533283</v>
      </c>
      <c r="I81" s="300">
        <f>SUM(D78:D81)</f>
        <v>11220568</v>
      </c>
      <c r="J81" s="301">
        <f>SUM(H81:I81)</f>
        <v>13440506.352533283</v>
      </c>
    </row>
    <row r="82" spans="1:10" ht="12.75">
      <c r="A82" s="103">
        <v>45747</v>
      </c>
      <c r="B82" s="306">
        <f t="shared" si="8"/>
        <v>90</v>
      </c>
      <c r="C82" s="42">
        <f t="shared" si="9"/>
        <v>28051480</v>
      </c>
      <c r="D82" s="42">
        <f t="shared" si="11"/>
        <v>2805142</v>
      </c>
      <c r="E82" s="403">
        <f t="shared" si="12"/>
        <v>0.053859</v>
      </c>
      <c r="F82" s="42">
        <f t="shared" si="10"/>
        <v>415476.7010745</v>
      </c>
      <c r="G82" s="42">
        <f t="shared" si="13"/>
        <v>36793</v>
      </c>
      <c r="H82" s="104"/>
      <c r="I82" s="104"/>
      <c r="J82" s="242"/>
    </row>
    <row r="83" spans="1:10" ht="12.75">
      <c r="A83" s="90">
        <v>45838</v>
      </c>
      <c r="B83" s="307">
        <f t="shared" si="8"/>
        <v>91</v>
      </c>
      <c r="C83" s="41">
        <f t="shared" si="9"/>
        <v>25246338</v>
      </c>
      <c r="D83" s="41">
        <f t="shared" si="11"/>
        <v>2805142</v>
      </c>
      <c r="E83" s="401">
        <f t="shared" si="12"/>
        <v>0.053859</v>
      </c>
      <c r="F83" s="41">
        <f t="shared" si="10"/>
        <v>381902.90050033334</v>
      </c>
      <c r="G83" s="41">
        <f t="shared" si="13"/>
        <v>36793</v>
      </c>
      <c r="H83" s="91"/>
      <c r="I83" s="91"/>
      <c r="J83" s="231"/>
    </row>
    <row r="84" spans="1:10" ht="12.75">
      <c r="A84" s="90">
        <v>45930</v>
      </c>
      <c r="B84" s="307">
        <f t="shared" si="8"/>
        <v>92</v>
      </c>
      <c r="C84" s="41">
        <f t="shared" si="9"/>
        <v>22441196</v>
      </c>
      <c r="D84" s="41">
        <f t="shared" si="11"/>
        <v>2805142</v>
      </c>
      <c r="E84" s="401">
        <f t="shared" si="12"/>
        <v>0.053859</v>
      </c>
      <c r="F84" s="41">
        <f t="shared" si="10"/>
        <v>347489.7546874</v>
      </c>
      <c r="G84" s="41">
        <f t="shared" si="13"/>
        <v>36793</v>
      </c>
      <c r="H84" s="91"/>
      <c r="I84" s="91"/>
      <c r="J84" s="231"/>
    </row>
    <row r="85" spans="1:10" ht="12.75">
      <c r="A85" s="97">
        <v>46022</v>
      </c>
      <c r="B85" s="308">
        <f t="shared" si="8"/>
        <v>92</v>
      </c>
      <c r="C85" s="99">
        <f t="shared" si="9"/>
        <v>19636054</v>
      </c>
      <c r="D85" s="99">
        <f t="shared" si="11"/>
        <v>2805142</v>
      </c>
      <c r="E85" s="402">
        <f t="shared" si="12"/>
        <v>0.053859</v>
      </c>
      <c r="F85" s="99">
        <f t="shared" si="10"/>
        <v>308879.8737041333</v>
      </c>
      <c r="G85" s="99">
        <f t="shared" si="13"/>
        <v>36793</v>
      </c>
      <c r="H85" s="300">
        <f>SUM(F82:G85)</f>
        <v>1600921.2299663667</v>
      </c>
      <c r="I85" s="300">
        <f>SUM(D82:D85)</f>
        <v>11220568</v>
      </c>
      <c r="J85" s="301">
        <f>SUM(H85:I85)</f>
        <v>12821489.229966367</v>
      </c>
    </row>
    <row r="86" spans="1:10" ht="12.75">
      <c r="A86" s="103">
        <v>46112</v>
      </c>
      <c r="B86" s="306">
        <f t="shared" si="8"/>
        <v>90</v>
      </c>
      <c r="C86" s="42">
        <f t="shared" si="9"/>
        <v>16830912</v>
      </c>
      <c r="D86" s="42">
        <f t="shared" si="11"/>
        <v>2805142</v>
      </c>
      <c r="E86" s="403">
        <f t="shared" si="12"/>
        <v>0.053859</v>
      </c>
      <c r="F86" s="42">
        <f t="shared" si="10"/>
        <v>264394.5580965</v>
      </c>
      <c r="G86" s="42">
        <f t="shared" si="13"/>
        <v>36793</v>
      </c>
      <c r="H86" s="104"/>
      <c r="I86" s="104"/>
      <c r="J86" s="242"/>
    </row>
    <row r="87" spans="1:10" ht="12.75">
      <c r="A87" s="90">
        <v>46203</v>
      </c>
      <c r="B87" s="307">
        <f t="shared" si="8"/>
        <v>91</v>
      </c>
      <c r="C87" s="41">
        <f t="shared" si="9"/>
        <v>14025770</v>
      </c>
      <c r="D87" s="41">
        <f t="shared" si="11"/>
        <v>2805142</v>
      </c>
      <c r="E87" s="401">
        <f t="shared" si="12"/>
        <v>0.053859</v>
      </c>
      <c r="F87" s="41">
        <f aca="true" t="shared" si="14" ref="F87:F92">((C87+D87)*E87/360*B87)</f>
        <v>229142.0670448</v>
      </c>
      <c r="G87" s="41">
        <f t="shared" si="13"/>
        <v>36793</v>
      </c>
      <c r="H87" s="91"/>
      <c r="I87" s="91"/>
      <c r="J87" s="231"/>
    </row>
    <row r="88" spans="1:10" ht="12.75">
      <c r="A88" s="90">
        <v>46295</v>
      </c>
      <c r="B88" s="307">
        <f t="shared" si="8"/>
        <v>92</v>
      </c>
      <c r="C88" s="41">
        <f t="shared" si="9"/>
        <v>11220628</v>
      </c>
      <c r="D88" s="41">
        <f t="shared" si="11"/>
        <v>2805142</v>
      </c>
      <c r="E88" s="401">
        <f t="shared" si="12"/>
        <v>0.053859</v>
      </c>
      <c r="F88" s="41">
        <f t="shared" si="14"/>
        <v>193050.23075433334</v>
      </c>
      <c r="G88" s="41">
        <f t="shared" si="13"/>
        <v>36793</v>
      </c>
      <c r="H88" s="91"/>
      <c r="I88" s="91"/>
      <c r="J88" s="231"/>
    </row>
    <row r="89" spans="1:10" ht="12.75">
      <c r="A89" s="97">
        <v>46387</v>
      </c>
      <c r="B89" s="308">
        <f t="shared" si="8"/>
        <v>92</v>
      </c>
      <c r="C89" s="99">
        <f t="shared" si="9"/>
        <v>8415486</v>
      </c>
      <c r="D89" s="99">
        <f t="shared" si="11"/>
        <v>2805142</v>
      </c>
      <c r="E89" s="402">
        <f t="shared" si="12"/>
        <v>0.053859</v>
      </c>
      <c r="F89" s="99">
        <f t="shared" si="14"/>
        <v>154440.34977106669</v>
      </c>
      <c r="G89" s="99">
        <f t="shared" si="13"/>
        <v>36793</v>
      </c>
      <c r="H89" s="300">
        <f>SUM(F86:G89)</f>
        <v>988199.2056667</v>
      </c>
      <c r="I89" s="300">
        <f>SUM(D86:D89)</f>
        <v>11220568</v>
      </c>
      <c r="J89" s="301">
        <f>SUM(H89:I89)</f>
        <v>12208767.2056667</v>
      </c>
    </row>
    <row r="90" spans="1:10" ht="12.75">
      <c r="A90" s="103">
        <v>46477</v>
      </c>
      <c r="B90" s="306">
        <f t="shared" si="8"/>
        <v>90</v>
      </c>
      <c r="C90" s="42">
        <f t="shared" si="9"/>
        <v>5610344</v>
      </c>
      <c r="D90" s="42">
        <f t="shared" si="11"/>
        <v>2805142</v>
      </c>
      <c r="E90" s="403">
        <f t="shared" si="12"/>
        <v>0.053859</v>
      </c>
      <c r="F90" s="42">
        <f t="shared" si="14"/>
        <v>113312.4151185</v>
      </c>
      <c r="G90" s="42">
        <f t="shared" si="13"/>
        <v>36793</v>
      </c>
      <c r="H90" s="104"/>
      <c r="I90" s="104"/>
      <c r="J90" s="242"/>
    </row>
    <row r="91" spans="1:10" ht="12.75">
      <c r="A91" s="90">
        <v>46568</v>
      </c>
      <c r="B91" s="307">
        <f t="shared" si="8"/>
        <v>91</v>
      </c>
      <c r="C91" s="41">
        <f t="shared" si="9"/>
        <v>2805202</v>
      </c>
      <c r="D91" s="41">
        <f t="shared" si="11"/>
        <v>2805142</v>
      </c>
      <c r="E91" s="401">
        <f t="shared" si="12"/>
        <v>0.053859</v>
      </c>
      <c r="F91" s="41">
        <f t="shared" si="14"/>
        <v>76381.23358926666</v>
      </c>
      <c r="G91" s="41">
        <f>G90-4</f>
        <v>36789</v>
      </c>
      <c r="H91" s="91"/>
      <c r="I91" s="91"/>
      <c r="J91" s="231"/>
    </row>
    <row r="92" spans="1:10" ht="13.5" thickBot="1">
      <c r="A92" s="90">
        <v>46591</v>
      </c>
      <c r="B92" s="307">
        <f t="shared" si="8"/>
        <v>23</v>
      </c>
      <c r="C92" s="41">
        <f t="shared" si="9"/>
        <v>0</v>
      </c>
      <c r="D92" s="41">
        <v>2805202</v>
      </c>
      <c r="E92" s="401">
        <f t="shared" si="12"/>
        <v>0.053859</v>
      </c>
      <c r="F92" s="41">
        <f t="shared" si="14"/>
        <v>9652.676705316666</v>
      </c>
      <c r="G92" s="41">
        <f>F3-SUM(G9:G91)</f>
        <v>0</v>
      </c>
      <c r="H92" s="300">
        <f>SUM(F90:G92)</f>
        <v>272928.3254130833</v>
      </c>
      <c r="I92" s="300">
        <f>SUM(D90:D92)</f>
        <v>8415486</v>
      </c>
      <c r="J92" s="301">
        <f>SUM(H92:I92)</f>
        <v>8688414.325413084</v>
      </c>
    </row>
    <row r="93" spans="1:10" ht="13.5" thickTop="1">
      <c r="A93" s="563" t="s">
        <v>14</v>
      </c>
      <c r="B93" s="564"/>
      <c r="C93" s="565"/>
      <c r="D93" s="117">
        <f>SUM(D9:D92)</f>
        <v>196360000</v>
      </c>
      <c r="E93" s="118"/>
      <c r="F93" s="117">
        <f>SUM(F9:F92)</f>
        <v>119429824.99344438</v>
      </c>
      <c r="G93" s="117">
        <f>SUM(G9:G92)</f>
        <v>2943436</v>
      </c>
      <c r="H93" s="117">
        <f>SUM(H9:H92)</f>
        <v>122373260.9934444</v>
      </c>
      <c r="I93" s="117">
        <f>SUM(I9:I92)</f>
        <v>196360000</v>
      </c>
      <c r="J93" s="119">
        <f>SUM(J9:J92)</f>
        <v>318733260.9934444</v>
      </c>
    </row>
    <row r="94" spans="1:10" ht="12.75">
      <c r="A94" s="120"/>
      <c r="B94" s="121"/>
      <c r="E94" s="122"/>
      <c r="H94" s="121"/>
      <c r="J94" s="121"/>
    </row>
    <row r="95" spans="1:10" ht="12.75">
      <c r="A95" s="120"/>
      <c r="B95" s="121"/>
      <c r="E95" s="122"/>
      <c r="G95" s="121"/>
      <c r="H95" s="121"/>
      <c r="J95" s="121"/>
    </row>
    <row r="96" spans="3:4" ht="12.75">
      <c r="C96" s="58"/>
      <c r="D96" s="58"/>
    </row>
    <row r="97" spans="1:8" ht="12.75">
      <c r="A97" s="121"/>
      <c r="C97" s="58"/>
      <c r="D97" s="316" t="s">
        <v>3</v>
      </c>
      <c r="E97" s="316"/>
      <c r="F97" s="316" t="s">
        <v>106</v>
      </c>
      <c r="G97" s="316" t="s">
        <v>137</v>
      </c>
      <c r="H97" s="316" t="s">
        <v>138</v>
      </c>
    </row>
    <row r="98" spans="1:8" ht="12.75">
      <c r="A98" s="261"/>
      <c r="B98" s="337"/>
      <c r="C98" s="337"/>
      <c r="D98" s="337"/>
      <c r="E98" s="338"/>
      <c r="F98" s="338" t="s">
        <v>135</v>
      </c>
      <c r="G98" s="338" t="s">
        <v>136</v>
      </c>
      <c r="H98" s="338" t="s">
        <v>139</v>
      </c>
    </row>
    <row r="99" spans="1:8" ht="12.75">
      <c r="A99" s="121" t="s">
        <v>276</v>
      </c>
      <c r="C99" s="58"/>
      <c r="D99" s="332">
        <v>39420</v>
      </c>
      <c r="E99" s="316"/>
      <c r="F99" s="121">
        <v>181092155</v>
      </c>
      <c r="G99" s="121">
        <f>F99</f>
        <v>181092155</v>
      </c>
      <c r="H99" s="121">
        <f>D1-G99</f>
        <v>15267845</v>
      </c>
    </row>
    <row r="100" spans="1:8" ht="12.75">
      <c r="A100" s="121" t="s">
        <v>127</v>
      </c>
      <c r="C100" s="58"/>
      <c r="D100" s="332">
        <v>39454</v>
      </c>
      <c r="E100" s="316"/>
      <c r="F100" s="121">
        <v>6441912</v>
      </c>
      <c r="G100" s="121">
        <f>G99+F100</f>
        <v>187534067</v>
      </c>
      <c r="H100" s="121">
        <f>D1-G100</f>
        <v>8825933</v>
      </c>
    </row>
    <row r="101" spans="1:8" ht="13.5" thickBot="1">
      <c r="A101" s="121" t="s">
        <v>277</v>
      </c>
      <c r="C101" s="58"/>
      <c r="D101" s="332">
        <v>39762</v>
      </c>
      <c r="E101" s="316"/>
      <c r="F101" s="121">
        <v>8825933</v>
      </c>
      <c r="G101" s="121">
        <f>G100+F101</f>
        <v>196360000</v>
      </c>
      <c r="H101" s="121">
        <f>D1-G101</f>
        <v>0</v>
      </c>
    </row>
    <row r="102" spans="1:6" ht="13.5" thickTop="1">
      <c r="A102" s="126" t="s">
        <v>14</v>
      </c>
      <c r="B102" s="126"/>
      <c r="C102" s="124"/>
      <c r="D102" s="124"/>
      <c r="E102" s="333"/>
      <c r="F102" s="124">
        <f>SUM(F99:F101)</f>
        <v>196360000</v>
      </c>
    </row>
  </sheetData>
  <sheetProtection/>
  <mergeCells count="1">
    <mergeCell ref="A93:C93"/>
  </mergeCells>
  <printOptions horizontalCentered="1"/>
  <pageMargins left="0.3937007874015748" right="0.3937007874015748" top="0.984251968503937" bottom="0.3937007874015748" header="0.3937007874015748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 
2007. évben felvételre tervezett 196.360 eFt hitel</oddHeader>
    <oddFooter>&amp;L&amp;8&amp;D&amp;C&amp;8C:\Andi\adósságszolgálat2007\&amp;F\&amp;A    Oláhné P. Andrea&amp;R&amp;8&amp;P/&amp;N</oddFooter>
  </headerFooter>
  <rowBreaks count="1" manualBreakCount="1">
    <brk id="6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88">
      <selection activeCell="D102" sqref="D102"/>
    </sheetView>
  </sheetViews>
  <sheetFormatPr defaultColWidth="9.00390625" defaultRowHeight="12.75"/>
  <cols>
    <col min="1" max="1" width="11.37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8.625" style="58" customWidth="1"/>
    <col min="6" max="7" width="12.625" style="58" customWidth="1"/>
    <col min="8" max="8" width="14.625" style="58" bestFit="1" customWidth="1"/>
    <col min="9" max="9" width="12.625" style="58" bestFit="1" customWidth="1"/>
    <col min="10" max="10" width="14.375" style="58" bestFit="1" customWidth="1"/>
    <col min="11" max="11" width="2.125" style="58" customWidth="1"/>
    <col min="12" max="12" width="10.125" style="58" bestFit="1" customWidth="1"/>
    <col min="13" max="16384" width="9.375" style="58" customWidth="1"/>
  </cols>
  <sheetData>
    <row r="1" spans="1:7" ht="12.75">
      <c r="A1" s="162" t="s">
        <v>204</v>
      </c>
      <c r="B1" s="162"/>
      <c r="C1" s="163"/>
      <c r="D1" s="163">
        <v>722112000</v>
      </c>
      <c r="E1" s="162" t="s">
        <v>205</v>
      </c>
      <c r="F1" s="162" t="s">
        <v>300</v>
      </c>
      <c r="G1" s="162"/>
    </row>
    <row r="2" spans="1:7" ht="12.75">
      <c r="A2" s="162" t="s">
        <v>206</v>
      </c>
      <c r="B2" s="162"/>
      <c r="C2" s="163"/>
      <c r="D2" s="163">
        <v>17</v>
      </c>
      <c r="E2" s="162" t="s">
        <v>207</v>
      </c>
      <c r="F2" s="162"/>
      <c r="G2" s="162"/>
    </row>
    <row r="3" spans="1:7" ht="12.75">
      <c r="A3" s="162" t="s">
        <v>226</v>
      </c>
      <c r="B3" s="162"/>
      <c r="C3" s="163"/>
      <c r="D3" s="233">
        <v>1.499</v>
      </c>
      <c r="E3" s="162" t="s">
        <v>227</v>
      </c>
      <c r="F3" s="163">
        <f>ROUND(D1*D3/100,0)</f>
        <v>10824459</v>
      </c>
      <c r="G3" s="162" t="s">
        <v>205</v>
      </c>
    </row>
    <row r="4" spans="1:7" ht="12.75">
      <c r="A4" s="163" t="s">
        <v>228</v>
      </c>
      <c r="B4" s="162"/>
      <c r="C4" s="163"/>
      <c r="D4" s="163">
        <v>3</v>
      </c>
      <c r="E4" s="162" t="s">
        <v>207</v>
      </c>
      <c r="F4" s="162"/>
      <c r="G4" s="162"/>
    </row>
    <row r="5" spans="1:10" ht="12.75">
      <c r="A5" s="163" t="s">
        <v>253</v>
      </c>
      <c r="B5" s="162"/>
      <c r="C5" s="163"/>
      <c r="D5" s="398"/>
      <c r="E5" s="399"/>
      <c r="F5" s="163"/>
      <c r="G5" s="400"/>
      <c r="H5" s="446">
        <v>0.06286</v>
      </c>
      <c r="I5" s="132"/>
      <c r="J5" s="132"/>
    </row>
    <row r="6" spans="1:10" ht="12.75">
      <c r="A6" s="66" t="s">
        <v>3</v>
      </c>
      <c r="B6" s="67" t="s">
        <v>4</v>
      </c>
      <c r="C6" s="68" t="s">
        <v>5</v>
      </c>
      <c r="D6" s="68" t="s">
        <v>21</v>
      </c>
      <c r="E6" s="68" t="s">
        <v>18</v>
      </c>
      <c r="F6" s="69" t="s">
        <v>20</v>
      </c>
      <c r="G6" s="69" t="s">
        <v>120</v>
      </c>
      <c r="H6" s="70" t="s">
        <v>6</v>
      </c>
      <c r="I6" s="70" t="s">
        <v>6</v>
      </c>
      <c r="J6" s="71" t="s">
        <v>6</v>
      </c>
    </row>
    <row r="7" spans="1:10" ht="12.75">
      <c r="A7" s="72"/>
      <c r="B7" s="73" t="s">
        <v>7</v>
      </c>
      <c r="C7" s="74" t="s">
        <v>8</v>
      </c>
      <c r="D7" s="74" t="s">
        <v>13</v>
      </c>
      <c r="E7" s="74" t="s">
        <v>19</v>
      </c>
      <c r="F7" s="75" t="s">
        <v>13</v>
      </c>
      <c r="G7" s="75" t="s">
        <v>121</v>
      </c>
      <c r="H7" s="76" t="s">
        <v>9</v>
      </c>
      <c r="I7" s="76" t="s">
        <v>11</v>
      </c>
      <c r="J7" s="77" t="s">
        <v>10</v>
      </c>
    </row>
    <row r="8" spans="1:10" ht="12.75">
      <c r="A8" s="78"/>
      <c r="B8" s="79"/>
      <c r="C8" s="80"/>
      <c r="D8" s="80"/>
      <c r="E8" s="80"/>
      <c r="F8" s="81"/>
      <c r="G8" s="136" t="s">
        <v>229</v>
      </c>
      <c r="H8" s="136" t="s">
        <v>123</v>
      </c>
      <c r="I8" s="82" t="s">
        <v>13</v>
      </c>
      <c r="J8" s="83" t="s">
        <v>12</v>
      </c>
    </row>
    <row r="9" spans="1:10" ht="12.75">
      <c r="A9" s="414">
        <v>39420</v>
      </c>
      <c r="B9" s="307"/>
      <c r="C9" s="281">
        <v>351451797</v>
      </c>
      <c r="D9" s="364"/>
      <c r="E9" s="401"/>
      <c r="F9" s="41"/>
      <c r="G9" s="367"/>
      <c r="H9" s="367"/>
      <c r="I9" s="368"/>
      <c r="J9" s="404"/>
    </row>
    <row r="10" spans="1:10" ht="12.75">
      <c r="A10" s="490">
        <v>39420</v>
      </c>
      <c r="B10" s="309"/>
      <c r="C10" s="359"/>
      <c r="D10" s="408"/>
      <c r="E10" s="409"/>
      <c r="F10" s="107"/>
      <c r="G10" s="489">
        <v>135306</v>
      </c>
      <c r="H10" s="410"/>
      <c r="I10" s="411"/>
      <c r="J10" s="412"/>
    </row>
    <row r="11" spans="1:10" ht="12.75">
      <c r="A11" s="405">
        <v>39438</v>
      </c>
      <c r="B11" s="308">
        <f>A11-A9</f>
        <v>18</v>
      </c>
      <c r="C11" s="99">
        <f>C9-D11</f>
        <v>351451797</v>
      </c>
      <c r="D11" s="406"/>
      <c r="E11" s="402">
        <f>H5</f>
        <v>0.06286</v>
      </c>
      <c r="F11" s="99">
        <v>1472817</v>
      </c>
      <c r="G11" s="407">
        <f>ROUND(F3/((D2+D4)*4),0)</f>
        <v>135306</v>
      </c>
      <c r="H11" s="300">
        <f>SUM(F9:G11)</f>
        <v>1743429</v>
      </c>
      <c r="I11" s="300">
        <f>SUM(D11)</f>
        <v>0</v>
      </c>
      <c r="J11" s="301">
        <f>SUM(H11:I11)</f>
        <v>1743429</v>
      </c>
    </row>
    <row r="12" spans="1:10" ht="12.75">
      <c r="A12" s="515">
        <v>39454</v>
      </c>
      <c r="B12" s="306">
        <f aca="true" t="shared" si="0" ref="B12:B17">A12-A11</f>
        <v>16</v>
      </c>
      <c r="C12" s="152">
        <v>574446163</v>
      </c>
      <c r="D12" s="324"/>
      <c r="E12" s="403"/>
      <c r="F12" s="42"/>
      <c r="G12" s="326"/>
      <c r="H12" s="330"/>
      <c r="I12" s="330"/>
      <c r="J12" s="331"/>
    </row>
    <row r="13" spans="1:10" ht="12.75">
      <c r="A13" s="90">
        <v>39538</v>
      </c>
      <c r="B13" s="307">
        <f t="shared" si="0"/>
        <v>84</v>
      </c>
      <c r="C13" s="41">
        <f>C12-D13</f>
        <v>574446163</v>
      </c>
      <c r="D13" s="41"/>
      <c r="E13" s="401">
        <v>0.06265</v>
      </c>
      <c r="F13" s="41">
        <v>9126311</v>
      </c>
      <c r="G13" s="41">
        <f>G11</f>
        <v>135306</v>
      </c>
      <c r="H13" s="91"/>
      <c r="I13" s="91"/>
      <c r="J13" s="231"/>
    </row>
    <row r="14" spans="1:10" ht="12.75">
      <c r="A14" s="90">
        <v>39640</v>
      </c>
      <c r="B14" s="307">
        <f t="shared" si="0"/>
        <v>102</v>
      </c>
      <c r="C14" s="41">
        <f>C13-D14</f>
        <v>574446163</v>
      </c>
      <c r="D14" s="41"/>
      <c r="E14" s="401">
        <v>0.06231</v>
      </c>
      <c r="F14" s="41">
        <v>9048405</v>
      </c>
      <c r="G14" s="41">
        <f>G13</f>
        <v>135306</v>
      </c>
      <c r="H14" s="91"/>
      <c r="I14" s="91"/>
      <c r="J14" s="231"/>
    </row>
    <row r="15" spans="1:12" ht="12.75">
      <c r="A15" s="90">
        <v>39721</v>
      </c>
      <c r="B15" s="307">
        <f t="shared" si="0"/>
        <v>81</v>
      </c>
      <c r="C15" s="41">
        <f>C14-D15</f>
        <v>574446163</v>
      </c>
      <c r="D15" s="41"/>
      <c r="E15" s="401">
        <v>0.06447</v>
      </c>
      <c r="F15" s="41">
        <v>9460937</v>
      </c>
      <c r="G15" s="41">
        <f>G14</f>
        <v>135306</v>
      </c>
      <c r="H15" s="91"/>
      <c r="I15" s="91"/>
      <c r="J15" s="231"/>
      <c r="L15" s="121"/>
    </row>
    <row r="16" spans="1:10" ht="12.75">
      <c r="A16" s="528">
        <v>39762</v>
      </c>
      <c r="B16" s="307">
        <f t="shared" si="0"/>
        <v>41</v>
      </c>
      <c r="C16" s="245">
        <v>722112000</v>
      </c>
      <c r="D16" s="107"/>
      <c r="E16" s="409"/>
      <c r="F16" s="107"/>
      <c r="G16" s="107"/>
      <c r="H16" s="108"/>
      <c r="I16" s="108"/>
      <c r="J16" s="251"/>
    </row>
    <row r="17" spans="1:10" ht="12.75">
      <c r="A17" s="97">
        <v>39813</v>
      </c>
      <c r="B17" s="307">
        <f t="shared" si="0"/>
        <v>51</v>
      </c>
      <c r="C17" s="99">
        <f>C16-D17</f>
        <v>722112000</v>
      </c>
      <c r="D17" s="99"/>
      <c r="E17" s="402">
        <f>E15</f>
        <v>0.06447</v>
      </c>
      <c r="F17" s="99">
        <f>((C15+D15)*E17/360*B16)+((C17+D17)*E17/360*B17)</f>
        <v>10813052.505313916</v>
      </c>
      <c r="G17" s="99">
        <f>G15</f>
        <v>135306</v>
      </c>
      <c r="H17" s="300">
        <f>SUM(F13:G17)</f>
        <v>38989929.50531392</v>
      </c>
      <c r="I17" s="300">
        <f>SUM(D13:D17)</f>
        <v>0</v>
      </c>
      <c r="J17" s="301">
        <f>SUM(H17:I17)</f>
        <v>38989929.50531392</v>
      </c>
    </row>
    <row r="18" spans="1:10" ht="12.75">
      <c r="A18" s="103">
        <v>39903</v>
      </c>
      <c r="B18" s="306">
        <f aca="true" t="shared" si="1" ref="B18:B42">A18-A17</f>
        <v>90</v>
      </c>
      <c r="C18" s="42">
        <f aca="true" t="shared" si="2" ref="C18:C44">C17-D18</f>
        <v>722112000</v>
      </c>
      <c r="D18" s="42"/>
      <c r="E18" s="403">
        <f aca="true" t="shared" si="3" ref="E18:E45">E17</f>
        <v>0.06447</v>
      </c>
      <c r="F18" s="42">
        <f aca="true" t="shared" si="4" ref="F18:F45">((C18+D18)*E18/360*B18)</f>
        <v>11638640.16</v>
      </c>
      <c r="G18" s="42">
        <f aca="true" t="shared" si="5" ref="G18:G45">G17</f>
        <v>135306</v>
      </c>
      <c r="H18" s="104"/>
      <c r="I18" s="104"/>
      <c r="J18" s="242"/>
    </row>
    <row r="19" spans="1:10" ht="12.75">
      <c r="A19" s="90">
        <v>39994</v>
      </c>
      <c r="B19" s="307">
        <f t="shared" si="1"/>
        <v>91</v>
      </c>
      <c r="C19" s="41">
        <f t="shared" si="2"/>
        <v>722112000</v>
      </c>
      <c r="D19" s="41"/>
      <c r="E19" s="401">
        <f t="shared" si="3"/>
        <v>0.06447</v>
      </c>
      <c r="F19" s="41">
        <f t="shared" si="4"/>
        <v>11767958.384</v>
      </c>
      <c r="G19" s="41">
        <f t="shared" si="5"/>
        <v>135306</v>
      </c>
      <c r="H19" s="91"/>
      <c r="I19" s="91"/>
      <c r="J19" s="231"/>
    </row>
    <row r="20" spans="1:10" ht="12.75">
      <c r="A20" s="90">
        <v>40086</v>
      </c>
      <c r="B20" s="307">
        <f t="shared" si="1"/>
        <v>92</v>
      </c>
      <c r="C20" s="41">
        <f t="shared" si="2"/>
        <v>722112000</v>
      </c>
      <c r="D20" s="41"/>
      <c r="E20" s="401">
        <f t="shared" si="3"/>
        <v>0.06447</v>
      </c>
      <c r="F20" s="41">
        <f t="shared" si="4"/>
        <v>11897276.608000001</v>
      </c>
      <c r="G20" s="41">
        <f t="shared" si="5"/>
        <v>135306</v>
      </c>
      <c r="H20" s="91"/>
      <c r="I20" s="91"/>
      <c r="J20" s="231"/>
    </row>
    <row r="21" spans="1:10" ht="12.75">
      <c r="A21" s="97">
        <v>40178</v>
      </c>
      <c r="B21" s="308">
        <f t="shared" si="1"/>
        <v>92</v>
      </c>
      <c r="C21" s="99">
        <f t="shared" si="2"/>
        <v>722112000</v>
      </c>
      <c r="D21" s="99"/>
      <c r="E21" s="402">
        <f t="shared" si="3"/>
        <v>0.06447</v>
      </c>
      <c r="F21" s="99">
        <f t="shared" si="4"/>
        <v>11897276.608000001</v>
      </c>
      <c r="G21" s="99">
        <f t="shared" si="5"/>
        <v>135306</v>
      </c>
      <c r="H21" s="300">
        <f>SUM(F18:G21)</f>
        <v>47742375.760000005</v>
      </c>
      <c r="I21" s="300">
        <f>SUM(D18:D21)</f>
        <v>0</v>
      </c>
      <c r="J21" s="301">
        <f>SUM(H21:I21)</f>
        <v>47742375.760000005</v>
      </c>
    </row>
    <row r="22" spans="1:10" ht="12.75">
      <c r="A22" s="103">
        <v>40268</v>
      </c>
      <c r="B22" s="306">
        <f t="shared" si="1"/>
        <v>90</v>
      </c>
      <c r="C22" s="42">
        <f t="shared" si="2"/>
        <v>722112000</v>
      </c>
      <c r="D22" s="42"/>
      <c r="E22" s="403">
        <f t="shared" si="3"/>
        <v>0.06447</v>
      </c>
      <c r="F22" s="42">
        <f t="shared" si="4"/>
        <v>11638640.16</v>
      </c>
      <c r="G22" s="42">
        <f t="shared" si="5"/>
        <v>135306</v>
      </c>
      <c r="H22" s="104"/>
      <c r="I22" s="104"/>
      <c r="J22" s="242"/>
    </row>
    <row r="23" spans="1:10" ht="12.75">
      <c r="A23" s="90">
        <v>40359</v>
      </c>
      <c r="B23" s="307">
        <f t="shared" si="1"/>
        <v>91</v>
      </c>
      <c r="C23" s="41">
        <f t="shared" si="2"/>
        <v>711796114</v>
      </c>
      <c r="D23" s="41">
        <v>10315886</v>
      </c>
      <c r="E23" s="401">
        <f t="shared" si="3"/>
        <v>0.06447</v>
      </c>
      <c r="F23" s="41">
        <f t="shared" si="4"/>
        <v>11767958.384</v>
      </c>
      <c r="G23" s="41">
        <f t="shared" si="5"/>
        <v>135306</v>
      </c>
      <c r="H23" s="91"/>
      <c r="I23" s="91"/>
      <c r="J23" s="231"/>
    </row>
    <row r="24" spans="1:10" ht="12.75">
      <c r="A24" s="90">
        <v>40451</v>
      </c>
      <c r="B24" s="307">
        <f t="shared" si="1"/>
        <v>92</v>
      </c>
      <c r="C24" s="41">
        <f t="shared" si="2"/>
        <v>701480228</v>
      </c>
      <c r="D24" s="41">
        <f aca="true" t="shared" si="6" ref="D24:D55">D23</f>
        <v>10315886</v>
      </c>
      <c r="E24" s="401">
        <f t="shared" si="3"/>
        <v>0.06447</v>
      </c>
      <c r="F24" s="41">
        <f t="shared" si="4"/>
        <v>11727315.508892668</v>
      </c>
      <c r="G24" s="41">
        <f t="shared" si="5"/>
        <v>135306</v>
      </c>
      <c r="H24" s="91"/>
      <c r="I24" s="91"/>
      <c r="J24" s="231"/>
    </row>
    <row r="25" spans="1:10" ht="12.75">
      <c r="A25" s="97">
        <v>40543</v>
      </c>
      <c r="B25" s="308">
        <f t="shared" si="1"/>
        <v>92</v>
      </c>
      <c r="C25" s="99">
        <f t="shared" si="2"/>
        <v>691164342</v>
      </c>
      <c r="D25" s="99">
        <f t="shared" si="6"/>
        <v>10315886</v>
      </c>
      <c r="E25" s="402">
        <f t="shared" si="3"/>
        <v>0.06447</v>
      </c>
      <c r="F25" s="99">
        <f t="shared" si="4"/>
        <v>11557354.409785332</v>
      </c>
      <c r="G25" s="99">
        <f t="shared" si="5"/>
        <v>135306</v>
      </c>
      <c r="H25" s="300">
        <f>SUM(F22:G25)</f>
        <v>47232492.462678</v>
      </c>
      <c r="I25" s="300">
        <f>SUM(D22:D25)</f>
        <v>30947658</v>
      </c>
      <c r="J25" s="301">
        <f>SUM(H25:I25)</f>
        <v>78180150.462678</v>
      </c>
    </row>
    <row r="26" spans="1:10" ht="12.75">
      <c r="A26" s="103">
        <v>40633</v>
      </c>
      <c r="B26" s="306">
        <f t="shared" si="1"/>
        <v>90</v>
      </c>
      <c r="C26" s="42">
        <f t="shared" si="2"/>
        <v>680848456</v>
      </c>
      <c r="D26" s="42">
        <f t="shared" si="6"/>
        <v>10315886</v>
      </c>
      <c r="E26" s="403">
        <f t="shared" si="3"/>
        <v>0.06447</v>
      </c>
      <c r="F26" s="42">
        <f t="shared" si="4"/>
        <v>11139841.282185</v>
      </c>
      <c r="G26" s="42">
        <f t="shared" si="5"/>
        <v>135306</v>
      </c>
      <c r="H26" s="104"/>
      <c r="I26" s="104"/>
      <c r="J26" s="242"/>
    </row>
    <row r="27" spans="1:10" ht="12.75">
      <c r="A27" s="90">
        <v>40724</v>
      </c>
      <c r="B27" s="307">
        <f t="shared" si="1"/>
        <v>91</v>
      </c>
      <c r="C27" s="41">
        <f t="shared" si="2"/>
        <v>670532570</v>
      </c>
      <c r="D27" s="41">
        <f t="shared" si="6"/>
        <v>10315886</v>
      </c>
      <c r="E27" s="401">
        <f t="shared" si="3"/>
        <v>0.06447</v>
      </c>
      <c r="F27" s="41">
        <f t="shared" si="4"/>
        <v>11095503.600575333</v>
      </c>
      <c r="G27" s="41">
        <f t="shared" si="5"/>
        <v>135306</v>
      </c>
      <c r="H27" s="91"/>
      <c r="I27" s="91"/>
      <c r="J27" s="231"/>
    </row>
    <row r="28" spans="1:10" ht="12.75">
      <c r="A28" s="90">
        <v>40816</v>
      </c>
      <c r="B28" s="307">
        <f t="shared" si="1"/>
        <v>92</v>
      </c>
      <c r="C28" s="41">
        <f t="shared" si="2"/>
        <v>660216684</v>
      </c>
      <c r="D28" s="41">
        <f t="shared" si="6"/>
        <v>10315886</v>
      </c>
      <c r="E28" s="401">
        <f t="shared" si="3"/>
        <v>0.06447</v>
      </c>
      <c r="F28" s="41">
        <f t="shared" si="4"/>
        <v>11047471.112463333</v>
      </c>
      <c r="G28" s="41">
        <f t="shared" si="5"/>
        <v>135306</v>
      </c>
      <c r="H28" s="91"/>
      <c r="I28" s="91"/>
      <c r="J28" s="231"/>
    </row>
    <row r="29" spans="1:10" ht="12.75">
      <c r="A29" s="97">
        <v>40908</v>
      </c>
      <c r="B29" s="308">
        <f t="shared" si="1"/>
        <v>92</v>
      </c>
      <c r="C29" s="99">
        <f t="shared" si="2"/>
        <v>649900798</v>
      </c>
      <c r="D29" s="99">
        <f t="shared" si="6"/>
        <v>10315886</v>
      </c>
      <c r="E29" s="402">
        <f t="shared" si="3"/>
        <v>0.06447</v>
      </c>
      <c r="F29" s="99">
        <f t="shared" si="4"/>
        <v>10877510.013356</v>
      </c>
      <c r="G29" s="99">
        <f t="shared" si="5"/>
        <v>135306</v>
      </c>
      <c r="H29" s="300">
        <f>SUM(F26:G29)</f>
        <v>44701550.008579664</v>
      </c>
      <c r="I29" s="300">
        <f>SUM(D26:D29)</f>
        <v>41263544</v>
      </c>
      <c r="J29" s="301">
        <f>SUM(H29:I29)</f>
        <v>85965094.00857967</v>
      </c>
    </row>
    <row r="30" spans="1:10" ht="12.75">
      <c r="A30" s="103">
        <v>40999</v>
      </c>
      <c r="B30" s="306">
        <f t="shared" si="1"/>
        <v>91</v>
      </c>
      <c r="C30" s="42">
        <f t="shared" si="2"/>
        <v>639584912</v>
      </c>
      <c r="D30" s="42">
        <f t="shared" si="6"/>
        <v>10315886</v>
      </c>
      <c r="E30" s="403">
        <f t="shared" si="3"/>
        <v>0.06447</v>
      </c>
      <c r="F30" s="42">
        <f t="shared" si="4"/>
        <v>10591162.513006832</v>
      </c>
      <c r="G30" s="42">
        <f t="shared" si="5"/>
        <v>135306</v>
      </c>
      <c r="H30" s="104"/>
      <c r="I30" s="104"/>
      <c r="J30" s="242"/>
    </row>
    <row r="31" spans="1:10" ht="12.75">
      <c r="A31" s="90">
        <v>41090</v>
      </c>
      <c r="B31" s="307">
        <f t="shared" si="1"/>
        <v>91</v>
      </c>
      <c r="C31" s="41">
        <f t="shared" si="2"/>
        <v>629269026</v>
      </c>
      <c r="D31" s="41">
        <f t="shared" si="6"/>
        <v>10315886</v>
      </c>
      <c r="E31" s="401">
        <f t="shared" si="3"/>
        <v>0.06447</v>
      </c>
      <c r="F31" s="41">
        <f t="shared" si="4"/>
        <v>10423048.817150665</v>
      </c>
      <c r="G31" s="41">
        <f t="shared" si="5"/>
        <v>135306</v>
      </c>
      <c r="H31" s="91"/>
      <c r="I31" s="91"/>
      <c r="J31" s="231"/>
    </row>
    <row r="32" spans="1:10" ht="12.75">
      <c r="A32" s="90">
        <v>41182</v>
      </c>
      <c r="B32" s="307">
        <f t="shared" si="1"/>
        <v>92</v>
      </c>
      <c r="C32" s="41">
        <f t="shared" si="2"/>
        <v>618953140</v>
      </c>
      <c r="D32" s="41">
        <f t="shared" si="6"/>
        <v>10315886</v>
      </c>
      <c r="E32" s="401">
        <f t="shared" si="3"/>
        <v>0.06447</v>
      </c>
      <c r="F32" s="41">
        <f t="shared" si="4"/>
        <v>10367626.716033999</v>
      </c>
      <c r="G32" s="41">
        <f t="shared" si="5"/>
        <v>135306</v>
      </c>
      <c r="H32" s="91"/>
      <c r="I32" s="91"/>
      <c r="J32" s="231"/>
    </row>
    <row r="33" spans="1:10" ht="12.75">
      <c r="A33" s="97">
        <v>41274</v>
      </c>
      <c r="B33" s="308">
        <f t="shared" si="1"/>
        <v>92</v>
      </c>
      <c r="C33" s="99">
        <f t="shared" si="2"/>
        <v>608637254</v>
      </c>
      <c r="D33" s="99">
        <f t="shared" si="6"/>
        <v>10315886</v>
      </c>
      <c r="E33" s="402">
        <f t="shared" si="3"/>
        <v>0.06447</v>
      </c>
      <c r="F33" s="99">
        <f t="shared" si="4"/>
        <v>10197665.616926666</v>
      </c>
      <c r="G33" s="99">
        <f t="shared" si="5"/>
        <v>135306</v>
      </c>
      <c r="H33" s="300">
        <f>SUM(F30:G33)</f>
        <v>42120727.66311816</v>
      </c>
      <c r="I33" s="300">
        <f>SUM(D30:D33)</f>
        <v>41263544</v>
      </c>
      <c r="J33" s="301">
        <f>SUM(H33:I33)</f>
        <v>83384271.66311815</v>
      </c>
    </row>
    <row r="34" spans="1:10" ht="12.75">
      <c r="A34" s="103">
        <v>41364</v>
      </c>
      <c r="B34" s="306">
        <f t="shared" si="1"/>
        <v>90</v>
      </c>
      <c r="C34" s="42">
        <f t="shared" si="2"/>
        <v>598321368</v>
      </c>
      <c r="D34" s="42">
        <f t="shared" si="6"/>
        <v>10315886</v>
      </c>
      <c r="E34" s="403">
        <f t="shared" si="3"/>
        <v>0.06447</v>
      </c>
      <c r="F34" s="42">
        <f t="shared" si="4"/>
        <v>9809710.941345</v>
      </c>
      <c r="G34" s="42">
        <f t="shared" si="5"/>
        <v>135306</v>
      </c>
      <c r="H34" s="104"/>
      <c r="I34" s="104"/>
      <c r="J34" s="242"/>
    </row>
    <row r="35" spans="1:10" ht="12.75">
      <c r="A35" s="90">
        <v>41455</v>
      </c>
      <c r="B35" s="307">
        <f t="shared" si="1"/>
        <v>91</v>
      </c>
      <c r="C35" s="41">
        <f t="shared" si="2"/>
        <v>588005482</v>
      </c>
      <c r="D35" s="41">
        <f t="shared" si="6"/>
        <v>10315886</v>
      </c>
      <c r="E35" s="401">
        <f t="shared" si="3"/>
        <v>0.06447</v>
      </c>
      <c r="F35" s="41">
        <f t="shared" si="4"/>
        <v>9750594.033726</v>
      </c>
      <c r="G35" s="41">
        <f t="shared" si="5"/>
        <v>135306</v>
      </c>
      <c r="H35" s="91"/>
      <c r="I35" s="91"/>
      <c r="J35" s="231"/>
    </row>
    <row r="36" spans="1:10" ht="12.75">
      <c r="A36" s="90">
        <v>41547</v>
      </c>
      <c r="B36" s="307">
        <f t="shared" si="1"/>
        <v>92</v>
      </c>
      <c r="C36" s="41">
        <f t="shared" si="2"/>
        <v>577689596</v>
      </c>
      <c r="D36" s="41">
        <f t="shared" si="6"/>
        <v>10315886</v>
      </c>
      <c r="E36" s="401">
        <f t="shared" si="3"/>
        <v>0.06447</v>
      </c>
      <c r="F36" s="41">
        <f t="shared" si="4"/>
        <v>9687782.319604667</v>
      </c>
      <c r="G36" s="41">
        <f t="shared" si="5"/>
        <v>135306</v>
      </c>
      <c r="H36" s="91"/>
      <c r="I36" s="91"/>
      <c r="J36" s="231"/>
    </row>
    <row r="37" spans="1:10" ht="12.75">
      <c r="A37" s="97">
        <v>41639</v>
      </c>
      <c r="B37" s="308">
        <f t="shared" si="1"/>
        <v>92</v>
      </c>
      <c r="C37" s="99">
        <f t="shared" si="2"/>
        <v>567373710</v>
      </c>
      <c r="D37" s="99">
        <f t="shared" si="6"/>
        <v>10315886</v>
      </c>
      <c r="E37" s="402">
        <f t="shared" si="3"/>
        <v>0.06447</v>
      </c>
      <c r="F37" s="99">
        <f t="shared" si="4"/>
        <v>9517821.220497334</v>
      </c>
      <c r="G37" s="99">
        <f t="shared" si="5"/>
        <v>135306</v>
      </c>
      <c r="H37" s="300">
        <f>SUM(F34:G37)</f>
        <v>39307132.515172996</v>
      </c>
      <c r="I37" s="300">
        <f>SUM(D34:D37)</f>
        <v>41263544</v>
      </c>
      <c r="J37" s="301">
        <f>SUM(H37:I37)</f>
        <v>80570676.51517299</v>
      </c>
    </row>
    <row r="38" spans="1:10" ht="12.75">
      <c r="A38" s="103">
        <v>41729</v>
      </c>
      <c r="B38" s="306">
        <f t="shared" si="1"/>
        <v>90</v>
      </c>
      <c r="C38" s="42">
        <f t="shared" si="2"/>
        <v>557057824</v>
      </c>
      <c r="D38" s="42">
        <f t="shared" si="6"/>
        <v>10315886</v>
      </c>
      <c r="E38" s="403">
        <f t="shared" si="3"/>
        <v>0.06447</v>
      </c>
      <c r="F38" s="42">
        <f t="shared" si="4"/>
        <v>9144645.770925</v>
      </c>
      <c r="G38" s="42">
        <f t="shared" si="5"/>
        <v>135306</v>
      </c>
      <c r="H38" s="104"/>
      <c r="I38" s="104"/>
      <c r="J38" s="242"/>
    </row>
    <row r="39" spans="1:10" ht="12.75">
      <c r="A39" s="90">
        <v>41820</v>
      </c>
      <c r="B39" s="307">
        <f t="shared" si="1"/>
        <v>91</v>
      </c>
      <c r="C39" s="41">
        <f t="shared" si="2"/>
        <v>546741938</v>
      </c>
      <c r="D39" s="41">
        <f t="shared" si="6"/>
        <v>10315886</v>
      </c>
      <c r="E39" s="401">
        <f t="shared" si="3"/>
        <v>0.06447</v>
      </c>
      <c r="F39" s="41">
        <f t="shared" si="4"/>
        <v>9078139.250301333</v>
      </c>
      <c r="G39" s="41">
        <f t="shared" si="5"/>
        <v>135306</v>
      </c>
      <c r="H39" s="91"/>
      <c r="I39" s="91"/>
      <c r="J39" s="231"/>
    </row>
    <row r="40" spans="1:10" ht="12.75">
      <c r="A40" s="90">
        <v>41912</v>
      </c>
      <c r="B40" s="307">
        <f t="shared" si="1"/>
        <v>92</v>
      </c>
      <c r="C40" s="41">
        <f t="shared" si="2"/>
        <v>536426052</v>
      </c>
      <c r="D40" s="41">
        <f t="shared" si="6"/>
        <v>10315886</v>
      </c>
      <c r="E40" s="401">
        <f t="shared" si="3"/>
        <v>0.06447</v>
      </c>
      <c r="F40" s="41">
        <f t="shared" si="4"/>
        <v>9007937.923175333</v>
      </c>
      <c r="G40" s="41">
        <f t="shared" si="5"/>
        <v>135306</v>
      </c>
      <c r="H40" s="91"/>
      <c r="I40" s="91"/>
      <c r="J40" s="231"/>
    </row>
    <row r="41" spans="1:10" ht="12.75">
      <c r="A41" s="97">
        <v>42004</v>
      </c>
      <c r="B41" s="308">
        <f t="shared" si="1"/>
        <v>92</v>
      </c>
      <c r="C41" s="99">
        <f t="shared" si="2"/>
        <v>526110166</v>
      </c>
      <c r="D41" s="99">
        <f t="shared" si="6"/>
        <v>10315886</v>
      </c>
      <c r="E41" s="402">
        <f t="shared" si="3"/>
        <v>0.06447</v>
      </c>
      <c r="F41" s="99">
        <f t="shared" si="4"/>
        <v>8837976.824067999</v>
      </c>
      <c r="G41" s="99">
        <f t="shared" si="5"/>
        <v>135306</v>
      </c>
      <c r="H41" s="300">
        <f>SUM(F38:G41)</f>
        <v>36609923.76846966</v>
      </c>
      <c r="I41" s="300">
        <f>SUM(D38:D41)</f>
        <v>41263544</v>
      </c>
      <c r="J41" s="301">
        <f>SUM(H41:I41)</f>
        <v>77873467.76846966</v>
      </c>
    </row>
    <row r="42" spans="1:10" ht="12.75">
      <c r="A42" s="103">
        <v>42094</v>
      </c>
      <c r="B42" s="306">
        <f t="shared" si="1"/>
        <v>90</v>
      </c>
      <c r="C42" s="42">
        <f t="shared" si="2"/>
        <v>515794280</v>
      </c>
      <c r="D42" s="42">
        <f t="shared" si="6"/>
        <v>10315886</v>
      </c>
      <c r="E42" s="403">
        <f t="shared" si="3"/>
        <v>0.06447</v>
      </c>
      <c r="F42" s="42">
        <f t="shared" si="4"/>
        <v>8479580.600505</v>
      </c>
      <c r="G42" s="42">
        <f t="shared" si="5"/>
        <v>135306</v>
      </c>
      <c r="H42" s="104"/>
      <c r="I42" s="104"/>
      <c r="J42" s="242"/>
    </row>
    <row r="43" spans="1:10" ht="12.75">
      <c r="A43" s="90">
        <v>42185</v>
      </c>
      <c r="B43" s="307">
        <f aca="true" t="shared" si="7" ref="B43:B74">A43-A42</f>
        <v>91</v>
      </c>
      <c r="C43" s="41">
        <f t="shared" si="2"/>
        <v>505478394</v>
      </c>
      <c r="D43" s="41">
        <f t="shared" si="6"/>
        <v>10315886</v>
      </c>
      <c r="E43" s="401">
        <f t="shared" si="3"/>
        <v>0.06447</v>
      </c>
      <c r="F43" s="41">
        <f t="shared" si="4"/>
        <v>8405684.466876667</v>
      </c>
      <c r="G43" s="41">
        <f t="shared" si="5"/>
        <v>135306</v>
      </c>
      <c r="H43" s="91"/>
      <c r="I43" s="91"/>
      <c r="J43" s="231"/>
    </row>
    <row r="44" spans="1:10" ht="12.75">
      <c r="A44" s="90">
        <v>42277</v>
      </c>
      <c r="B44" s="307">
        <f t="shared" si="7"/>
        <v>92</v>
      </c>
      <c r="C44" s="41">
        <f t="shared" si="2"/>
        <v>495162508</v>
      </c>
      <c r="D44" s="41">
        <f t="shared" si="6"/>
        <v>10315886</v>
      </c>
      <c r="E44" s="401">
        <f t="shared" si="3"/>
        <v>0.06447</v>
      </c>
      <c r="F44" s="41">
        <f t="shared" si="4"/>
        <v>8328093.526746</v>
      </c>
      <c r="G44" s="41">
        <f t="shared" si="5"/>
        <v>135306</v>
      </c>
      <c r="H44" s="91"/>
      <c r="I44" s="91"/>
      <c r="J44" s="231"/>
    </row>
    <row r="45" spans="1:10" ht="12.75">
      <c r="A45" s="97">
        <v>42369</v>
      </c>
      <c r="B45" s="308">
        <f t="shared" si="7"/>
        <v>92</v>
      </c>
      <c r="C45" s="99">
        <f aca="true" t="shared" si="8" ref="C45:C76">C44-D45</f>
        <v>484846622</v>
      </c>
      <c r="D45" s="99">
        <f t="shared" si="6"/>
        <v>10315886</v>
      </c>
      <c r="E45" s="402">
        <f t="shared" si="3"/>
        <v>0.06447</v>
      </c>
      <c r="F45" s="99">
        <f t="shared" si="4"/>
        <v>8158132.427638668</v>
      </c>
      <c r="G45" s="99">
        <f t="shared" si="5"/>
        <v>135306</v>
      </c>
      <c r="H45" s="300">
        <f>SUM(F42:G45)</f>
        <v>33912715.021766335</v>
      </c>
      <c r="I45" s="300">
        <f>SUM(D42:D45)</f>
        <v>41263544</v>
      </c>
      <c r="J45" s="301">
        <f>SUM(H45:I45)</f>
        <v>75176259.02176633</v>
      </c>
    </row>
    <row r="46" spans="1:10" ht="12.75">
      <c r="A46" s="103">
        <v>42460</v>
      </c>
      <c r="B46" s="306">
        <f t="shared" si="7"/>
        <v>91</v>
      </c>
      <c r="C46" s="42">
        <f t="shared" si="8"/>
        <v>474530736</v>
      </c>
      <c r="D46" s="42">
        <f t="shared" si="6"/>
        <v>10315886</v>
      </c>
      <c r="E46" s="403">
        <f aca="true" t="shared" si="9" ref="E46:E77">E45</f>
        <v>0.06447</v>
      </c>
      <c r="F46" s="42">
        <f aca="true" t="shared" si="10" ref="F46:F77">((C46+D46)*E46/360*B46)</f>
        <v>7901343.379308167</v>
      </c>
      <c r="G46" s="42">
        <f aca="true" t="shared" si="11" ref="G46:G77">G45</f>
        <v>135306</v>
      </c>
      <c r="H46" s="104"/>
      <c r="I46" s="104"/>
      <c r="J46" s="242"/>
    </row>
    <row r="47" spans="1:10" ht="12.75">
      <c r="A47" s="90">
        <v>42551</v>
      </c>
      <c r="B47" s="307">
        <f t="shared" si="7"/>
        <v>91</v>
      </c>
      <c r="C47" s="41">
        <f t="shared" si="8"/>
        <v>464214850</v>
      </c>
      <c r="D47" s="41">
        <f t="shared" si="6"/>
        <v>10315886</v>
      </c>
      <c r="E47" s="401">
        <f t="shared" si="9"/>
        <v>0.06447</v>
      </c>
      <c r="F47" s="41">
        <f t="shared" si="10"/>
        <v>7733229.683452001</v>
      </c>
      <c r="G47" s="41">
        <f t="shared" si="11"/>
        <v>135306</v>
      </c>
      <c r="H47" s="91"/>
      <c r="I47" s="91"/>
      <c r="J47" s="231"/>
    </row>
    <row r="48" spans="1:10" ht="12.75">
      <c r="A48" s="90">
        <v>42643</v>
      </c>
      <c r="B48" s="307">
        <f t="shared" si="7"/>
        <v>92</v>
      </c>
      <c r="C48" s="41">
        <f t="shared" si="8"/>
        <v>453898964</v>
      </c>
      <c r="D48" s="41">
        <f t="shared" si="6"/>
        <v>10315886</v>
      </c>
      <c r="E48" s="401">
        <f t="shared" si="9"/>
        <v>0.06447</v>
      </c>
      <c r="F48" s="41">
        <f t="shared" si="10"/>
        <v>7648249.130316666</v>
      </c>
      <c r="G48" s="41">
        <f t="shared" si="11"/>
        <v>135306</v>
      </c>
      <c r="H48" s="91"/>
      <c r="I48" s="91"/>
      <c r="J48" s="231"/>
    </row>
    <row r="49" spans="1:10" ht="12.75">
      <c r="A49" s="97">
        <v>42735</v>
      </c>
      <c r="B49" s="308">
        <f t="shared" si="7"/>
        <v>92</v>
      </c>
      <c r="C49" s="99">
        <f t="shared" si="8"/>
        <v>443583078</v>
      </c>
      <c r="D49" s="99">
        <f t="shared" si="6"/>
        <v>10315886</v>
      </c>
      <c r="E49" s="402">
        <f t="shared" si="9"/>
        <v>0.06447</v>
      </c>
      <c r="F49" s="99">
        <f t="shared" si="10"/>
        <v>7478288.031209333</v>
      </c>
      <c r="G49" s="99">
        <f t="shared" si="11"/>
        <v>135306</v>
      </c>
      <c r="H49" s="300">
        <f>SUM(F46:G49)</f>
        <v>31302334.22428617</v>
      </c>
      <c r="I49" s="300">
        <f>SUM(D46:D49)</f>
        <v>41263544</v>
      </c>
      <c r="J49" s="301">
        <f>SUM(H49:I49)</f>
        <v>72565878.22428617</v>
      </c>
    </row>
    <row r="50" spans="1:10" ht="12.75">
      <c r="A50" s="103">
        <v>42825</v>
      </c>
      <c r="B50" s="306">
        <f t="shared" si="7"/>
        <v>90</v>
      </c>
      <c r="C50" s="42">
        <f t="shared" si="8"/>
        <v>433267192</v>
      </c>
      <c r="D50" s="42">
        <f t="shared" si="6"/>
        <v>10315886</v>
      </c>
      <c r="E50" s="403">
        <f t="shared" si="9"/>
        <v>0.06447</v>
      </c>
      <c r="F50" s="42">
        <f t="shared" si="10"/>
        <v>7149450.259665</v>
      </c>
      <c r="G50" s="42">
        <f t="shared" si="11"/>
        <v>135306</v>
      </c>
      <c r="H50" s="104"/>
      <c r="I50" s="104"/>
      <c r="J50" s="242"/>
    </row>
    <row r="51" spans="1:10" ht="12.75">
      <c r="A51" s="90">
        <v>42916</v>
      </c>
      <c r="B51" s="307">
        <f t="shared" si="7"/>
        <v>91</v>
      </c>
      <c r="C51" s="41">
        <f t="shared" si="8"/>
        <v>422951306</v>
      </c>
      <c r="D51" s="41">
        <f t="shared" si="6"/>
        <v>10315886</v>
      </c>
      <c r="E51" s="401">
        <f t="shared" si="9"/>
        <v>0.06447</v>
      </c>
      <c r="F51" s="41">
        <f t="shared" si="10"/>
        <v>7060774.900027333</v>
      </c>
      <c r="G51" s="41">
        <f t="shared" si="11"/>
        <v>135306</v>
      </c>
      <c r="H51" s="91"/>
      <c r="I51" s="91"/>
      <c r="J51" s="231"/>
    </row>
    <row r="52" spans="1:10" ht="12.75">
      <c r="A52" s="90">
        <v>43008</v>
      </c>
      <c r="B52" s="307">
        <f t="shared" si="7"/>
        <v>92</v>
      </c>
      <c r="C52" s="41">
        <f t="shared" si="8"/>
        <v>412635420</v>
      </c>
      <c r="D52" s="41">
        <f t="shared" si="6"/>
        <v>10315886</v>
      </c>
      <c r="E52" s="401">
        <f t="shared" si="9"/>
        <v>0.06447</v>
      </c>
      <c r="F52" s="41">
        <f t="shared" si="10"/>
        <v>6968404.733887333</v>
      </c>
      <c r="G52" s="41">
        <f t="shared" si="11"/>
        <v>135306</v>
      </c>
      <c r="H52" s="91"/>
      <c r="I52" s="91"/>
      <c r="J52" s="231"/>
    </row>
    <row r="53" spans="1:10" ht="12.75">
      <c r="A53" s="97">
        <v>43100</v>
      </c>
      <c r="B53" s="308">
        <f t="shared" si="7"/>
        <v>92</v>
      </c>
      <c r="C53" s="99">
        <f t="shared" si="8"/>
        <v>402319534</v>
      </c>
      <c r="D53" s="99">
        <f t="shared" si="6"/>
        <v>10315886</v>
      </c>
      <c r="E53" s="402">
        <f t="shared" si="9"/>
        <v>0.06447</v>
      </c>
      <c r="F53" s="99">
        <f t="shared" si="10"/>
        <v>6798443.634779999</v>
      </c>
      <c r="G53" s="99">
        <f t="shared" si="11"/>
        <v>135306</v>
      </c>
      <c r="H53" s="300">
        <f>SUM(F50:G53)</f>
        <v>28518297.528359666</v>
      </c>
      <c r="I53" s="300">
        <f>SUM(D50:D53)</f>
        <v>41263544</v>
      </c>
      <c r="J53" s="301">
        <f>SUM(H53:I53)</f>
        <v>69781841.52835967</v>
      </c>
    </row>
    <row r="54" spans="1:10" ht="12.75">
      <c r="A54" s="103">
        <v>43190</v>
      </c>
      <c r="B54" s="306">
        <f t="shared" si="7"/>
        <v>90</v>
      </c>
      <c r="C54" s="42">
        <f t="shared" si="8"/>
        <v>392003648</v>
      </c>
      <c r="D54" s="42">
        <f t="shared" si="6"/>
        <v>10315886</v>
      </c>
      <c r="E54" s="403">
        <f t="shared" si="9"/>
        <v>0.06447</v>
      </c>
      <c r="F54" s="42">
        <f t="shared" si="10"/>
        <v>6484385.089245</v>
      </c>
      <c r="G54" s="42">
        <f t="shared" si="11"/>
        <v>135306</v>
      </c>
      <c r="H54" s="104"/>
      <c r="I54" s="104"/>
      <c r="J54" s="242"/>
    </row>
    <row r="55" spans="1:10" ht="12.75">
      <c r="A55" s="90">
        <v>43281</v>
      </c>
      <c r="B55" s="307">
        <f t="shared" si="7"/>
        <v>91</v>
      </c>
      <c r="C55" s="41">
        <f t="shared" si="8"/>
        <v>381687762</v>
      </c>
      <c r="D55" s="41">
        <f t="shared" si="6"/>
        <v>10315886</v>
      </c>
      <c r="E55" s="401">
        <f t="shared" si="9"/>
        <v>0.06447</v>
      </c>
      <c r="F55" s="41">
        <f t="shared" si="10"/>
        <v>6388320.116602668</v>
      </c>
      <c r="G55" s="41">
        <f t="shared" si="11"/>
        <v>135306</v>
      </c>
      <c r="H55" s="91"/>
      <c r="I55" s="91"/>
      <c r="J55" s="231"/>
    </row>
    <row r="56" spans="1:10" ht="12.75">
      <c r="A56" s="90">
        <v>43373</v>
      </c>
      <c r="B56" s="307">
        <f t="shared" si="7"/>
        <v>92</v>
      </c>
      <c r="C56" s="41">
        <f t="shared" si="8"/>
        <v>371371876</v>
      </c>
      <c r="D56" s="41">
        <f aca="true" t="shared" si="12" ref="D56:D91">D55</f>
        <v>10315886</v>
      </c>
      <c r="E56" s="401">
        <f t="shared" si="9"/>
        <v>0.06447</v>
      </c>
      <c r="F56" s="41">
        <f t="shared" si="10"/>
        <v>6288560.3374580005</v>
      </c>
      <c r="G56" s="41">
        <f t="shared" si="11"/>
        <v>135306</v>
      </c>
      <c r="H56" s="91"/>
      <c r="I56" s="91"/>
      <c r="J56" s="231"/>
    </row>
    <row r="57" spans="1:10" ht="12.75">
      <c r="A57" s="97">
        <v>43465</v>
      </c>
      <c r="B57" s="308">
        <f t="shared" si="7"/>
        <v>92</v>
      </c>
      <c r="C57" s="99">
        <f t="shared" si="8"/>
        <v>361055990</v>
      </c>
      <c r="D57" s="99">
        <f t="shared" si="12"/>
        <v>10315886</v>
      </c>
      <c r="E57" s="402">
        <f t="shared" si="9"/>
        <v>0.06447</v>
      </c>
      <c r="F57" s="99">
        <f t="shared" si="10"/>
        <v>6118599.238350666</v>
      </c>
      <c r="G57" s="99">
        <f t="shared" si="11"/>
        <v>135306</v>
      </c>
      <c r="H57" s="300">
        <f>SUM(F54:G57)</f>
        <v>25821088.781656336</v>
      </c>
      <c r="I57" s="300">
        <f>SUM(D54:D57)</f>
        <v>41263544</v>
      </c>
      <c r="J57" s="301">
        <f>SUM(H57:I57)</f>
        <v>67084632.78165634</v>
      </c>
    </row>
    <row r="58" spans="1:10" ht="12.75">
      <c r="A58" s="103">
        <v>43555</v>
      </c>
      <c r="B58" s="306">
        <f t="shared" si="7"/>
        <v>90</v>
      </c>
      <c r="C58" s="42">
        <f t="shared" si="8"/>
        <v>350740104</v>
      </c>
      <c r="D58" s="42">
        <f t="shared" si="12"/>
        <v>10315886</v>
      </c>
      <c r="E58" s="403">
        <f t="shared" si="9"/>
        <v>0.06447</v>
      </c>
      <c r="F58" s="42">
        <f t="shared" si="10"/>
        <v>5819319.918825</v>
      </c>
      <c r="G58" s="42">
        <f t="shared" si="11"/>
        <v>135306</v>
      </c>
      <c r="H58" s="104"/>
      <c r="I58" s="104"/>
      <c r="J58" s="242"/>
    </row>
    <row r="59" spans="1:10" ht="12.75">
      <c r="A59" s="90">
        <v>43646</v>
      </c>
      <c r="B59" s="307">
        <f t="shared" si="7"/>
        <v>91</v>
      </c>
      <c r="C59" s="41">
        <f t="shared" si="8"/>
        <v>340424218</v>
      </c>
      <c r="D59" s="41">
        <f t="shared" si="12"/>
        <v>10315886</v>
      </c>
      <c r="E59" s="401">
        <f t="shared" si="9"/>
        <v>0.06447</v>
      </c>
      <c r="F59" s="41">
        <f t="shared" si="10"/>
        <v>5715865.3331780005</v>
      </c>
      <c r="G59" s="41">
        <f t="shared" si="11"/>
        <v>135306</v>
      </c>
      <c r="H59" s="91"/>
      <c r="I59" s="91"/>
      <c r="J59" s="231"/>
    </row>
    <row r="60" spans="1:10" ht="12.75">
      <c r="A60" s="90">
        <v>43738</v>
      </c>
      <c r="B60" s="307">
        <f t="shared" si="7"/>
        <v>92</v>
      </c>
      <c r="C60" s="41">
        <f t="shared" si="8"/>
        <v>330108332</v>
      </c>
      <c r="D60" s="41">
        <f t="shared" si="12"/>
        <v>10315886</v>
      </c>
      <c r="E60" s="401">
        <f t="shared" si="9"/>
        <v>0.06447</v>
      </c>
      <c r="F60" s="41">
        <f t="shared" si="10"/>
        <v>5608715.941028667</v>
      </c>
      <c r="G60" s="41">
        <f t="shared" si="11"/>
        <v>135306</v>
      </c>
      <c r="H60" s="91"/>
      <c r="I60" s="91"/>
      <c r="J60" s="231"/>
    </row>
    <row r="61" spans="1:10" ht="12.75">
      <c r="A61" s="97">
        <v>43830</v>
      </c>
      <c r="B61" s="308">
        <f t="shared" si="7"/>
        <v>92</v>
      </c>
      <c r="C61" s="99">
        <f t="shared" si="8"/>
        <v>319792446</v>
      </c>
      <c r="D61" s="99">
        <f t="shared" si="12"/>
        <v>10315886</v>
      </c>
      <c r="E61" s="402">
        <f t="shared" si="9"/>
        <v>0.06447</v>
      </c>
      <c r="F61" s="99">
        <f t="shared" si="10"/>
        <v>5438754.841921333</v>
      </c>
      <c r="G61" s="99">
        <f t="shared" si="11"/>
        <v>135306</v>
      </c>
      <c r="H61" s="300">
        <f>SUM(F58:G61)</f>
        <v>23123880.034953</v>
      </c>
      <c r="I61" s="300">
        <f>SUM(D58:D61)</f>
        <v>41263544</v>
      </c>
      <c r="J61" s="301">
        <f>SUM(H61:I61)</f>
        <v>64387424.034953</v>
      </c>
    </row>
    <row r="62" spans="1:10" ht="12.75">
      <c r="A62" s="103">
        <v>43921</v>
      </c>
      <c r="B62" s="306">
        <f t="shared" si="7"/>
        <v>91</v>
      </c>
      <c r="C62" s="42">
        <f t="shared" si="8"/>
        <v>309476560</v>
      </c>
      <c r="D62" s="42">
        <f t="shared" si="12"/>
        <v>10315886</v>
      </c>
      <c r="E62" s="403">
        <f t="shared" si="9"/>
        <v>0.06447</v>
      </c>
      <c r="F62" s="42">
        <f t="shared" si="10"/>
        <v>5211524.2456095</v>
      </c>
      <c r="G62" s="42">
        <f t="shared" si="11"/>
        <v>135306</v>
      </c>
      <c r="H62" s="104"/>
      <c r="I62" s="104"/>
      <c r="J62" s="242"/>
    </row>
    <row r="63" spans="1:10" ht="12.75">
      <c r="A63" s="90">
        <v>44012</v>
      </c>
      <c r="B63" s="307">
        <f t="shared" si="7"/>
        <v>91</v>
      </c>
      <c r="C63" s="41">
        <f t="shared" si="8"/>
        <v>299160674</v>
      </c>
      <c r="D63" s="41">
        <f t="shared" si="12"/>
        <v>10315886</v>
      </c>
      <c r="E63" s="401">
        <f t="shared" si="9"/>
        <v>0.06447</v>
      </c>
      <c r="F63" s="41">
        <f t="shared" si="10"/>
        <v>5043410.5497533325</v>
      </c>
      <c r="G63" s="41">
        <f t="shared" si="11"/>
        <v>135306</v>
      </c>
      <c r="H63" s="91"/>
      <c r="I63" s="91"/>
      <c r="J63" s="231"/>
    </row>
    <row r="64" spans="1:10" ht="12.75">
      <c r="A64" s="90">
        <v>44104</v>
      </c>
      <c r="B64" s="307">
        <f t="shared" si="7"/>
        <v>92</v>
      </c>
      <c r="C64" s="41">
        <f t="shared" si="8"/>
        <v>288844788</v>
      </c>
      <c r="D64" s="41">
        <f t="shared" si="12"/>
        <v>10315886</v>
      </c>
      <c r="E64" s="401">
        <f t="shared" si="9"/>
        <v>0.06447</v>
      </c>
      <c r="F64" s="41">
        <f t="shared" si="10"/>
        <v>4928871.544599334</v>
      </c>
      <c r="G64" s="41">
        <f t="shared" si="11"/>
        <v>135306</v>
      </c>
      <c r="H64" s="91"/>
      <c r="I64" s="91"/>
      <c r="J64" s="231"/>
    </row>
    <row r="65" spans="1:10" ht="12.75">
      <c r="A65" s="97">
        <v>44196</v>
      </c>
      <c r="B65" s="308">
        <f t="shared" si="7"/>
        <v>92</v>
      </c>
      <c r="C65" s="99">
        <f t="shared" si="8"/>
        <v>278528902</v>
      </c>
      <c r="D65" s="99">
        <f t="shared" si="12"/>
        <v>10315886</v>
      </c>
      <c r="E65" s="402">
        <f t="shared" si="9"/>
        <v>0.06447</v>
      </c>
      <c r="F65" s="99">
        <f t="shared" si="10"/>
        <v>4758910.445492</v>
      </c>
      <c r="G65" s="99">
        <f t="shared" si="11"/>
        <v>135306</v>
      </c>
      <c r="H65" s="300">
        <f>SUM(F62:G65)</f>
        <v>20483940.78545417</v>
      </c>
      <c r="I65" s="300">
        <f>SUM(D62:D65)</f>
        <v>41263544</v>
      </c>
      <c r="J65" s="301">
        <f>SUM(H65:I65)</f>
        <v>61747484.78545417</v>
      </c>
    </row>
    <row r="66" spans="1:10" ht="12.75">
      <c r="A66" s="103">
        <v>44286</v>
      </c>
      <c r="B66" s="306">
        <f t="shared" si="7"/>
        <v>90</v>
      </c>
      <c r="C66" s="42">
        <f t="shared" si="8"/>
        <v>268213016</v>
      </c>
      <c r="D66" s="42">
        <f t="shared" si="12"/>
        <v>10315886</v>
      </c>
      <c r="E66" s="403">
        <f t="shared" si="9"/>
        <v>0.06447</v>
      </c>
      <c r="F66" s="42">
        <f t="shared" si="10"/>
        <v>4489189.577985</v>
      </c>
      <c r="G66" s="42">
        <f t="shared" si="11"/>
        <v>135306</v>
      </c>
      <c r="H66" s="104"/>
      <c r="I66" s="104"/>
      <c r="J66" s="242"/>
    </row>
    <row r="67" spans="1:10" ht="12.75">
      <c r="A67" s="90">
        <v>44377</v>
      </c>
      <c r="B67" s="307">
        <f t="shared" si="7"/>
        <v>91</v>
      </c>
      <c r="C67" s="41">
        <f t="shared" si="8"/>
        <v>257897130</v>
      </c>
      <c r="D67" s="41">
        <f t="shared" si="12"/>
        <v>10315886</v>
      </c>
      <c r="E67" s="401">
        <f t="shared" si="9"/>
        <v>0.06447</v>
      </c>
      <c r="F67" s="41">
        <f t="shared" si="10"/>
        <v>4370955.766328667</v>
      </c>
      <c r="G67" s="41">
        <f t="shared" si="11"/>
        <v>135306</v>
      </c>
      <c r="H67" s="91"/>
      <c r="I67" s="91"/>
      <c r="J67" s="231"/>
    </row>
    <row r="68" spans="1:10" ht="12.75">
      <c r="A68" s="90">
        <v>44469</v>
      </c>
      <c r="B68" s="307">
        <f t="shared" si="7"/>
        <v>92</v>
      </c>
      <c r="C68" s="41">
        <f t="shared" si="8"/>
        <v>247581244</v>
      </c>
      <c r="D68" s="41">
        <f t="shared" si="12"/>
        <v>10315886</v>
      </c>
      <c r="E68" s="401">
        <f t="shared" si="9"/>
        <v>0.06447</v>
      </c>
      <c r="F68" s="41">
        <f t="shared" si="10"/>
        <v>4249027.14817</v>
      </c>
      <c r="G68" s="41">
        <f t="shared" si="11"/>
        <v>135306</v>
      </c>
      <c r="H68" s="91"/>
      <c r="I68" s="91"/>
      <c r="J68" s="231"/>
    </row>
    <row r="69" spans="1:10" ht="12.75">
      <c r="A69" s="97">
        <v>44561</v>
      </c>
      <c r="B69" s="308">
        <f t="shared" si="7"/>
        <v>92</v>
      </c>
      <c r="C69" s="99">
        <f t="shared" si="8"/>
        <v>237265358</v>
      </c>
      <c r="D69" s="99">
        <f t="shared" si="12"/>
        <v>10315886</v>
      </c>
      <c r="E69" s="402">
        <f t="shared" si="9"/>
        <v>0.06447</v>
      </c>
      <c r="F69" s="99">
        <f t="shared" si="10"/>
        <v>4079066.0490626665</v>
      </c>
      <c r="G69" s="99">
        <f t="shared" si="11"/>
        <v>135306</v>
      </c>
      <c r="H69" s="300">
        <f>SUM(F66:G69)</f>
        <v>17729462.541546334</v>
      </c>
      <c r="I69" s="300">
        <f>SUM(D66:D69)</f>
        <v>41263544</v>
      </c>
      <c r="J69" s="301">
        <f>SUM(H69:I69)</f>
        <v>58993006.54154633</v>
      </c>
    </row>
    <row r="70" spans="1:10" ht="12.75">
      <c r="A70" s="103">
        <v>44651</v>
      </c>
      <c r="B70" s="306">
        <f t="shared" si="7"/>
        <v>90</v>
      </c>
      <c r="C70" s="42">
        <f t="shared" si="8"/>
        <v>226949472</v>
      </c>
      <c r="D70" s="42">
        <f t="shared" si="12"/>
        <v>10315886</v>
      </c>
      <c r="E70" s="403">
        <f t="shared" si="9"/>
        <v>0.06447</v>
      </c>
      <c r="F70" s="42">
        <f t="shared" si="10"/>
        <v>3824124.407565</v>
      </c>
      <c r="G70" s="42">
        <f t="shared" si="11"/>
        <v>135306</v>
      </c>
      <c r="H70" s="104"/>
      <c r="I70" s="104"/>
      <c r="J70" s="242"/>
    </row>
    <row r="71" spans="1:10" ht="12.75">
      <c r="A71" s="90">
        <v>44742</v>
      </c>
      <c r="B71" s="307">
        <f t="shared" si="7"/>
        <v>91</v>
      </c>
      <c r="C71" s="41">
        <f t="shared" si="8"/>
        <v>216633586</v>
      </c>
      <c r="D71" s="41">
        <f t="shared" si="12"/>
        <v>10315886</v>
      </c>
      <c r="E71" s="401">
        <f t="shared" si="9"/>
        <v>0.06447</v>
      </c>
      <c r="F71" s="41">
        <f t="shared" si="10"/>
        <v>3698500.9829039997</v>
      </c>
      <c r="G71" s="41">
        <f t="shared" si="11"/>
        <v>135306</v>
      </c>
      <c r="H71" s="91"/>
      <c r="I71" s="91"/>
      <c r="J71" s="231"/>
    </row>
    <row r="72" spans="1:10" ht="12.75">
      <c r="A72" s="90">
        <v>44834</v>
      </c>
      <c r="B72" s="307">
        <f t="shared" si="7"/>
        <v>92</v>
      </c>
      <c r="C72" s="41">
        <f t="shared" si="8"/>
        <v>206317700</v>
      </c>
      <c r="D72" s="41">
        <f t="shared" si="12"/>
        <v>10315886</v>
      </c>
      <c r="E72" s="401">
        <f t="shared" si="9"/>
        <v>0.06447</v>
      </c>
      <c r="F72" s="41">
        <f t="shared" si="10"/>
        <v>3569182.7517406666</v>
      </c>
      <c r="G72" s="41">
        <f t="shared" si="11"/>
        <v>135306</v>
      </c>
      <c r="H72" s="91"/>
      <c r="I72" s="91"/>
      <c r="J72" s="231"/>
    </row>
    <row r="73" spans="1:10" ht="12.75">
      <c r="A73" s="97">
        <v>44926</v>
      </c>
      <c r="B73" s="308">
        <f t="shared" si="7"/>
        <v>92</v>
      </c>
      <c r="C73" s="99">
        <f t="shared" si="8"/>
        <v>196001814</v>
      </c>
      <c r="D73" s="99">
        <f t="shared" si="12"/>
        <v>10315886</v>
      </c>
      <c r="E73" s="402">
        <f t="shared" si="9"/>
        <v>0.06447</v>
      </c>
      <c r="F73" s="99">
        <f t="shared" si="10"/>
        <v>3399221.652633333</v>
      </c>
      <c r="G73" s="99">
        <f t="shared" si="11"/>
        <v>135306</v>
      </c>
      <c r="H73" s="300">
        <f>SUM(F70:G73)</f>
        <v>15032253.794843</v>
      </c>
      <c r="I73" s="300">
        <f>SUM(D70:D73)</f>
        <v>41263544</v>
      </c>
      <c r="J73" s="301">
        <f>SUM(H73:I73)</f>
        <v>56295797.794843</v>
      </c>
    </row>
    <row r="74" spans="1:10" ht="12.75">
      <c r="A74" s="103">
        <v>45016</v>
      </c>
      <c r="B74" s="306">
        <f t="shared" si="7"/>
        <v>90</v>
      </c>
      <c r="C74" s="42">
        <f t="shared" si="8"/>
        <v>185685928</v>
      </c>
      <c r="D74" s="42">
        <f t="shared" si="12"/>
        <v>10315886</v>
      </c>
      <c r="E74" s="403">
        <f t="shared" si="9"/>
        <v>0.06447</v>
      </c>
      <c r="F74" s="42">
        <f t="shared" si="10"/>
        <v>3159059.2371449997</v>
      </c>
      <c r="G74" s="42">
        <f t="shared" si="11"/>
        <v>135306</v>
      </c>
      <c r="H74" s="104"/>
      <c r="I74" s="104"/>
      <c r="J74" s="242"/>
    </row>
    <row r="75" spans="1:10" ht="12.75">
      <c r="A75" s="90">
        <v>45107</v>
      </c>
      <c r="B75" s="307">
        <f aca="true" t="shared" si="13" ref="B75:B92">A75-A74</f>
        <v>91</v>
      </c>
      <c r="C75" s="41">
        <f t="shared" si="8"/>
        <v>175370042</v>
      </c>
      <c r="D75" s="41">
        <f t="shared" si="12"/>
        <v>10315886</v>
      </c>
      <c r="E75" s="401">
        <f t="shared" si="9"/>
        <v>0.06447</v>
      </c>
      <c r="F75" s="41">
        <f t="shared" si="10"/>
        <v>3026046.199479333</v>
      </c>
      <c r="G75" s="41">
        <f t="shared" si="11"/>
        <v>135306</v>
      </c>
      <c r="H75" s="91"/>
      <c r="I75" s="91"/>
      <c r="J75" s="231"/>
    </row>
    <row r="76" spans="1:10" ht="12.75">
      <c r="A76" s="90">
        <v>45199</v>
      </c>
      <c r="B76" s="307">
        <f t="shared" si="13"/>
        <v>92</v>
      </c>
      <c r="C76" s="41">
        <f t="shared" si="8"/>
        <v>165054156</v>
      </c>
      <c r="D76" s="41">
        <f t="shared" si="12"/>
        <v>10315886</v>
      </c>
      <c r="E76" s="401">
        <f t="shared" si="9"/>
        <v>0.06447</v>
      </c>
      <c r="F76" s="41">
        <f t="shared" si="10"/>
        <v>2889338.355311333</v>
      </c>
      <c r="G76" s="41">
        <f t="shared" si="11"/>
        <v>135306</v>
      </c>
      <c r="H76" s="91"/>
      <c r="I76" s="91"/>
      <c r="J76" s="231"/>
    </row>
    <row r="77" spans="1:10" ht="12.75">
      <c r="A77" s="97">
        <v>45291</v>
      </c>
      <c r="B77" s="308">
        <f t="shared" si="13"/>
        <v>92</v>
      </c>
      <c r="C77" s="99">
        <f aca="true" t="shared" si="14" ref="C77:C92">C76-D77</f>
        <v>154738270</v>
      </c>
      <c r="D77" s="99">
        <f t="shared" si="12"/>
        <v>10315886</v>
      </c>
      <c r="E77" s="402">
        <f t="shared" si="9"/>
        <v>0.06447</v>
      </c>
      <c r="F77" s="99">
        <f t="shared" si="10"/>
        <v>2719377.2562039997</v>
      </c>
      <c r="G77" s="99">
        <f t="shared" si="11"/>
        <v>135306</v>
      </c>
      <c r="H77" s="300">
        <f>SUM(F74:G77)</f>
        <v>12335045.048139667</v>
      </c>
      <c r="I77" s="300">
        <f>SUM(D74:D77)</f>
        <v>41263544</v>
      </c>
      <c r="J77" s="301">
        <f>SUM(H77:I77)</f>
        <v>53598589.04813967</v>
      </c>
    </row>
    <row r="78" spans="1:10" ht="12.75">
      <c r="A78" s="103">
        <v>45382</v>
      </c>
      <c r="B78" s="306">
        <f t="shared" si="13"/>
        <v>91</v>
      </c>
      <c r="C78" s="42">
        <f t="shared" si="14"/>
        <v>144422384</v>
      </c>
      <c r="D78" s="42">
        <f t="shared" si="12"/>
        <v>10315886</v>
      </c>
      <c r="E78" s="403">
        <f aca="true" t="shared" si="15" ref="E78:E92">E77</f>
        <v>0.06447</v>
      </c>
      <c r="F78" s="42">
        <f aca="true" t="shared" si="16" ref="F78:F92">((C78+D78)*E78/360*B78)</f>
        <v>2521705.111910833</v>
      </c>
      <c r="G78" s="42">
        <f aca="true" t="shared" si="17" ref="G78:G90">G77</f>
        <v>135306</v>
      </c>
      <c r="H78" s="104"/>
      <c r="I78" s="104"/>
      <c r="J78" s="242"/>
    </row>
    <row r="79" spans="1:10" ht="12.75">
      <c r="A79" s="90">
        <v>45473</v>
      </c>
      <c r="B79" s="307">
        <f t="shared" si="13"/>
        <v>91</v>
      </c>
      <c r="C79" s="41">
        <f t="shared" si="14"/>
        <v>134106498</v>
      </c>
      <c r="D79" s="41">
        <f t="shared" si="12"/>
        <v>10315886</v>
      </c>
      <c r="E79" s="401">
        <f t="shared" si="15"/>
        <v>0.06447</v>
      </c>
      <c r="F79" s="41">
        <f t="shared" si="16"/>
        <v>2353591.416054667</v>
      </c>
      <c r="G79" s="41">
        <f t="shared" si="17"/>
        <v>135306</v>
      </c>
      <c r="H79" s="91"/>
      <c r="I79" s="91"/>
      <c r="J79" s="231"/>
    </row>
    <row r="80" spans="1:10" ht="12.75">
      <c r="A80" s="90">
        <v>45565</v>
      </c>
      <c r="B80" s="307">
        <f t="shared" si="13"/>
        <v>92</v>
      </c>
      <c r="C80" s="41">
        <f t="shared" si="14"/>
        <v>123790612</v>
      </c>
      <c r="D80" s="41">
        <f t="shared" si="12"/>
        <v>10315886</v>
      </c>
      <c r="E80" s="401">
        <f t="shared" si="15"/>
        <v>0.06447</v>
      </c>
      <c r="F80" s="41">
        <f t="shared" si="16"/>
        <v>2209493.958882</v>
      </c>
      <c r="G80" s="41">
        <f t="shared" si="17"/>
        <v>135306</v>
      </c>
      <c r="H80" s="91"/>
      <c r="I80" s="91"/>
      <c r="J80" s="231"/>
    </row>
    <row r="81" spans="1:10" ht="12.75">
      <c r="A81" s="97">
        <v>45657</v>
      </c>
      <c r="B81" s="308">
        <f t="shared" si="13"/>
        <v>92</v>
      </c>
      <c r="C81" s="99">
        <f t="shared" si="14"/>
        <v>113474726</v>
      </c>
      <c r="D81" s="99">
        <f t="shared" si="12"/>
        <v>10315886</v>
      </c>
      <c r="E81" s="402">
        <f t="shared" si="15"/>
        <v>0.06447</v>
      </c>
      <c r="F81" s="99">
        <f t="shared" si="16"/>
        <v>2039532.8597746666</v>
      </c>
      <c r="G81" s="99">
        <f t="shared" si="17"/>
        <v>135306</v>
      </c>
      <c r="H81" s="300">
        <f>SUM(F78:G81)</f>
        <v>9665547.346622165</v>
      </c>
      <c r="I81" s="300">
        <f>SUM(D78:D81)</f>
        <v>41263544</v>
      </c>
      <c r="J81" s="301">
        <f>SUM(H81:I81)</f>
        <v>50929091.34662217</v>
      </c>
    </row>
    <row r="82" spans="1:10" ht="12.75">
      <c r="A82" s="103">
        <v>45747</v>
      </c>
      <c r="B82" s="306">
        <f t="shared" si="13"/>
        <v>90</v>
      </c>
      <c r="C82" s="42">
        <f t="shared" si="14"/>
        <v>103158840</v>
      </c>
      <c r="D82" s="42">
        <f t="shared" si="12"/>
        <v>10315886</v>
      </c>
      <c r="E82" s="403">
        <f t="shared" si="15"/>
        <v>0.06447</v>
      </c>
      <c r="F82" s="42">
        <f t="shared" si="16"/>
        <v>1828928.896305</v>
      </c>
      <c r="G82" s="42">
        <f t="shared" si="17"/>
        <v>135306</v>
      </c>
      <c r="H82" s="104"/>
      <c r="I82" s="104"/>
      <c r="J82" s="242"/>
    </row>
    <row r="83" spans="1:10" ht="12.75">
      <c r="A83" s="90">
        <v>45838</v>
      </c>
      <c r="B83" s="307">
        <f t="shared" si="13"/>
        <v>91</v>
      </c>
      <c r="C83" s="41">
        <f t="shared" si="14"/>
        <v>92842954</v>
      </c>
      <c r="D83" s="41">
        <f t="shared" si="12"/>
        <v>10315886</v>
      </c>
      <c r="E83" s="401">
        <f t="shared" si="15"/>
        <v>0.06447</v>
      </c>
      <c r="F83" s="41">
        <f t="shared" si="16"/>
        <v>1681136.6326300001</v>
      </c>
      <c r="G83" s="41">
        <f t="shared" si="17"/>
        <v>135306</v>
      </c>
      <c r="H83" s="91"/>
      <c r="I83" s="91"/>
      <c r="J83" s="231"/>
    </row>
    <row r="84" spans="1:10" ht="12.75">
      <c r="A84" s="90">
        <v>45930</v>
      </c>
      <c r="B84" s="307">
        <f t="shared" si="13"/>
        <v>92</v>
      </c>
      <c r="C84" s="41">
        <f t="shared" si="14"/>
        <v>82527068</v>
      </c>
      <c r="D84" s="41">
        <f t="shared" si="12"/>
        <v>10315886</v>
      </c>
      <c r="E84" s="401">
        <f t="shared" si="15"/>
        <v>0.06447</v>
      </c>
      <c r="F84" s="41">
        <f t="shared" si="16"/>
        <v>1529649.5624526667</v>
      </c>
      <c r="G84" s="41">
        <f t="shared" si="17"/>
        <v>135306</v>
      </c>
      <c r="H84" s="91"/>
      <c r="I84" s="91"/>
      <c r="J84" s="231"/>
    </row>
    <row r="85" spans="1:10" ht="12.75">
      <c r="A85" s="97">
        <v>46022</v>
      </c>
      <c r="B85" s="308">
        <f t="shared" si="13"/>
        <v>92</v>
      </c>
      <c r="C85" s="99">
        <f t="shared" si="14"/>
        <v>72211182</v>
      </c>
      <c r="D85" s="99">
        <f t="shared" si="12"/>
        <v>10315886</v>
      </c>
      <c r="E85" s="402">
        <f t="shared" si="15"/>
        <v>0.06447</v>
      </c>
      <c r="F85" s="99">
        <f t="shared" si="16"/>
        <v>1359688.4633453332</v>
      </c>
      <c r="G85" s="99">
        <f t="shared" si="17"/>
        <v>135306</v>
      </c>
      <c r="H85" s="300">
        <f>SUM(F82:G85)</f>
        <v>6940627.554733</v>
      </c>
      <c r="I85" s="300">
        <f>SUM(D82:D85)</f>
        <v>41263544</v>
      </c>
      <c r="J85" s="301">
        <f>SUM(H85:I85)</f>
        <v>48204171.554733</v>
      </c>
    </row>
    <row r="86" spans="1:10" ht="12.75">
      <c r="A86" s="103">
        <v>46112</v>
      </c>
      <c r="B86" s="306">
        <f t="shared" si="13"/>
        <v>90</v>
      </c>
      <c r="C86" s="42">
        <f t="shared" si="14"/>
        <v>61895296</v>
      </c>
      <c r="D86" s="42">
        <f t="shared" si="12"/>
        <v>10315886</v>
      </c>
      <c r="E86" s="403">
        <f t="shared" si="15"/>
        <v>0.06447</v>
      </c>
      <c r="F86" s="42">
        <f t="shared" si="16"/>
        <v>1163863.725885</v>
      </c>
      <c r="G86" s="42">
        <f t="shared" si="17"/>
        <v>135306</v>
      </c>
      <c r="H86" s="104"/>
      <c r="I86" s="104"/>
      <c r="J86" s="242"/>
    </row>
    <row r="87" spans="1:10" ht="12.75">
      <c r="A87" s="90">
        <v>46203</v>
      </c>
      <c r="B87" s="307">
        <f t="shared" si="13"/>
        <v>91</v>
      </c>
      <c r="C87" s="41">
        <f t="shared" si="14"/>
        <v>51579410</v>
      </c>
      <c r="D87" s="41">
        <f t="shared" si="12"/>
        <v>10315886</v>
      </c>
      <c r="E87" s="401">
        <f t="shared" si="15"/>
        <v>0.06447</v>
      </c>
      <c r="F87" s="41">
        <f t="shared" si="16"/>
        <v>1008681.8492053333</v>
      </c>
      <c r="G87" s="41">
        <f t="shared" si="17"/>
        <v>135306</v>
      </c>
      <c r="H87" s="91"/>
      <c r="I87" s="91"/>
      <c r="J87" s="231"/>
    </row>
    <row r="88" spans="1:10" ht="12.75">
      <c r="A88" s="90">
        <v>46295</v>
      </c>
      <c r="B88" s="307">
        <f t="shared" si="13"/>
        <v>92</v>
      </c>
      <c r="C88" s="41">
        <f t="shared" si="14"/>
        <v>41263524</v>
      </c>
      <c r="D88" s="41">
        <f t="shared" si="12"/>
        <v>10315886</v>
      </c>
      <c r="E88" s="401">
        <f t="shared" si="15"/>
        <v>0.06447</v>
      </c>
      <c r="F88" s="41">
        <f t="shared" si="16"/>
        <v>849805.1660233333</v>
      </c>
      <c r="G88" s="41">
        <f t="shared" si="17"/>
        <v>135306</v>
      </c>
      <c r="H88" s="91"/>
      <c r="I88" s="91"/>
      <c r="J88" s="231"/>
    </row>
    <row r="89" spans="1:10" ht="12.75">
      <c r="A89" s="97">
        <v>46387</v>
      </c>
      <c r="B89" s="308">
        <f t="shared" si="13"/>
        <v>92</v>
      </c>
      <c r="C89" s="99">
        <f t="shared" si="14"/>
        <v>30947638</v>
      </c>
      <c r="D89" s="99">
        <f t="shared" si="12"/>
        <v>10315886</v>
      </c>
      <c r="E89" s="402">
        <f t="shared" si="15"/>
        <v>0.06447</v>
      </c>
      <c r="F89" s="99">
        <f t="shared" si="16"/>
        <v>679844.066916</v>
      </c>
      <c r="G89" s="99">
        <f t="shared" si="17"/>
        <v>135306</v>
      </c>
      <c r="H89" s="300">
        <f>SUM(F86:G89)</f>
        <v>4243418.808029667</v>
      </c>
      <c r="I89" s="300">
        <f>SUM(D86:D89)</f>
        <v>41263544</v>
      </c>
      <c r="J89" s="301">
        <f>SUM(H89:I89)</f>
        <v>45506962.80802967</v>
      </c>
    </row>
    <row r="90" spans="1:10" ht="12.75">
      <c r="A90" s="103">
        <v>46477</v>
      </c>
      <c r="B90" s="306">
        <f t="shared" si="13"/>
        <v>90</v>
      </c>
      <c r="C90" s="42">
        <f t="shared" si="14"/>
        <v>20631752</v>
      </c>
      <c r="D90" s="42">
        <f t="shared" si="12"/>
        <v>10315886</v>
      </c>
      <c r="E90" s="403">
        <f t="shared" si="15"/>
        <v>0.06447</v>
      </c>
      <c r="F90" s="42">
        <f t="shared" si="16"/>
        <v>498798.555465</v>
      </c>
      <c r="G90" s="42">
        <f t="shared" si="17"/>
        <v>135306</v>
      </c>
      <c r="H90" s="104"/>
      <c r="I90" s="104"/>
      <c r="J90" s="242"/>
    </row>
    <row r="91" spans="1:10" ht="12.75">
      <c r="A91" s="90">
        <v>46568</v>
      </c>
      <c r="B91" s="307">
        <f t="shared" si="13"/>
        <v>91</v>
      </c>
      <c r="C91" s="41">
        <f t="shared" si="14"/>
        <v>10315866</v>
      </c>
      <c r="D91" s="41">
        <f t="shared" si="12"/>
        <v>10315886</v>
      </c>
      <c r="E91" s="401">
        <f t="shared" si="15"/>
        <v>0.06447</v>
      </c>
      <c r="F91" s="41">
        <f t="shared" si="16"/>
        <v>336227.0657806667</v>
      </c>
      <c r="G91" s="41">
        <f>G90-21</f>
        <v>135285</v>
      </c>
      <c r="H91" s="91"/>
      <c r="I91" s="91"/>
      <c r="J91" s="231"/>
    </row>
    <row r="92" spans="1:10" ht="13.5" thickBot="1">
      <c r="A92" s="90">
        <v>46591</v>
      </c>
      <c r="B92" s="307">
        <f t="shared" si="13"/>
        <v>23</v>
      </c>
      <c r="C92" s="41">
        <f t="shared" si="14"/>
        <v>0</v>
      </c>
      <c r="D92" s="41">
        <v>10315866</v>
      </c>
      <c r="E92" s="401">
        <f t="shared" si="15"/>
        <v>0.06447</v>
      </c>
      <c r="F92" s="41">
        <f t="shared" si="16"/>
        <v>42490.192398499996</v>
      </c>
      <c r="G92" s="41">
        <f>F3-SUM(G10:G91)</f>
        <v>0</v>
      </c>
      <c r="H92" s="300">
        <f>SUM(F90:G92)</f>
        <v>1148106.8136441666</v>
      </c>
      <c r="I92" s="300">
        <f>SUM(D90:D92)</f>
        <v>30947638</v>
      </c>
      <c r="J92" s="301">
        <f>SUM(H92:I92)</f>
        <v>32095744.813644167</v>
      </c>
    </row>
    <row r="93" spans="1:10" ht="13.5" thickTop="1">
      <c r="A93" s="563" t="s">
        <v>14</v>
      </c>
      <c r="B93" s="564"/>
      <c r="C93" s="565"/>
      <c r="D93" s="117">
        <f>SUM(D9:D92)</f>
        <v>722112000</v>
      </c>
      <c r="E93" s="118"/>
      <c r="F93" s="117">
        <f>SUM(F9:F92)</f>
        <v>517879819.96736604</v>
      </c>
      <c r="G93" s="117">
        <f>SUM(G9:G92)</f>
        <v>10824459</v>
      </c>
      <c r="H93" s="117">
        <f>SUM(H9:H92)</f>
        <v>528704278.9673661</v>
      </c>
      <c r="I93" s="117">
        <f>SUM(I9:I92)</f>
        <v>722112000</v>
      </c>
      <c r="J93" s="119">
        <f>SUM(J9:J92)</f>
        <v>1250816278.9673662</v>
      </c>
    </row>
    <row r="94" spans="1:10" ht="12.75">
      <c r="A94" s="120"/>
      <c r="B94" s="121"/>
      <c r="E94" s="122"/>
      <c r="H94" s="121"/>
      <c r="J94" s="121"/>
    </row>
    <row r="95" spans="1:10" ht="12.75">
      <c r="A95" s="120"/>
      <c r="B95" s="121"/>
      <c r="E95" s="122"/>
      <c r="G95" s="121"/>
      <c r="H95" s="121"/>
      <c r="J95" s="121"/>
    </row>
    <row r="96" spans="3:4" ht="12.75">
      <c r="C96" s="58"/>
      <c r="D96" s="58"/>
    </row>
    <row r="97" spans="1:8" ht="12.75">
      <c r="A97" s="121"/>
      <c r="C97" s="58"/>
      <c r="D97" s="316" t="s">
        <v>3</v>
      </c>
      <c r="E97" s="316"/>
      <c r="F97" s="316" t="s">
        <v>106</v>
      </c>
      <c r="G97" s="316" t="s">
        <v>137</v>
      </c>
      <c r="H97" s="316" t="s">
        <v>138</v>
      </c>
    </row>
    <row r="98" spans="1:8" ht="12.75">
      <c r="A98" s="261"/>
      <c r="B98" s="337"/>
      <c r="C98" s="337"/>
      <c r="D98" s="337"/>
      <c r="E98" s="338"/>
      <c r="F98" s="338" t="s">
        <v>135</v>
      </c>
      <c r="G98" s="338" t="s">
        <v>136</v>
      </c>
      <c r="H98" s="338" t="s">
        <v>139</v>
      </c>
    </row>
    <row r="99" spans="1:8" ht="12.75">
      <c r="A99" s="121" t="s">
        <v>126</v>
      </c>
      <c r="C99" s="58"/>
      <c r="D99" s="332">
        <v>39420</v>
      </c>
      <c r="E99" s="316"/>
      <c r="F99" s="121">
        <v>351451797</v>
      </c>
      <c r="G99" s="121">
        <f>F99</f>
        <v>351451797</v>
      </c>
      <c r="H99" s="121">
        <f>D1-G99</f>
        <v>370660203</v>
      </c>
    </row>
    <row r="100" spans="1:8" ht="12.75">
      <c r="A100" s="121" t="s">
        <v>127</v>
      </c>
      <c r="C100" s="58"/>
      <c r="D100" s="332">
        <v>39454</v>
      </c>
      <c r="E100" s="316"/>
      <c r="F100" s="121">
        <v>222994366</v>
      </c>
      <c r="G100" s="121">
        <f>G99+F100</f>
        <v>574446163</v>
      </c>
      <c r="H100" s="121">
        <f>D1-G100</f>
        <v>147665837</v>
      </c>
    </row>
    <row r="101" spans="1:8" ht="13.5" thickBot="1">
      <c r="A101" s="121" t="s">
        <v>277</v>
      </c>
      <c r="C101" s="58"/>
      <c r="D101" s="332">
        <v>39762</v>
      </c>
      <c r="E101" s="316"/>
      <c r="F101" s="121">
        <v>147665837</v>
      </c>
      <c r="G101" s="121">
        <f>G100+F101</f>
        <v>722112000</v>
      </c>
      <c r="H101" s="121">
        <f>D1-G101</f>
        <v>0</v>
      </c>
    </row>
    <row r="102" spans="1:6" ht="13.5" thickTop="1">
      <c r="A102" s="126" t="s">
        <v>14</v>
      </c>
      <c r="B102" s="126"/>
      <c r="C102" s="124"/>
      <c r="D102" s="124"/>
      <c r="E102" s="333"/>
      <c r="F102" s="124">
        <f>SUM(F99:F101)</f>
        <v>722112000</v>
      </c>
    </row>
  </sheetData>
  <sheetProtection/>
  <mergeCells count="1">
    <mergeCell ref="A93:C93"/>
  </mergeCells>
  <printOptions horizontalCentered="1"/>
  <pageMargins left="0.3937007874015748" right="0.3937007874015748" top="0.984251968503937" bottom="0.3937007874015748" header="0.3937007874015748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 
2007. évben felvételre tervezett 722.112 eFt hitel</oddHeader>
    <oddFooter>&amp;L&amp;8&amp;D&amp;C&amp;8C:\Andi\adósságszolgálat2007\&amp;F\&amp;A    Oláhné P. Andrea&amp;R&amp;8&amp;P/&amp;N</oddFooter>
  </headerFooter>
  <rowBreaks count="1" manualBreakCount="1">
    <brk id="6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37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8.625" style="58" customWidth="1"/>
    <col min="6" max="7" width="12.625" style="58" customWidth="1"/>
    <col min="8" max="8" width="14.625" style="58" bestFit="1" customWidth="1"/>
    <col min="9" max="9" width="12.625" style="58" bestFit="1" customWidth="1"/>
    <col min="10" max="10" width="14.375" style="58" bestFit="1" customWidth="1"/>
    <col min="11" max="11" width="2.125" style="58" customWidth="1"/>
    <col min="12" max="16384" width="9.375" style="58" customWidth="1"/>
  </cols>
  <sheetData>
    <row r="1" spans="1:7" ht="12.75">
      <c r="A1" s="162" t="s">
        <v>204</v>
      </c>
      <c r="B1" s="162"/>
      <c r="C1" s="163"/>
      <c r="D1" s="163">
        <v>15302000</v>
      </c>
      <c r="E1" s="162" t="s">
        <v>205</v>
      </c>
      <c r="F1" s="162" t="s">
        <v>301</v>
      </c>
      <c r="G1" s="162"/>
    </row>
    <row r="2" spans="1:7" ht="12.75">
      <c r="A2" s="162" t="s">
        <v>206</v>
      </c>
      <c r="B2" s="162"/>
      <c r="C2" s="163"/>
      <c r="D2" s="163">
        <v>17</v>
      </c>
      <c r="E2" s="162" t="s">
        <v>207</v>
      </c>
      <c r="F2" s="162"/>
      <c r="G2" s="162"/>
    </row>
    <row r="3" spans="1:7" ht="12.75">
      <c r="A3" s="162" t="s">
        <v>226</v>
      </c>
      <c r="B3" s="162"/>
      <c r="C3" s="163"/>
      <c r="D3" s="233">
        <v>1.499</v>
      </c>
      <c r="E3" s="162" t="s">
        <v>227</v>
      </c>
      <c r="F3" s="163">
        <f>ROUND(D1*D3/100,0)</f>
        <v>229377</v>
      </c>
      <c r="G3" s="162" t="s">
        <v>205</v>
      </c>
    </row>
    <row r="4" spans="1:7" ht="12.75">
      <c r="A4" s="163" t="s">
        <v>228</v>
      </c>
      <c r="B4" s="162"/>
      <c r="C4" s="163"/>
      <c r="D4" s="163">
        <v>3</v>
      </c>
      <c r="E4" s="162" t="s">
        <v>207</v>
      </c>
      <c r="F4" s="162"/>
      <c r="G4" s="162"/>
    </row>
    <row r="5" spans="1:10" ht="12.75">
      <c r="A5" s="163" t="s">
        <v>254</v>
      </c>
      <c r="B5" s="162"/>
      <c r="C5" s="163"/>
      <c r="D5" s="398"/>
      <c r="E5" s="399"/>
      <c r="F5" s="163"/>
      <c r="H5" s="400">
        <v>0.052249</v>
      </c>
      <c r="I5" s="132"/>
      <c r="J5" s="132"/>
    </row>
    <row r="6" spans="1:10" ht="12.75">
      <c r="A6" s="66" t="s">
        <v>3</v>
      </c>
      <c r="B6" s="67" t="s">
        <v>4</v>
      </c>
      <c r="C6" s="68" t="s">
        <v>5</v>
      </c>
      <c r="D6" s="68" t="s">
        <v>21</v>
      </c>
      <c r="E6" s="68" t="s">
        <v>18</v>
      </c>
      <c r="F6" s="69" t="s">
        <v>20</v>
      </c>
      <c r="G6" s="69" t="s">
        <v>120</v>
      </c>
      <c r="H6" s="70" t="s">
        <v>6</v>
      </c>
      <c r="I6" s="70" t="s">
        <v>6</v>
      </c>
      <c r="J6" s="71" t="s">
        <v>6</v>
      </c>
    </row>
    <row r="7" spans="1:10" ht="12.75">
      <c r="A7" s="72"/>
      <c r="B7" s="73" t="s">
        <v>7</v>
      </c>
      <c r="C7" s="74" t="s">
        <v>8</v>
      </c>
      <c r="D7" s="74" t="s">
        <v>13</v>
      </c>
      <c r="E7" s="74" t="s">
        <v>19</v>
      </c>
      <c r="F7" s="75" t="s">
        <v>13</v>
      </c>
      <c r="G7" s="75" t="s">
        <v>121</v>
      </c>
      <c r="H7" s="76" t="s">
        <v>9</v>
      </c>
      <c r="I7" s="76" t="s">
        <v>11</v>
      </c>
      <c r="J7" s="77" t="s">
        <v>10</v>
      </c>
    </row>
    <row r="8" spans="1:10" ht="12.75">
      <c r="A8" s="78"/>
      <c r="B8" s="79"/>
      <c r="C8" s="80"/>
      <c r="D8" s="80"/>
      <c r="E8" s="80"/>
      <c r="F8" s="81"/>
      <c r="G8" s="136" t="s">
        <v>229</v>
      </c>
      <c r="H8" s="136" t="s">
        <v>123</v>
      </c>
      <c r="I8" s="82" t="s">
        <v>13</v>
      </c>
      <c r="J8" s="83" t="s">
        <v>12</v>
      </c>
    </row>
    <row r="9" spans="1:10" ht="12.75">
      <c r="A9" s="413">
        <v>39420</v>
      </c>
      <c r="B9" s="307"/>
      <c r="C9" s="359">
        <v>13392572</v>
      </c>
      <c r="D9" s="408"/>
      <c r="E9" s="409"/>
      <c r="F9" s="107"/>
      <c r="G9" s="410"/>
      <c r="H9" s="410"/>
      <c r="I9" s="411"/>
      <c r="J9" s="412"/>
    </row>
    <row r="10" spans="1:10" ht="12.75">
      <c r="A10" s="490">
        <v>39420</v>
      </c>
      <c r="B10" s="309"/>
      <c r="C10" s="359"/>
      <c r="D10" s="408"/>
      <c r="E10" s="409"/>
      <c r="F10" s="107"/>
      <c r="G10" s="489">
        <v>2867</v>
      </c>
      <c r="H10" s="410"/>
      <c r="I10" s="411"/>
      <c r="J10" s="412"/>
    </row>
    <row r="11" spans="1:10" ht="12.75">
      <c r="A11" s="405">
        <v>39438</v>
      </c>
      <c r="B11" s="308">
        <f>A11-A9</f>
        <v>18</v>
      </c>
      <c r="C11" s="99">
        <f>C9-D11</f>
        <v>13392572</v>
      </c>
      <c r="D11" s="406"/>
      <c r="E11" s="402">
        <f>H5</f>
        <v>0.052249</v>
      </c>
      <c r="F11" s="99">
        <v>46649</v>
      </c>
      <c r="G11" s="407">
        <f>ROUND(F3/((D2+D4)*4),0)</f>
        <v>2867</v>
      </c>
      <c r="H11" s="300">
        <f>SUM(F11:G11)</f>
        <v>49516</v>
      </c>
      <c r="I11" s="300">
        <f>SUM(D11)</f>
        <v>0</v>
      </c>
      <c r="J11" s="301">
        <f>SUM(H11:I11)</f>
        <v>49516</v>
      </c>
    </row>
    <row r="12" spans="1:10" ht="12.75">
      <c r="A12" s="103">
        <v>39538</v>
      </c>
      <c r="B12" s="306">
        <f>A12-A11</f>
        <v>100</v>
      </c>
      <c r="C12" s="42">
        <f>C11-D12</f>
        <v>13392572</v>
      </c>
      <c r="D12" s="42"/>
      <c r="E12" s="403">
        <v>0.052039</v>
      </c>
      <c r="F12" s="42">
        <v>182009</v>
      </c>
      <c r="G12" s="42">
        <f>G11</f>
        <v>2867</v>
      </c>
      <c r="H12" s="104"/>
      <c r="I12" s="104"/>
      <c r="J12" s="242"/>
    </row>
    <row r="13" spans="1:10" ht="12.75">
      <c r="A13" s="90">
        <v>39640</v>
      </c>
      <c r="B13" s="307">
        <f>A13-A12</f>
        <v>102</v>
      </c>
      <c r="C13" s="41">
        <f>C12-D13</f>
        <v>13392572</v>
      </c>
      <c r="D13" s="41"/>
      <c r="E13" s="401">
        <v>0.051699</v>
      </c>
      <c r="F13" s="41">
        <v>175032</v>
      </c>
      <c r="G13" s="41">
        <f>G12</f>
        <v>2867</v>
      </c>
      <c r="H13" s="91"/>
      <c r="I13" s="91"/>
      <c r="J13" s="231"/>
    </row>
    <row r="14" spans="1:12" ht="12.75">
      <c r="A14" s="90">
        <v>39721</v>
      </c>
      <c r="B14" s="307">
        <f>A14-A13</f>
        <v>81</v>
      </c>
      <c r="C14" s="41">
        <f>C13-D14</f>
        <v>13392572</v>
      </c>
      <c r="D14" s="41"/>
      <c r="E14" s="401">
        <v>0.053859</v>
      </c>
      <c r="F14" s="41">
        <v>184255</v>
      </c>
      <c r="G14" s="41">
        <f>G13</f>
        <v>2867</v>
      </c>
      <c r="H14" s="91"/>
      <c r="I14" s="91"/>
      <c r="J14" s="231"/>
      <c r="L14" s="121"/>
    </row>
    <row r="15" spans="1:10" ht="12.75">
      <c r="A15" s="528">
        <v>39762</v>
      </c>
      <c r="B15" s="307">
        <f>A15-A14</f>
        <v>41</v>
      </c>
      <c r="C15" s="245">
        <v>15302000</v>
      </c>
      <c r="D15" s="107"/>
      <c r="E15" s="409"/>
      <c r="F15" s="107"/>
      <c r="G15" s="107"/>
      <c r="H15" s="108"/>
      <c r="I15" s="108"/>
      <c r="J15" s="251"/>
    </row>
    <row r="16" spans="1:10" ht="12.75">
      <c r="A16" s="97">
        <v>39813</v>
      </c>
      <c r="B16" s="307">
        <f>A16-A15</f>
        <v>51</v>
      </c>
      <c r="C16" s="99">
        <f>C15-D16</f>
        <v>15302000</v>
      </c>
      <c r="D16" s="99"/>
      <c r="E16" s="402">
        <f>E14</f>
        <v>0.053859</v>
      </c>
      <c r="F16" s="99">
        <f>((C14+D14)*E16/360*B15)+((C16+D16)*E16/360*B16)</f>
        <v>198903.8979646333</v>
      </c>
      <c r="G16" s="99">
        <f>G14</f>
        <v>2867</v>
      </c>
      <c r="H16" s="300">
        <f>SUM(F12:G16)</f>
        <v>751667.8979646333</v>
      </c>
      <c r="I16" s="300">
        <f>SUM(D12:D16)</f>
        <v>0</v>
      </c>
      <c r="J16" s="301">
        <f>SUM(H16:I16)</f>
        <v>751667.8979646333</v>
      </c>
    </row>
    <row r="17" spans="1:10" ht="12.75">
      <c r="A17" s="103">
        <v>39903</v>
      </c>
      <c r="B17" s="306">
        <f aca="true" t="shared" si="0" ref="B17:B41">A17-A16</f>
        <v>90</v>
      </c>
      <c r="C17" s="42">
        <f aca="true" t="shared" si="1" ref="C17:C43">C16-D17</f>
        <v>15302000</v>
      </c>
      <c r="D17" s="42"/>
      <c r="E17" s="403">
        <f aca="true" t="shared" si="2" ref="E17:E44">E16</f>
        <v>0.053859</v>
      </c>
      <c r="F17" s="42">
        <f aca="true" t="shared" si="3" ref="F17:F44">((C17+D17)*E17/360*B17)</f>
        <v>206037.6045</v>
      </c>
      <c r="G17" s="42">
        <f aca="true" t="shared" si="4" ref="G17:G44">G16</f>
        <v>2867</v>
      </c>
      <c r="H17" s="104"/>
      <c r="I17" s="104"/>
      <c r="J17" s="242"/>
    </row>
    <row r="18" spans="1:10" ht="12.75">
      <c r="A18" s="90">
        <v>39994</v>
      </c>
      <c r="B18" s="307">
        <f t="shared" si="0"/>
        <v>91</v>
      </c>
      <c r="C18" s="41">
        <f t="shared" si="1"/>
        <v>15302000</v>
      </c>
      <c r="D18" s="41"/>
      <c r="E18" s="401">
        <f t="shared" si="2"/>
        <v>0.053859</v>
      </c>
      <c r="F18" s="41">
        <f t="shared" si="3"/>
        <v>208326.91121666666</v>
      </c>
      <c r="G18" s="41">
        <f t="shared" si="4"/>
        <v>2867</v>
      </c>
      <c r="H18" s="91"/>
      <c r="I18" s="91"/>
      <c r="J18" s="231"/>
    </row>
    <row r="19" spans="1:10" ht="12.75">
      <c r="A19" s="90">
        <v>40086</v>
      </c>
      <c r="B19" s="307">
        <f t="shared" si="0"/>
        <v>92</v>
      </c>
      <c r="C19" s="41">
        <f t="shared" si="1"/>
        <v>15302000</v>
      </c>
      <c r="D19" s="41"/>
      <c r="E19" s="401">
        <f t="shared" si="2"/>
        <v>0.053859</v>
      </c>
      <c r="F19" s="41">
        <f t="shared" si="3"/>
        <v>210616.2179333333</v>
      </c>
      <c r="G19" s="41">
        <f t="shared" si="4"/>
        <v>2867</v>
      </c>
      <c r="H19" s="91"/>
      <c r="I19" s="91"/>
      <c r="J19" s="231"/>
    </row>
    <row r="20" spans="1:10" ht="12.75">
      <c r="A20" s="97">
        <v>40178</v>
      </c>
      <c r="B20" s="308">
        <f t="shared" si="0"/>
        <v>92</v>
      </c>
      <c r="C20" s="99">
        <f t="shared" si="1"/>
        <v>15302000</v>
      </c>
      <c r="D20" s="99"/>
      <c r="E20" s="402">
        <f t="shared" si="2"/>
        <v>0.053859</v>
      </c>
      <c r="F20" s="99">
        <f t="shared" si="3"/>
        <v>210616.2179333333</v>
      </c>
      <c r="G20" s="99">
        <f t="shared" si="4"/>
        <v>2867</v>
      </c>
      <c r="H20" s="300">
        <f>SUM(F17:G20)</f>
        <v>847064.9515833333</v>
      </c>
      <c r="I20" s="300">
        <f>SUM(D17:D20)</f>
        <v>0</v>
      </c>
      <c r="J20" s="301">
        <f>SUM(H20:I20)</f>
        <v>847064.9515833333</v>
      </c>
    </row>
    <row r="21" spans="1:10" ht="12.75">
      <c r="A21" s="103">
        <v>40268</v>
      </c>
      <c r="B21" s="306">
        <f t="shared" si="0"/>
        <v>90</v>
      </c>
      <c r="C21" s="42">
        <f t="shared" si="1"/>
        <v>15302000</v>
      </c>
      <c r="D21" s="42"/>
      <c r="E21" s="403">
        <f t="shared" si="2"/>
        <v>0.053859</v>
      </c>
      <c r="F21" s="42">
        <f t="shared" si="3"/>
        <v>206037.6045</v>
      </c>
      <c r="G21" s="42">
        <f t="shared" si="4"/>
        <v>2867</v>
      </c>
      <c r="H21" s="104"/>
      <c r="I21" s="104"/>
      <c r="J21" s="242"/>
    </row>
    <row r="22" spans="1:10" ht="12.75">
      <c r="A22" s="90">
        <v>40359</v>
      </c>
      <c r="B22" s="307">
        <f t="shared" si="0"/>
        <v>91</v>
      </c>
      <c r="C22" s="41">
        <f t="shared" si="1"/>
        <v>15083400</v>
      </c>
      <c r="D22" s="41">
        <v>218600</v>
      </c>
      <c r="E22" s="401">
        <f t="shared" si="2"/>
        <v>0.053859</v>
      </c>
      <c r="F22" s="41">
        <f t="shared" si="3"/>
        <v>208326.91121666666</v>
      </c>
      <c r="G22" s="41">
        <f t="shared" si="4"/>
        <v>2867</v>
      </c>
      <c r="H22" s="91"/>
      <c r="I22" s="91"/>
      <c r="J22" s="231"/>
    </row>
    <row r="23" spans="1:10" ht="12.75">
      <c r="A23" s="90">
        <v>40451</v>
      </c>
      <c r="B23" s="307">
        <f t="shared" si="0"/>
        <v>92</v>
      </c>
      <c r="C23" s="41">
        <f t="shared" si="1"/>
        <v>14864800</v>
      </c>
      <c r="D23" s="41">
        <f aca="true" t="shared" si="5" ref="D23:D54">D22</f>
        <v>218600</v>
      </c>
      <c r="E23" s="401">
        <f t="shared" si="2"/>
        <v>0.053859</v>
      </c>
      <c r="F23" s="41">
        <f t="shared" si="3"/>
        <v>207607.41482</v>
      </c>
      <c r="G23" s="41">
        <f t="shared" si="4"/>
        <v>2867</v>
      </c>
      <c r="H23" s="91"/>
      <c r="I23" s="91"/>
      <c r="J23" s="231"/>
    </row>
    <row r="24" spans="1:10" ht="12.75">
      <c r="A24" s="97">
        <v>40543</v>
      </c>
      <c r="B24" s="308">
        <f t="shared" si="0"/>
        <v>92</v>
      </c>
      <c r="C24" s="99">
        <f t="shared" si="1"/>
        <v>14646200</v>
      </c>
      <c r="D24" s="99">
        <f t="shared" si="5"/>
        <v>218600</v>
      </c>
      <c r="E24" s="402">
        <f t="shared" si="2"/>
        <v>0.053859</v>
      </c>
      <c r="F24" s="99">
        <f t="shared" si="3"/>
        <v>204598.61170666665</v>
      </c>
      <c r="G24" s="99">
        <f t="shared" si="4"/>
        <v>2867</v>
      </c>
      <c r="H24" s="300">
        <f>SUM(F21:G24)</f>
        <v>838038.5422433333</v>
      </c>
      <c r="I24" s="300">
        <f>SUM(D21:D24)</f>
        <v>655800</v>
      </c>
      <c r="J24" s="301">
        <f>SUM(H24:I24)</f>
        <v>1493838.5422433333</v>
      </c>
    </row>
    <row r="25" spans="1:10" ht="12.75">
      <c r="A25" s="103">
        <v>40633</v>
      </c>
      <c r="B25" s="306">
        <f t="shared" si="0"/>
        <v>90</v>
      </c>
      <c r="C25" s="42">
        <f t="shared" si="1"/>
        <v>14427600</v>
      </c>
      <c r="D25" s="42">
        <f t="shared" si="5"/>
        <v>218600</v>
      </c>
      <c r="E25" s="403">
        <f t="shared" si="2"/>
        <v>0.053859</v>
      </c>
      <c r="F25" s="42">
        <f t="shared" si="3"/>
        <v>197207.42145</v>
      </c>
      <c r="G25" s="42">
        <f t="shared" si="4"/>
        <v>2867</v>
      </c>
      <c r="H25" s="104"/>
      <c r="I25" s="104"/>
      <c r="J25" s="242"/>
    </row>
    <row r="26" spans="1:10" ht="12.75">
      <c r="A26" s="90">
        <v>40724</v>
      </c>
      <c r="B26" s="307">
        <f t="shared" si="0"/>
        <v>91</v>
      </c>
      <c r="C26" s="41">
        <f t="shared" si="1"/>
        <v>14209000</v>
      </c>
      <c r="D26" s="41">
        <f t="shared" si="5"/>
        <v>218600</v>
      </c>
      <c r="E26" s="401">
        <f t="shared" si="2"/>
        <v>0.053859</v>
      </c>
      <c r="F26" s="41">
        <f t="shared" si="3"/>
        <v>196422.51628999997</v>
      </c>
      <c r="G26" s="41">
        <f t="shared" si="4"/>
        <v>2867</v>
      </c>
      <c r="H26" s="91"/>
      <c r="I26" s="91"/>
      <c r="J26" s="231"/>
    </row>
    <row r="27" spans="1:10" ht="12.75">
      <c r="A27" s="90">
        <v>40816</v>
      </c>
      <c r="B27" s="307">
        <f t="shared" si="0"/>
        <v>92</v>
      </c>
      <c r="C27" s="41">
        <f t="shared" si="1"/>
        <v>13990400</v>
      </c>
      <c r="D27" s="41">
        <f t="shared" si="5"/>
        <v>218600</v>
      </c>
      <c r="E27" s="401">
        <f t="shared" si="2"/>
        <v>0.053859</v>
      </c>
      <c r="F27" s="41">
        <f t="shared" si="3"/>
        <v>195572.20236666666</v>
      </c>
      <c r="G27" s="41">
        <f t="shared" si="4"/>
        <v>2867</v>
      </c>
      <c r="H27" s="91"/>
      <c r="I27" s="91"/>
      <c r="J27" s="231"/>
    </row>
    <row r="28" spans="1:10" ht="12.75">
      <c r="A28" s="97">
        <v>40908</v>
      </c>
      <c r="B28" s="308">
        <f t="shared" si="0"/>
        <v>92</v>
      </c>
      <c r="C28" s="99">
        <f t="shared" si="1"/>
        <v>13771800</v>
      </c>
      <c r="D28" s="99">
        <f t="shared" si="5"/>
        <v>218600</v>
      </c>
      <c r="E28" s="402">
        <f t="shared" si="2"/>
        <v>0.053859</v>
      </c>
      <c r="F28" s="99">
        <f t="shared" si="3"/>
        <v>192563.39925333337</v>
      </c>
      <c r="G28" s="99">
        <f t="shared" si="4"/>
        <v>2867</v>
      </c>
      <c r="H28" s="300">
        <f>SUM(F25:G28)</f>
        <v>793233.5393599999</v>
      </c>
      <c r="I28" s="300">
        <f>SUM(D25:D28)</f>
        <v>874400</v>
      </c>
      <c r="J28" s="301">
        <f>SUM(H28:I28)</f>
        <v>1667633.5393599998</v>
      </c>
    </row>
    <row r="29" spans="1:10" ht="12.75">
      <c r="A29" s="103">
        <v>40999</v>
      </c>
      <c r="B29" s="306">
        <f t="shared" si="0"/>
        <v>91</v>
      </c>
      <c r="C29" s="42">
        <f t="shared" si="1"/>
        <v>13553200</v>
      </c>
      <c r="D29" s="42">
        <f t="shared" si="5"/>
        <v>218600</v>
      </c>
      <c r="E29" s="403">
        <f t="shared" si="2"/>
        <v>0.053859</v>
      </c>
      <c r="F29" s="42">
        <f t="shared" si="3"/>
        <v>187494.220095</v>
      </c>
      <c r="G29" s="42">
        <f t="shared" si="4"/>
        <v>2867</v>
      </c>
      <c r="H29" s="104"/>
      <c r="I29" s="104"/>
      <c r="J29" s="242"/>
    </row>
    <row r="30" spans="1:10" ht="12.75">
      <c r="A30" s="90">
        <v>41090</v>
      </c>
      <c r="B30" s="307">
        <f t="shared" si="0"/>
        <v>91</v>
      </c>
      <c r="C30" s="41">
        <f t="shared" si="1"/>
        <v>13334600</v>
      </c>
      <c r="D30" s="41">
        <f t="shared" si="5"/>
        <v>218600</v>
      </c>
      <c r="E30" s="401">
        <f t="shared" si="2"/>
        <v>0.053859</v>
      </c>
      <c r="F30" s="41">
        <f t="shared" si="3"/>
        <v>184518.12136333334</v>
      </c>
      <c r="G30" s="41">
        <f t="shared" si="4"/>
        <v>2867</v>
      </c>
      <c r="H30" s="91"/>
      <c r="I30" s="91"/>
      <c r="J30" s="231"/>
    </row>
    <row r="31" spans="1:10" ht="12.75">
      <c r="A31" s="90">
        <v>41182</v>
      </c>
      <c r="B31" s="307">
        <f t="shared" si="0"/>
        <v>92</v>
      </c>
      <c r="C31" s="41">
        <f t="shared" si="1"/>
        <v>13116000</v>
      </c>
      <c r="D31" s="41">
        <f t="shared" si="5"/>
        <v>218600</v>
      </c>
      <c r="E31" s="401">
        <f t="shared" si="2"/>
        <v>0.053859</v>
      </c>
      <c r="F31" s="41">
        <f t="shared" si="3"/>
        <v>183536.9899133333</v>
      </c>
      <c r="G31" s="41">
        <f t="shared" si="4"/>
        <v>2867</v>
      </c>
      <c r="H31" s="91"/>
      <c r="I31" s="91"/>
      <c r="J31" s="231"/>
    </row>
    <row r="32" spans="1:10" ht="12.75">
      <c r="A32" s="97">
        <v>41274</v>
      </c>
      <c r="B32" s="308">
        <f t="shared" si="0"/>
        <v>92</v>
      </c>
      <c r="C32" s="99">
        <f t="shared" si="1"/>
        <v>12897400</v>
      </c>
      <c r="D32" s="99">
        <f t="shared" si="5"/>
        <v>218600</v>
      </c>
      <c r="E32" s="402">
        <f t="shared" si="2"/>
        <v>0.053859</v>
      </c>
      <c r="F32" s="99">
        <f t="shared" si="3"/>
        <v>180528.1868</v>
      </c>
      <c r="G32" s="99">
        <f t="shared" si="4"/>
        <v>2867</v>
      </c>
      <c r="H32" s="300">
        <f>SUM(F29:G32)</f>
        <v>747545.5181716667</v>
      </c>
      <c r="I32" s="300">
        <f>SUM(D29:D32)</f>
        <v>874400</v>
      </c>
      <c r="J32" s="301">
        <f>SUM(H32:I32)</f>
        <v>1621945.5181716667</v>
      </c>
    </row>
    <row r="33" spans="1:10" ht="12.75">
      <c r="A33" s="103">
        <v>41364</v>
      </c>
      <c r="B33" s="306">
        <f t="shared" si="0"/>
        <v>90</v>
      </c>
      <c r="C33" s="42">
        <f t="shared" si="1"/>
        <v>12678800</v>
      </c>
      <c r="D33" s="42">
        <f t="shared" si="5"/>
        <v>218600</v>
      </c>
      <c r="E33" s="403">
        <f t="shared" si="2"/>
        <v>0.053859</v>
      </c>
      <c r="F33" s="42">
        <f t="shared" si="3"/>
        <v>173660.26665</v>
      </c>
      <c r="G33" s="42">
        <f t="shared" si="4"/>
        <v>2867</v>
      </c>
      <c r="H33" s="104"/>
      <c r="I33" s="104"/>
      <c r="J33" s="242"/>
    </row>
    <row r="34" spans="1:10" ht="12.75">
      <c r="A34" s="90">
        <v>41455</v>
      </c>
      <c r="B34" s="307">
        <f t="shared" si="0"/>
        <v>91</v>
      </c>
      <c r="C34" s="41">
        <f t="shared" si="1"/>
        <v>12460200</v>
      </c>
      <c r="D34" s="41">
        <f t="shared" si="5"/>
        <v>218600</v>
      </c>
      <c r="E34" s="401">
        <f t="shared" si="2"/>
        <v>0.053859</v>
      </c>
      <c r="F34" s="41">
        <f t="shared" si="3"/>
        <v>172613.72643666665</v>
      </c>
      <c r="G34" s="41">
        <f t="shared" si="4"/>
        <v>2867</v>
      </c>
      <c r="H34" s="91"/>
      <c r="I34" s="91"/>
      <c r="J34" s="231"/>
    </row>
    <row r="35" spans="1:10" ht="12.75">
      <c r="A35" s="90">
        <v>41547</v>
      </c>
      <c r="B35" s="307">
        <f t="shared" si="0"/>
        <v>92</v>
      </c>
      <c r="C35" s="41">
        <f t="shared" si="1"/>
        <v>12241600</v>
      </c>
      <c r="D35" s="41">
        <f t="shared" si="5"/>
        <v>218600</v>
      </c>
      <c r="E35" s="401">
        <f t="shared" si="2"/>
        <v>0.053859</v>
      </c>
      <c r="F35" s="41">
        <f t="shared" si="3"/>
        <v>171501.77745999998</v>
      </c>
      <c r="G35" s="41">
        <f t="shared" si="4"/>
        <v>2867</v>
      </c>
      <c r="H35" s="91"/>
      <c r="I35" s="91"/>
      <c r="J35" s="231"/>
    </row>
    <row r="36" spans="1:10" ht="12.75">
      <c r="A36" s="97">
        <v>41639</v>
      </c>
      <c r="B36" s="308">
        <f t="shared" si="0"/>
        <v>92</v>
      </c>
      <c r="C36" s="99">
        <f t="shared" si="1"/>
        <v>12023000</v>
      </c>
      <c r="D36" s="99">
        <f t="shared" si="5"/>
        <v>218600</v>
      </c>
      <c r="E36" s="402">
        <f t="shared" si="2"/>
        <v>0.053859</v>
      </c>
      <c r="F36" s="99">
        <f t="shared" si="3"/>
        <v>168492.97434666666</v>
      </c>
      <c r="G36" s="99">
        <f t="shared" si="4"/>
        <v>2867</v>
      </c>
      <c r="H36" s="300">
        <f>SUM(F33:G36)</f>
        <v>697736.7448933334</v>
      </c>
      <c r="I36" s="300">
        <f>SUM(D33:D36)</f>
        <v>874400</v>
      </c>
      <c r="J36" s="301">
        <f>SUM(H36:I36)</f>
        <v>1572136.7448933334</v>
      </c>
    </row>
    <row r="37" spans="1:10" ht="12.75">
      <c r="A37" s="103">
        <v>41729</v>
      </c>
      <c r="B37" s="306">
        <f t="shared" si="0"/>
        <v>90</v>
      </c>
      <c r="C37" s="42">
        <f t="shared" si="1"/>
        <v>11804400</v>
      </c>
      <c r="D37" s="42">
        <f t="shared" si="5"/>
        <v>218600</v>
      </c>
      <c r="E37" s="403">
        <f t="shared" si="2"/>
        <v>0.053859</v>
      </c>
      <c r="F37" s="42">
        <f t="shared" si="3"/>
        <v>161886.68925</v>
      </c>
      <c r="G37" s="42">
        <f t="shared" si="4"/>
        <v>2867</v>
      </c>
      <c r="H37" s="104"/>
      <c r="I37" s="104"/>
      <c r="J37" s="242"/>
    </row>
    <row r="38" spans="1:10" ht="12.75">
      <c r="A38" s="90">
        <v>41820</v>
      </c>
      <c r="B38" s="307">
        <f t="shared" si="0"/>
        <v>91</v>
      </c>
      <c r="C38" s="41">
        <f t="shared" si="1"/>
        <v>11585800</v>
      </c>
      <c r="D38" s="41">
        <f t="shared" si="5"/>
        <v>218600</v>
      </c>
      <c r="E38" s="401">
        <f t="shared" si="2"/>
        <v>0.053859</v>
      </c>
      <c r="F38" s="41">
        <f t="shared" si="3"/>
        <v>160709.33150999996</v>
      </c>
      <c r="G38" s="41">
        <f t="shared" si="4"/>
        <v>2867</v>
      </c>
      <c r="H38" s="91"/>
      <c r="I38" s="91"/>
      <c r="J38" s="231"/>
    </row>
    <row r="39" spans="1:10" ht="12.75">
      <c r="A39" s="90">
        <v>41912</v>
      </c>
      <c r="B39" s="307">
        <f t="shared" si="0"/>
        <v>92</v>
      </c>
      <c r="C39" s="41">
        <f t="shared" si="1"/>
        <v>11367200</v>
      </c>
      <c r="D39" s="41">
        <f t="shared" si="5"/>
        <v>218600</v>
      </c>
      <c r="E39" s="401">
        <f t="shared" si="2"/>
        <v>0.053859</v>
      </c>
      <c r="F39" s="41">
        <f t="shared" si="3"/>
        <v>159466.56500666664</v>
      </c>
      <c r="G39" s="41">
        <f t="shared" si="4"/>
        <v>2867</v>
      </c>
      <c r="H39" s="91"/>
      <c r="I39" s="91"/>
      <c r="J39" s="231"/>
    </row>
    <row r="40" spans="1:10" ht="12.75">
      <c r="A40" s="97">
        <v>42004</v>
      </c>
      <c r="B40" s="308">
        <f t="shared" si="0"/>
        <v>92</v>
      </c>
      <c r="C40" s="99">
        <f t="shared" si="1"/>
        <v>11148600</v>
      </c>
      <c r="D40" s="99">
        <f t="shared" si="5"/>
        <v>218600</v>
      </c>
      <c r="E40" s="402">
        <f t="shared" si="2"/>
        <v>0.053859</v>
      </c>
      <c r="F40" s="99">
        <f t="shared" si="3"/>
        <v>156457.76189333334</v>
      </c>
      <c r="G40" s="99">
        <f t="shared" si="4"/>
        <v>2867</v>
      </c>
      <c r="H40" s="300">
        <f>SUM(F37:G40)</f>
        <v>649988.34766</v>
      </c>
      <c r="I40" s="300">
        <f>SUM(D37:D40)</f>
        <v>874400</v>
      </c>
      <c r="J40" s="301">
        <f>SUM(H40:I40)</f>
        <v>1524388.34766</v>
      </c>
    </row>
    <row r="41" spans="1:10" ht="12.75">
      <c r="A41" s="103">
        <v>42094</v>
      </c>
      <c r="B41" s="306">
        <f t="shared" si="0"/>
        <v>90</v>
      </c>
      <c r="C41" s="42">
        <f t="shared" si="1"/>
        <v>10930000</v>
      </c>
      <c r="D41" s="42">
        <f t="shared" si="5"/>
        <v>218600</v>
      </c>
      <c r="E41" s="403">
        <f t="shared" si="2"/>
        <v>0.053859</v>
      </c>
      <c r="F41" s="42">
        <f t="shared" si="3"/>
        <v>150113.11185</v>
      </c>
      <c r="G41" s="42">
        <f t="shared" si="4"/>
        <v>2867</v>
      </c>
      <c r="H41" s="104"/>
      <c r="I41" s="104"/>
      <c r="J41" s="242"/>
    </row>
    <row r="42" spans="1:10" ht="12.75">
      <c r="A42" s="90">
        <v>42185</v>
      </c>
      <c r="B42" s="307">
        <f aca="true" t="shared" si="6" ref="B42:B73">A42-A41</f>
        <v>91</v>
      </c>
      <c r="C42" s="41">
        <f t="shared" si="1"/>
        <v>10711400</v>
      </c>
      <c r="D42" s="41">
        <f t="shared" si="5"/>
        <v>218600</v>
      </c>
      <c r="E42" s="401">
        <f t="shared" si="2"/>
        <v>0.053859</v>
      </c>
      <c r="F42" s="41">
        <f t="shared" si="3"/>
        <v>148804.93658333333</v>
      </c>
      <c r="G42" s="41">
        <f t="shared" si="4"/>
        <v>2867</v>
      </c>
      <c r="H42" s="91"/>
      <c r="I42" s="91"/>
      <c r="J42" s="231"/>
    </row>
    <row r="43" spans="1:10" ht="12.75">
      <c r="A43" s="90">
        <v>42277</v>
      </c>
      <c r="B43" s="307">
        <f t="shared" si="6"/>
        <v>92</v>
      </c>
      <c r="C43" s="41">
        <f t="shared" si="1"/>
        <v>10492800</v>
      </c>
      <c r="D43" s="41">
        <f t="shared" si="5"/>
        <v>218600</v>
      </c>
      <c r="E43" s="401">
        <f t="shared" si="2"/>
        <v>0.053859</v>
      </c>
      <c r="F43" s="41">
        <f t="shared" si="3"/>
        <v>147431.35255333333</v>
      </c>
      <c r="G43" s="41">
        <f t="shared" si="4"/>
        <v>2867</v>
      </c>
      <c r="H43" s="91"/>
      <c r="I43" s="91"/>
      <c r="J43" s="231"/>
    </row>
    <row r="44" spans="1:10" ht="12.75">
      <c r="A44" s="97">
        <v>42369</v>
      </c>
      <c r="B44" s="308">
        <f t="shared" si="6"/>
        <v>92</v>
      </c>
      <c r="C44" s="99">
        <f aca="true" t="shared" si="7" ref="C44:C75">C43-D44</f>
        <v>10274200</v>
      </c>
      <c r="D44" s="99">
        <f t="shared" si="5"/>
        <v>218600</v>
      </c>
      <c r="E44" s="402">
        <f t="shared" si="2"/>
        <v>0.053859</v>
      </c>
      <c r="F44" s="99">
        <f t="shared" si="3"/>
        <v>144422.54944</v>
      </c>
      <c r="G44" s="99">
        <f t="shared" si="4"/>
        <v>2867</v>
      </c>
      <c r="H44" s="300">
        <f>SUM(F41:G44)</f>
        <v>602239.9504266666</v>
      </c>
      <c r="I44" s="300">
        <f>SUM(D41:D44)</f>
        <v>874400</v>
      </c>
      <c r="J44" s="301">
        <f>SUM(H44:I44)</f>
        <v>1476639.9504266665</v>
      </c>
    </row>
    <row r="45" spans="1:10" ht="12.75">
      <c r="A45" s="103">
        <v>42460</v>
      </c>
      <c r="B45" s="306">
        <f t="shared" si="6"/>
        <v>91</v>
      </c>
      <c r="C45" s="42">
        <f t="shared" si="7"/>
        <v>10055600</v>
      </c>
      <c r="D45" s="42">
        <f t="shared" si="5"/>
        <v>218600</v>
      </c>
      <c r="E45" s="403">
        <f aca="true" t="shared" si="8" ref="E45:E76">E44</f>
        <v>0.053859</v>
      </c>
      <c r="F45" s="42">
        <f aca="true" t="shared" si="9" ref="F45:F76">((C45+D45)*E45/360*B45)</f>
        <v>139876.64038833333</v>
      </c>
      <c r="G45" s="42">
        <f aca="true" t="shared" si="10" ref="G45:G76">G44</f>
        <v>2867</v>
      </c>
      <c r="H45" s="104"/>
      <c r="I45" s="104"/>
      <c r="J45" s="242"/>
    </row>
    <row r="46" spans="1:10" ht="12.75">
      <c r="A46" s="90">
        <v>42551</v>
      </c>
      <c r="B46" s="307">
        <f t="shared" si="6"/>
        <v>91</v>
      </c>
      <c r="C46" s="41">
        <f t="shared" si="7"/>
        <v>9837000</v>
      </c>
      <c r="D46" s="41">
        <f t="shared" si="5"/>
        <v>218600</v>
      </c>
      <c r="E46" s="401">
        <f t="shared" si="8"/>
        <v>0.053859</v>
      </c>
      <c r="F46" s="41">
        <f t="shared" si="9"/>
        <v>136900.54165666664</v>
      </c>
      <c r="G46" s="41">
        <f t="shared" si="10"/>
        <v>2867</v>
      </c>
      <c r="H46" s="91"/>
      <c r="I46" s="91"/>
      <c r="J46" s="231"/>
    </row>
    <row r="47" spans="1:10" ht="12.75">
      <c r="A47" s="90">
        <v>42643</v>
      </c>
      <c r="B47" s="307">
        <f t="shared" si="6"/>
        <v>92</v>
      </c>
      <c r="C47" s="41">
        <f t="shared" si="7"/>
        <v>9618400</v>
      </c>
      <c r="D47" s="41">
        <f t="shared" si="5"/>
        <v>218600</v>
      </c>
      <c r="E47" s="401">
        <f t="shared" si="8"/>
        <v>0.053859</v>
      </c>
      <c r="F47" s="41">
        <f t="shared" si="9"/>
        <v>135396.1401</v>
      </c>
      <c r="G47" s="41">
        <f t="shared" si="10"/>
        <v>2867</v>
      </c>
      <c r="H47" s="91"/>
      <c r="I47" s="91"/>
      <c r="J47" s="231"/>
    </row>
    <row r="48" spans="1:10" ht="12.75">
      <c r="A48" s="97">
        <v>42735</v>
      </c>
      <c r="B48" s="308">
        <f t="shared" si="6"/>
        <v>92</v>
      </c>
      <c r="C48" s="99">
        <f t="shared" si="7"/>
        <v>9399800</v>
      </c>
      <c r="D48" s="99">
        <f t="shared" si="5"/>
        <v>218600</v>
      </c>
      <c r="E48" s="402">
        <f t="shared" si="8"/>
        <v>0.053859</v>
      </c>
      <c r="F48" s="99">
        <f t="shared" si="9"/>
        <v>132387.33698666666</v>
      </c>
      <c r="G48" s="99">
        <f t="shared" si="10"/>
        <v>2867</v>
      </c>
      <c r="H48" s="300">
        <f>SUM(F45:G48)</f>
        <v>556028.6591316666</v>
      </c>
      <c r="I48" s="300">
        <f>SUM(D45:D48)</f>
        <v>874400</v>
      </c>
      <c r="J48" s="301">
        <f>SUM(H48:I48)</f>
        <v>1430428.6591316666</v>
      </c>
    </row>
    <row r="49" spans="1:10" ht="12.75">
      <c r="A49" s="103">
        <v>42825</v>
      </c>
      <c r="B49" s="306">
        <f t="shared" si="6"/>
        <v>90</v>
      </c>
      <c r="C49" s="42">
        <f t="shared" si="7"/>
        <v>9181200</v>
      </c>
      <c r="D49" s="42">
        <f t="shared" si="5"/>
        <v>218600</v>
      </c>
      <c r="E49" s="403">
        <f t="shared" si="8"/>
        <v>0.053859</v>
      </c>
      <c r="F49" s="42">
        <f t="shared" si="9"/>
        <v>126565.95705</v>
      </c>
      <c r="G49" s="42">
        <f t="shared" si="10"/>
        <v>2867</v>
      </c>
      <c r="H49" s="104"/>
      <c r="I49" s="104"/>
      <c r="J49" s="242"/>
    </row>
    <row r="50" spans="1:10" ht="12.75">
      <c r="A50" s="90">
        <v>42916</v>
      </c>
      <c r="B50" s="307">
        <f t="shared" si="6"/>
        <v>91</v>
      </c>
      <c r="C50" s="41">
        <f t="shared" si="7"/>
        <v>8962600</v>
      </c>
      <c r="D50" s="41">
        <f t="shared" si="5"/>
        <v>218600</v>
      </c>
      <c r="E50" s="401">
        <f t="shared" si="8"/>
        <v>0.053859</v>
      </c>
      <c r="F50" s="41">
        <f t="shared" si="9"/>
        <v>124996.14673</v>
      </c>
      <c r="G50" s="41">
        <f t="shared" si="10"/>
        <v>2867</v>
      </c>
      <c r="H50" s="91"/>
      <c r="I50" s="91"/>
      <c r="J50" s="231"/>
    </row>
    <row r="51" spans="1:10" ht="12.75">
      <c r="A51" s="90">
        <v>43008</v>
      </c>
      <c r="B51" s="307">
        <f t="shared" si="6"/>
        <v>92</v>
      </c>
      <c r="C51" s="41">
        <f t="shared" si="7"/>
        <v>8744000</v>
      </c>
      <c r="D51" s="41">
        <f t="shared" si="5"/>
        <v>218600</v>
      </c>
      <c r="E51" s="401">
        <f t="shared" si="8"/>
        <v>0.053859</v>
      </c>
      <c r="F51" s="41">
        <f t="shared" si="9"/>
        <v>123360.92764666666</v>
      </c>
      <c r="G51" s="41">
        <f t="shared" si="10"/>
        <v>2867</v>
      </c>
      <c r="H51" s="91"/>
      <c r="I51" s="91"/>
      <c r="J51" s="231"/>
    </row>
    <row r="52" spans="1:10" ht="12.75">
      <c r="A52" s="97">
        <v>43100</v>
      </c>
      <c r="B52" s="308">
        <f t="shared" si="6"/>
        <v>92</v>
      </c>
      <c r="C52" s="99">
        <f t="shared" si="7"/>
        <v>8525400</v>
      </c>
      <c r="D52" s="99">
        <f t="shared" si="5"/>
        <v>218600</v>
      </c>
      <c r="E52" s="402">
        <f t="shared" si="8"/>
        <v>0.053859</v>
      </c>
      <c r="F52" s="99">
        <f t="shared" si="9"/>
        <v>120352.12453333334</v>
      </c>
      <c r="G52" s="99">
        <f t="shared" si="10"/>
        <v>2867</v>
      </c>
      <c r="H52" s="300">
        <f>SUM(F49:G52)</f>
        <v>506743.15596</v>
      </c>
      <c r="I52" s="300">
        <f>SUM(D49:D52)</f>
        <v>874400</v>
      </c>
      <c r="J52" s="301">
        <f>SUM(H52:I52)</f>
        <v>1381143.1559600001</v>
      </c>
    </row>
    <row r="53" spans="1:10" ht="12.75">
      <c r="A53" s="103">
        <v>43190</v>
      </c>
      <c r="B53" s="306">
        <f t="shared" si="6"/>
        <v>90</v>
      </c>
      <c r="C53" s="42">
        <f t="shared" si="7"/>
        <v>8306800</v>
      </c>
      <c r="D53" s="42">
        <f t="shared" si="5"/>
        <v>218600</v>
      </c>
      <c r="E53" s="403">
        <f t="shared" si="8"/>
        <v>0.053859</v>
      </c>
      <c r="F53" s="42">
        <f t="shared" si="9"/>
        <v>114792.37965</v>
      </c>
      <c r="G53" s="42">
        <f t="shared" si="10"/>
        <v>2867</v>
      </c>
      <c r="H53" s="104"/>
      <c r="I53" s="104"/>
      <c r="J53" s="242"/>
    </row>
    <row r="54" spans="1:10" ht="12.75">
      <c r="A54" s="90">
        <v>43281</v>
      </c>
      <c r="B54" s="307">
        <f t="shared" si="6"/>
        <v>91</v>
      </c>
      <c r="C54" s="41">
        <f t="shared" si="7"/>
        <v>8088200</v>
      </c>
      <c r="D54" s="41">
        <f t="shared" si="5"/>
        <v>218600</v>
      </c>
      <c r="E54" s="401">
        <f t="shared" si="8"/>
        <v>0.053859</v>
      </c>
      <c r="F54" s="41">
        <f t="shared" si="9"/>
        <v>113091.75180333333</v>
      </c>
      <c r="G54" s="41">
        <f t="shared" si="10"/>
        <v>2867</v>
      </c>
      <c r="H54" s="91"/>
      <c r="I54" s="91"/>
      <c r="J54" s="231"/>
    </row>
    <row r="55" spans="1:10" ht="12.75">
      <c r="A55" s="90">
        <v>43373</v>
      </c>
      <c r="B55" s="307">
        <f t="shared" si="6"/>
        <v>92</v>
      </c>
      <c r="C55" s="41">
        <f t="shared" si="7"/>
        <v>7869600</v>
      </c>
      <c r="D55" s="41">
        <f aca="true" t="shared" si="11" ref="D55:D91">D54</f>
        <v>218600</v>
      </c>
      <c r="E55" s="401">
        <f t="shared" si="8"/>
        <v>0.053859</v>
      </c>
      <c r="F55" s="41">
        <f t="shared" si="9"/>
        <v>111325.71519333332</v>
      </c>
      <c r="G55" s="41">
        <f t="shared" si="10"/>
        <v>2867</v>
      </c>
      <c r="H55" s="91"/>
      <c r="I55" s="91"/>
      <c r="J55" s="231"/>
    </row>
    <row r="56" spans="1:10" ht="12.75">
      <c r="A56" s="97">
        <v>43465</v>
      </c>
      <c r="B56" s="308">
        <f t="shared" si="6"/>
        <v>92</v>
      </c>
      <c r="C56" s="99">
        <f t="shared" si="7"/>
        <v>7651000</v>
      </c>
      <c r="D56" s="99">
        <f t="shared" si="11"/>
        <v>218600</v>
      </c>
      <c r="E56" s="402">
        <f t="shared" si="8"/>
        <v>0.053859</v>
      </c>
      <c r="F56" s="99">
        <f t="shared" si="9"/>
        <v>108316.91208</v>
      </c>
      <c r="G56" s="99">
        <f t="shared" si="10"/>
        <v>2867</v>
      </c>
      <c r="H56" s="300">
        <f>SUM(F53:G56)</f>
        <v>458994.7587266666</v>
      </c>
      <c r="I56" s="300">
        <f>SUM(D53:D56)</f>
        <v>874400</v>
      </c>
      <c r="J56" s="301">
        <f>SUM(H56:I56)</f>
        <v>1333394.7587266667</v>
      </c>
    </row>
    <row r="57" spans="1:10" ht="12.75">
      <c r="A57" s="103">
        <v>43555</v>
      </c>
      <c r="B57" s="306">
        <f t="shared" si="6"/>
        <v>90</v>
      </c>
      <c r="C57" s="42">
        <f t="shared" si="7"/>
        <v>7432400</v>
      </c>
      <c r="D57" s="42">
        <f t="shared" si="11"/>
        <v>218600</v>
      </c>
      <c r="E57" s="403">
        <f t="shared" si="8"/>
        <v>0.053859</v>
      </c>
      <c r="F57" s="42">
        <f t="shared" si="9"/>
        <v>103018.80225</v>
      </c>
      <c r="G57" s="42">
        <f t="shared" si="10"/>
        <v>2867</v>
      </c>
      <c r="H57" s="104"/>
      <c r="I57" s="104"/>
      <c r="J57" s="242"/>
    </row>
    <row r="58" spans="1:10" ht="12.75">
      <c r="A58" s="90">
        <v>43646</v>
      </c>
      <c r="B58" s="307">
        <f t="shared" si="6"/>
        <v>91</v>
      </c>
      <c r="C58" s="41">
        <f t="shared" si="7"/>
        <v>7213800</v>
      </c>
      <c r="D58" s="41">
        <f t="shared" si="11"/>
        <v>218600</v>
      </c>
      <c r="E58" s="401">
        <f t="shared" si="8"/>
        <v>0.053859</v>
      </c>
      <c r="F58" s="41">
        <f t="shared" si="9"/>
        <v>101187.35687666666</v>
      </c>
      <c r="G58" s="41">
        <f t="shared" si="10"/>
        <v>2867</v>
      </c>
      <c r="H58" s="91"/>
      <c r="I58" s="91"/>
      <c r="J58" s="231"/>
    </row>
    <row r="59" spans="1:10" ht="12.75">
      <c r="A59" s="90">
        <v>43738</v>
      </c>
      <c r="B59" s="307">
        <f t="shared" si="6"/>
        <v>92</v>
      </c>
      <c r="C59" s="41">
        <f t="shared" si="7"/>
        <v>6995200</v>
      </c>
      <c r="D59" s="41">
        <f t="shared" si="11"/>
        <v>218600</v>
      </c>
      <c r="E59" s="401">
        <f t="shared" si="8"/>
        <v>0.053859</v>
      </c>
      <c r="F59" s="41">
        <f t="shared" si="9"/>
        <v>99290.50274</v>
      </c>
      <c r="G59" s="41">
        <f t="shared" si="10"/>
        <v>2867</v>
      </c>
      <c r="H59" s="91"/>
      <c r="I59" s="91"/>
      <c r="J59" s="231"/>
    </row>
    <row r="60" spans="1:10" ht="12.75">
      <c r="A60" s="97">
        <v>43830</v>
      </c>
      <c r="B60" s="308">
        <f t="shared" si="6"/>
        <v>92</v>
      </c>
      <c r="C60" s="99">
        <f t="shared" si="7"/>
        <v>6776600</v>
      </c>
      <c r="D60" s="99">
        <f t="shared" si="11"/>
        <v>218600</v>
      </c>
      <c r="E60" s="402">
        <f t="shared" si="8"/>
        <v>0.053859</v>
      </c>
      <c r="F60" s="99">
        <f t="shared" si="9"/>
        <v>96281.69962666668</v>
      </c>
      <c r="G60" s="99">
        <f t="shared" si="10"/>
        <v>2867</v>
      </c>
      <c r="H60" s="300">
        <f>SUM(F57:G60)</f>
        <v>411246.3614933333</v>
      </c>
      <c r="I60" s="300">
        <f>SUM(D57:D60)</f>
        <v>874400</v>
      </c>
      <c r="J60" s="301">
        <f>SUM(H60:I60)</f>
        <v>1285646.3614933332</v>
      </c>
    </row>
    <row r="61" spans="1:10" ht="12.75">
      <c r="A61" s="103">
        <v>43921</v>
      </c>
      <c r="B61" s="306">
        <f t="shared" si="6"/>
        <v>91</v>
      </c>
      <c r="C61" s="42">
        <f t="shared" si="7"/>
        <v>6558000</v>
      </c>
      <c r="D61" s="42">
        <f t="shared" si="11"/>
        <v>218600</v>
      </c>
      <c r="E61" s="403">
        <f t="shared" si="8"/>
        <v>0.053859</v>
      </c>
      <c r="F61" s="42">
        <f t="shared" si="9"/>
        <v>92259.06068166667</v>
      </c>
      <c r="G61" s="42">
        <f t="shared" si="10"/>
        <v>2867</v>
      </c>
      <c r="H61" s="104"/>
      <c r="I61" s="104"/>
      <c r="J61" s="242"/>
    </row>
    <row r="62" spans="1:10" ht="12.75">
      <c r="A62" s="90">
        <v>44012</v>
      </c>
      <c r="B62" s="307">
        <f t="shared" si="6"/>
        <v>91</v>
      </c>
      <c r="C62" s="41">
        <f t="shared" si="7"/>
        <v>6339400</v>
      </c>
      <c r="D62" s="41">
        <f t="shared" si="11"/>
        <v>218600</v>
      </c>
      <c r="E62" s="401">
        <f t="shared" si="8"/>
        <v>0.053859</v>
      </c>
      <c r="F62" s="41">
        <f t="shared" si="9"/>
        <v>89282.96195</v>
      </c>
      <c r="G62" s="41">
        <f t="shared" si="10"/>
        <v>2867</v>
      </c>
      <c r="H62" s="91"/>
      <c r="I62" s="91"/>
      <c r="J62" s="231"/>
    </row>
    <row r="63" spans="1:10" ht="12.75">
      <c r="A63" s="90">
        <v>44104</v>
      </c>
      <c r="B63" s="307">
        <f t="shared" si="6"/>
        <v>92</v>
      </c>
      <c r="C63" s="41">
        <f t="shared" si="7"/>
        <v>6120800</v>
      </c>
      <c r="D63" s="41">
        <f t="shared" si="11"/>
        <v>218600</v>
      </c>
      <c r="E63" s="401">
        <f t="shared" si="8"/>
        <v>0.053859</v>
      </c>
      <c r="F63" s="41">
        <f t="shared" si="9"/>
        <v>87255.29028666667</v>
      </c>
      <c r="G63" s="41">
        <f t="shared" si="10"/>
        <v>2867</v>
      </c>
      <c r="H63" s="91"/>
      <c r="I63" s="91"/>
      <c r="J63" s="231"/>
    </row>
    <row r="64" spans="1:10" ht="12.75">
      <c r="A64" s="97">
        <v>44196</v>
      </c>
      <c r="B64" s="308">
        <f t="shared" si="6"/>
        <v>92</v>
      </c>
      <c r="C64" s="99">
        <f t="shared" si="7"/>
        <v>5902200</v>
      </c>
      <c r="D64" s="99">
        <f t="shared" si="11"/>
        <v>218600</v>
      </c>
      <c r="E64" s="402">
        <f t="shared" si="8"/>
        <v>0.053859</v>
      </c>
      <c r="F64" s="99">
        <f t="shared" si="9"/>
        <v>84246.48717333333</v>
      </c>
      <c r="G64" s="99">
        <f t="shared" si="10"/>
        <v>2867</v>
      </c>
      <c r="H64" s="300">
        <f>SUM(F61:G64)</f>
        <v>364511.80009166664</v>
      </c>
      <c r="I64" s="300">
        <f>SUM(D61:D64)</f>
        <v>874400</v>
      </c>
      <c r="J64" s="301">
        <f>SUM(H64:I64)</f>
        <v>1238911.8000916666</v>
      </c>
    </row>
    <row r="65" spans="1:10" ht="12.75">
      <c r="A65" s="103">
        <v>44286</v>
      </c>
      <c r="B65" s="306">
        <f t="shared" si="6"/>
        <v>90</v>
      </c>
      <c r="C65" s="42">
        <f t="shared" si="7"/>
        <v>5683600</v>
      </c>
      <c r="D65" s="42">
        <f t="shared" si="11"/>
        <v>218600</v>
      </c>
      <c r="E65" s="403">
        <f t="shared" si="8"/>
        <v>0.053859</v>
      </c>
      <c r="F65" s="42">
        <f t="shared" si="9"/>
        <v>79471.64744999999</v>
      </c>
      <c r="G65" s="42">
        <f t="shared" si="10"/>
        <v>2867</v>
      </c>
      <c r="H65" s="104"/>
      <c r="I65" s="104"/>
      <c r="J65" s="242"/>
    </row>
    <row r="66" spans="1:10" ht="12.75">
      <c r="A66" s="90">
        <v>44377</v>
      </c>
      <c r="B66" s="307">
        <f t="shared" si="6"/>
        <v>91</v>
      </c>
      <c r="C66" s="41">
        <f t="shared" si="7"/>
        <v>5465000</v>
      </c>
      <c r="D66" s="41">
        <f t="shared" si="11"/>
        <v>218600</v>
      </c>
      <c r="E66" s="401">
        <f t="shared" si="8"/>
        <v>0.053859</v>
      </c>
      <c r="F66" s="41">
        <f t="shared" si="9"/>
        <v>77378.56702333334</v>
      </c>
      <c r="G66" s="41">
        <f t="shared" si="10"/>
        <v>2867</v>
      </c>
      <c r="H66" s="91"/>
      <c r="I66" s="91"/>
      <c r="J66" s="231"/>
    </row>
    <row r="67" spans="1:10" ht="12.75">
      <c r="A67" s="90">
        <v>44469</v>
      </c>
      <c r="B67" s="307">
        <f t="shared" si="6"/>
        <v>92</v>
      </c>
      <c r="C67" s="41">
        <f t="shared" si="7"/>
        <v>5246400</v>
      </c>
      <c r="D67" s="41">
        <f t="shared" si="11"/>
        <v>218600</v>
      </c>
      <c r="E67" s="401">
        <f t="shared" si="8"/>
        <v>0.053859</v>
      </c>
      <c r="F67" s="41">
        <f t="shared" si="9"/>
        <v>75220.07783333334</v>
      </c>
      <c r="G67" s="41">
        <f t="shared" si="10"/>
        <v>2867</v>
      </c>
      <c r="H67" s="91"/>
      <c r="I67" s="91"/>
      <c r="J67" s="231"/>
    </row>
    <row r="68" spans="1:10" ht="12.75">
      <c r="A68" s="97">
        <v>44561</v>
      </c>
      <c r="B68" s="308">
        <f t="shared" si="6"/>
        <v>92</v>
      </c>
      <c r="C68" s="99">
        <f t="shared" si="7"/>
        <v>5027800</v>
      </c>
      <c r="D68" s="99">
        <f t="shared" si="11"/>
        <v>218600</v>
      </c>
      <c r="E68" s="402">
        <f t="shared" si="8"/>
        <v>0.053859</v>
      </c>
      <c r="F68" s="99">
        <f t="shared" si="9"/>
        <v>72211.27472</v>
      </c>
      <c r="G68" s="99">
        <f t="shared" si="10"/>
        <v>2867</v>
      </c>
      <c r="H68" s="300">
        <f>SUM(F65:G68)</f>
        <v>315749.56702666666</v>
      </c>
      <c r="I68" s="300">
        <f>SUM(D65:D68)</f>
        <v>874400</v>
      </c>
      <c r="J68" s="301">
        <f>SUM(H68:I68)</f>
        <v>1190149.5670266666</v>
      </c>
    </row>
    <row r="69" spans="1:10" ht="12.75">
      <c r="A69" s="103">
        <v>44651</v>
      </c>
      <c r="B69" s="306">
        <f t="shared" si="6"/>
        <v>90</v>
      </c>
      <c r="C69" s="42">
        <f t="shared" si="7"/>
        <v>4809200</v>
      </c>
      <c r="D69" s="42">
        <f t="shared" si="11"/>
        <v>218600</v>
      </c>
      <c r="E69" s="403">
        <f t="shared" si="8"/>
        <v>0.053859</v>
      </c>
      <c r="F69" s="42">
        <f t="shared" si="9"/>
        <v>67698.07005</v>
      </c>
      <c r="G69" s="42">
        <f t="shared" si="10"/>
        <v>2867</v>
      </c>
      <c r="H69" s="104"/>
      <c r="I69" s="104"/>
      <c r="J69" s="242"/>
    </row>
    <row r="70" spans="1:10" ht="12.75">
      <c r="A70" s="90">
        <v>44742</v>
      </c>
      <c r="B70" s="307">
        <f t="shared" si="6"/>
        <v>91</v>
      </c>
      <c r="C70" s="41">
        <f t="shared" si="7"/>
        <v>4590600</v>
      </c>
      <c r="D70" s="41">
        <f t="shared" si="11"/>
        <v>218600</v>
      </c>
      <c r="E70" s="401">
        <f t="shared" si="8"/>
        <v>0.053859</v>
      </c>
      <c r="F70" s="41">
        <f t="shared" si="9"/>
        <v>65474.17209666667</v>
      </c>
      <c r="G70" s="41">
        <f t="shared" si="10"/>
        <v>2867</v>
      </c>
      <c r="H70" s="91"/>
      <c r="I70" s="91"/>
      <c r="J70" s="231"/>
    </row>
    <row r="71" spans="1:10" ht="12.75">
      <c r="A71" s="90">
        <v>44834</v>
      </c>
      <c r="B71" s="307">
        <f t="shared" si="6"/>
        <v>92</v>
      </c>
      <c r="C71" s="41">
        <f t="shared" si="7"/>
        <v>4372000</v>
      </c>
      <c r="D71" s="41">
        <f t="shared" si="11"/>
        <v>218600</v>
      </c>
      <c r="E71" s="401">
        <f t="shared" si="8"/>
        <v>0.053859</v>
      </c>
      <c r="F71" s="41">
        <f t="shared" si="9"/>
        <v>63184.86538</v>
      </c>
      <c r="G71" s="41">
        <f t="shared" si="10"/>
        <v>2867</v>
      </c>
      <c r="H71" s="91"/>
      <c r="I71" s="91"/>
      <c r="J71" s="231"/>
    </row>
    <row r="72" spans="1:10" ht="12.75">
      <c r="A72" s="97">
        <v>44926</v>
      </c>
      <c r="B72" s="308">
        <f t="shared" si="6"/>
        <v>92</v>
      </c>
      <c r="C72" s="99">
        <f t="shared" si="7"/>
        <v>4153400</v>
      </c>
      <c r="D72" s="99">
        <f t="shared" si="11"/>
        <v>218600</v>
      </c>
      <c r="E72" s="402">
        <f t="shared" si="8"/>
        <v>0.053859</v>
      </c>
      <c r="F72" s="99">
        <f t="shared" si="9"/>
        <v>60176.06226666667</v>
      </c>
      <c r="G72" s="99">
        <f t="shared" si="10"/>
        <v>2867</v>
      </c>
      <c r="H72" s="300">
        <f>SUM(F69:G72)</f>
        <v>268001.16979333333</v>
      </c>
      <c r="I72" s="300">
        <f>SUM(D69:D72)</f>
        <v>874400</v>
      </c>
      <c r="J72" s="301">
        <f>SUM(H72:I72)</f>
        <v>1142401.1697933334</v>
      </c>
    </row>
    <row r="73" spans="1:10" ht="12.75">
      <c r="A73" s="103">
        <v>45016</v>
      </c>
      <c r="B73" s="306">
        <f t="shared" si="6"/>
        <v>90</v>
      </c>
      <c r="C73" s="42">
        <f t="shared" si="7"/>
        <v>3934800</v>
      </c>
      <c r="D73" s="42">
        <f t="shared" si="11"/>
        <v>218600</v>
      </c>
      <c r="E73" s="403">
        <f t="shared" si="8"/>
        <v>0.053859</v>
      </c>
      <c r="F73" s="42">
        <f t="shared" si="9"/>
        <v>55924.49265</v>
      </c>
      <c r="G73" s="42">
        <f t="shared" si="10"/>
        <v>2867</v>
      </c>
      <c r="H73" s="104"/>
      <c r="I73" s="104"/>
      <c r="J73" s="242"/>
    </row>
    <row r="74" spans="1:10" ht="12.75">
      <c r="A74" s="90">
        <v>45107</v>
      </c>
      <c r="B74" s="307">
        <f aca="true" t="shared" si="12" ref="B74:B91">A74-A73</f>
        <v>91</v>
      </c>
      <c r="C74" s="41">
        <f t="shared" si="7"/>
        <v>3716200</v>
      </c>
      <c r="D74" s="41">
        <f t="shared" si="11"/>
        <v>218600</v>
      </c>
      <c r="E74" s="401">
        <f t="shared" si="8"/>
        <v>0.053859</v>
      </c>
      <c r="F74" s="41">
        <f t="shared" si="9"/>
        <v>53569.777169999994</v>
      </c>
      <c r="G74" s="41">
        <f t="shared" si="10"/>
        <v>2867</v>
      </c>
      <c r="H74" s="91"/>
      <c r="I74" s="91"/>
      <c r="J74" s="231"/>
    </row>
    <row r="75" spans="1:10" ht="12.75">
      <c r="A75" s="90">
        <v>45199</v>
      </c>
      <c r="B75" s="307">
        <f t="shared" si="12"/>
        <v>92</v>
      </c>
      <c r="C75" s="41">
        <f t="shared" si="7"/>
        <v>3497600</v>
      </c>
      <c r="D75" s="41">
        <f t="shared" si="11"/>
        <v>218600</v>
      </c>
      <c r="E75" s="401">
        <f t="shared" si="8"/>
        <v>0.053859</v>
      </c>
      <c r="F75" s="41">
        <f t="shared" si="9"/>
        <v>51149.65292666666</v>
      </c>
      <c r="G75" s="41">
        <f t="shared" si="10"/>
        <v>2867</v>
      </c>
      <c r="H75" s="91"/>
      <c r="I75" s="91"/>
      <c r="J75" s="231"/>
    </row>
    <row r="76" spans="1:10" ht="12.75">
      <c r="A76" s="97">
        <v>45291</v>
      </c>
      <c r="B76" s="308">
        <f t="shared" si="12"/>
        <v>92</v>
      </c>
      <c r="C76" s="99">
        <f aca="true" t="shared" si="13" ref="C76:C91">C75-D76</f>
        <v>3279000</v>
      </c>
      <c r="D76" s="99">
        <f t="shared" si="11"/>
        <v>218600</v>
      </c>
      <c r="E76" s="402">
        <f t="shared" si="8"/>
        <v>0.053859</v>
      </c>
      <c r="F76" s="99">
        <f t="shared" si="9"/>
        <v>48140.84981333334</v>
      </c>
      <c r="G76" s="99">
        <f t="shared" si="10"/>
        <v>2867</v>
      </c>
      <c r="H76" s="300">
        <f>SUM(F73:G76)</f>
        <v>220252.77255999998</v>
      </c>
      <c r="I76" s="300">
        <f>SUM(D73:D76)</f>
        <v>874400</v>
      </c>
      <c r="J76" s="301">
        <f>SUM(H76:I76)</f>
        <v>1094652.77256</v>
      </c>
    </row>
    <row r="77" spans="1:10" ht="12.75">
      <c r="A77" s="103">
        <v>45382</v>
      </c>
      <c r="B77" s="306">
        <f t="shared" si="12"/>
        <v>91</v>
      </c>
      <c r="C77" s="42">
        <f t="shared" si="13"/>
        <v>3060400</v>
      </c>
      <c r="D77" s="42">
        <f t="shared" si="11"/>
        <v>218600</v>
      </c>
      <c r="E77" s="403">
        <f aca="true" t="shared" si="14" ref="E77:E91">E76</f>
        <v>0.053859</v>
      </c>
      <c r="F77" s="42">
        <f aca="true" t="shared" si="15" ref="F77:F91">((C77+D77)*E77/360*B77)</f>
        <v>44641.480975</v>
      </c>
      <c r="G77" s="42">
        <f aca="true" t="shared" si="16" ref="G77:G89">G76</f>
        <v>2867</v>
      </c>
      <c r="H77" s="104"/>
      <c r="I77" s="104"/>
      <c r="J77" s="242"/>
    </row>
    <row r="78" spans="1:10" ht="12.75">
      <c r="A78" s="90">
        <v>45473</v>
      </c>
      <c r="B78" s="307">
        <f t="shared" si="12"/>
        <v>91</v>
      </c>
      <c r="C78" s="41">
        <f t="shared" si="13"/>
        <v>2841800</v>
      </c>
      <c r="D78" s="41">
        <f t="shared" si="11"/>
        <v>218600</v>
      </c>
      <c r="E78" s="401">
        <f t="shared" si="14"/>
        <v>0.053859</v>
      </c>
      <c r="F78" s="41">
        <f t="shared" si="15"/>
        <v>41665.38224333333</v>
      </c>
      <c r="G78" s="41">
        <f t="shared" si="16"/>
        <v>2867</v>
      </c>
      <c r="H78" s="91"/>
      <c r="I78" s="91"/>
      <c r="J78" s="231"/>
    </row>
    <row r="79" spans="1:10" ht="12.75">
      <c r="A79" s="90">
        <v>45565</v>
      </c>
      <c r="B79" s="307">
        <f t="shared" si="12"/>
        <v>92</v>
      </c>
      <c r="C79" s="41">
        <f t="shared" si="13"/>
        <v>2623200</v>
      </c>
      <c r="D79" s="41">
        <f t="shared" si="11"/>
        <v>218600</v>
      </c>
      <c r="E79" s="401">
        <f t="shared" si="14"/>
        <v>0.053859</v>
      </c>
      <c r="F79" s="41">
        <f t="shared" si="15"/>
        <v>39114.440473333336</v>
      </c>
      <c r="G79" s="41">
        <f t="shared" si="16"/>
        <v>2867</v>
      </c>
      <c r="H79" s="91"/>
      <c r="I79" s="91"/>
      <c r="J79" s="231"/>
    </row>
    <row r="80" spans="1:10" ht="12.75">
      <c r="A80" s="97">
        <v>45657</v>
      </c>
      <c r="B80" s="308">
        <f t="shared" si="12"/>
        <v>92</v>
      </c>
      <c r="C80" s="99">
        <f t="shared" si="13"/>
        <v>2404600</v>
      </c>
      <c r="D80" s="99">
        <f t="shared" si="11"/>
        <v>218600</v>
      </c>
      <c r="E80" s="402">
        <f t="shared" si="14"/>
        <v>0.053859</v>
      </c>
      <c r="F80" s="99">
        <f t="shared" si="15"/>
        <v>36105.63736</v>
      </c>
      <c r="G80" s="99">
        <f t="shared" si="16"/>
        <v>2867</v>
      </c>
      <c r="H80" s="300">
        <f>SUM(F77:G80)</f>
        <v>172994.94105166668</v>
      </c>
      <c r="I80" s="300">
        <f>SUM(D77:D80)</f>
        <v>874400</v>
      </c>
      <c r="J80" s="301">
        <f>SUM(H80:I80)</f>
        <v>1047394.9410516666</v>
      </c>
    </row>
    <row r="81" spans="1:10" ht="12.75">
      <c r="A81" s="103">
        <v>45747</v>
      </c>
      <c r="B81" s="306">
        <f t="shared" si="12"/>
        <v>90</v>
      </c>
      <c r="C81" s="42">
        <f t="shared" si="13"/>
        <v>2186000</v>
      </c>
      <c r="D81" s="42">
        <f t="shared" si="11"/>
        <v>218600</v>
      </c>
      <c r="E81" s="403">
        <f t="shared" si="14"/>
        <v>0.053859</v>
      </c>
      <c r="F81" s="42">
        <f t="shared" si="15"/>
        <v>32377.33785</v>
      </c>
      <c r="G81" s="42">
        <f t="shared" si="16"/>
        <v>2867</v>
      </c>
      <c r="H81" s="104"/>
      <c r="I81" s="104"/>
      <c r="J81" s="242"/>
    </row>
    <row r="82" spans="1:10" ht="12.75">
      <c r="A82" s="90">
        <v>45838</v>
      </c>
      <c r="B82" s="307">
        <f t="shared" si="12"/>
        <v>91</v>
      </c>
      <c r="C82" s="41">
        <f t="shared" si="13"/>
        <v>1967400</v>
      </c>
      <c r="D82" s="41">
        <f t="shared" si="11"/>
        <v>218600</v>
      </c>
      <c r="E82" s="401">
        <f t="shared" si="14"/>
        <v>0.053859</v>
      </c>
      <c r="F82" s="41">
        <f t="shared" si="15"/>
        <v>29760.987316666666</v>
      </c>
      <c r="G82" s="41">
        <f t="shared" si="16"/>
        <v>2867</v>
      </c>
      <c r="H82" s="91"/>
      <c r="I82" s="91"/>
      <c r="J82" s="231"/>
    </row>
    <row r="83" spans="1:10" ht="12.75">
      <c r="A83" s="90">
        <v>45930</v>
      </c>
      <c r="B83" s="307">
        <f t="shared" si="12"/>
        <v>92</v>
      </c>
      <c r="C83" s="41">
        <f t="shared" si="13"/>
        <v>1748800</v>
      </c>
      <c r="D83" s="41">
        <f t="shared" si="11"/>
        <v>218600</v>
      </c>
      <c r="E83" s="401">
        <f t="shared" si="14"/>
        <v>0.053859</v>
      </c>
      <c r="F83" s="41">
        <f t="shared" si="15"/>
        <v>27079.22802</v>
      </c>
      <c r="G83" s="41">
        <f t="shared" si="16"/>
        <v>2867</v>
      </c>
      <c r="H83" s="91"/>
      <c r="I83" s="91"/>
      <c r="J83" s="231"/>
    </row>
    <row r="84" spans="1:10" ht="12.75">
      <c r="A84" s="97">
        <v>46022</v>
      </c>
      <c r="B84" s="308">
        <f t="shared" si="12"/>
        <v>92</v>
      </c>
      <c r="C84" s="99">
        <f t="shared" si="13"/>
        <v>1530200</v>
      </c>
      <c r="D84" s="99">
        <f t="shared" si="11"/>
        <v>218600</v>
      </c>
      <c r="E84" s="402">
        <f t="shared" si="14"/>
        <v>0.053859</v>
      </c>
      <c r="F84" s="99">
        <f t="shared" si="15"/>
        <v>24070.42490666667</v>
      </c>
      <c r="G84" s="99">
        <f t="shared" si="16"/>
        <v>2867</v>
      </c>
      <c r="H84" s="300">
        <f>SUM(F81:G84)</f>
        <v>124755.97809333332</v>
      </c>
      <c r="I84" s="300">
        <f>SUM(D81:D84)</f>
        <v>874400</v>
      </c>
      <c r="J84" s="301">
        <f>SUM(H84:I84)</f>
        <v>999155.9780933333</v>
      </c>
    </row>
    <row r="85" spans="1:10" ht="12.75">
      <c r="A85" s="103">
        <v>46112</v>
      </c>
      <c r="B85" s="306">
        <f t="shared" si="12"/>
        <v>90</v>
      </c>
      <c r="C85" s="42">
        <f t="shared" si="13"/>
        <v>1311600</v>
      </c>
      <c r="D85" s="42">
        <f t="shared" si="11"/>
        <v>218600</v>
      </c>
      <c r="E85" s="403">
        <f t="shared" si="14"/>
        <v>0.053859</v>
      </c>
      <c r="F85" s="42">
        <f t="shared" si="15"/>
        <v>20603.760449999998</v>
      </c>
      <c r="G85" s="42">
        <f t="shared" si="16"/>
        <v>2867</v>
      </c>
      <c r="H85" s="104"/>
      <c r="I85" s="104"/>
      <c r="J85" s="242"/>
    </row>
    <row r="86" spans="1:10" ht="12.75">
      <c r="A86" s="90">
        <v>46203</v>
      </c>
      <c r="B86" s="307">
        <f t="shared" si="12"/>
        <v>91</v>
      </c>
      <c r="C86" s="41">
        <f t="shared" si="13"/>
        <v>1093000</v>
      </c>
      <c r="D86" s="41">
        <f t="shared" si="11"/>
        <v>218600</v>
      </c>
      <c r="E86" s="401">
        <f t="shared" si="14"/>
        <v>0.053859</v>
      </c>
      <c r="F86" s="41">
        <f t="shared" si="15"/>
        <v>17856.59239</v>
      </c>
      <c r="G86" s="41">
        <f t="shared" si="16"/>
        <v>2867</v>
      </c>
      <c r="H86" s="91"/>
      <c r="I86" s="91"/>
      <c r="J86" s="231"/>
    </row>
    <row r="87" spans="1:10" ht="12.75">
      <c r="A87" s="90">
        <v>46295</v>
      </c>
      <c r="B87" s="307">
        <f t="shared" si="12"/>
        <v>92</v>
      </c>
      <c r="C87" s="41">
        <f t="shared" si="13"/>
        <v>874400</v>
      </c>
      <c r="D87" s="41">
        <f t="shared" si="11"/>
        <v>218600</v>
      </c>
      <c r="E87" s="401">
        <f t="shared" si="14"/>
        <v>0.053859</v>
      </c>
      <c r="F87" s="41">
        <f t="shared" si="15"/>
        <v>15044.015566666667</v>
      </c>
      <c r="G87" s="41">
        <f t="shared" si="16"/>
        <v>2867</v>
      </c>
      <c r="H87" s="91"/>
      <c r="I87" s="91"/>
      <c r="J87" s="231"/>
    </row>
    <row r="88" spans="1:10" ht="12.75">
      <c r="A88" s="97">
        <v>46387</v>
      </c>
      <c r="B88" s="308">
        <f t="shared" si="12"/>
        <v>92</v>
      </c>
      <c r="C88" s="99">
        <f t="shared" si="13"/>
        <v>655800</v>
      </c>
      <c r="D88" s="99">
        <f t="shared" si="11"/>
        <v>218600</v>
      </c>
      <c r="E88" s="402">
        <f t="shared" si="14"/>
        <v>0.053859</v>
      </c>
      <c r="F88" s="99">
        <f t="shared" si="15"/>
        <v>12035.212453333335</v>
      </c>
      <c r="G88" s="99">
        <f t="shared" si="16"/>
        <v>2867</v>
      </c>
      <c r="H88" s="300">
        <f>SUM(F85:G88)</f>
        <v>77007.58086</v>
      </c>
      <c r="I88" s="300">
        <f>SUM(D85:D88)</f>
        <v>874400</v>
      </c>
      <c r="J88" s="301">
        <f>SUM(H88:I88)</f>
        <v>951407.58086</v>
      </c>
    </row>
    <row r="89" spans="1:10" ht="12.75">
      <c r="A89" s="103">
        <v>46477</v>
      </c>
      <c r="B89" s="306">
        <f t="shared" si="12"/>
        <v>90</v>
      </c>
      <c r="C89" s="42">
        <f t="shared" si="13"/>
        <v>437200</v>
      </c>
      <c r="D89" s="42">
        <f t="shared" si="11"/>
        <v>218600</v>
      </c>
      <c r="E89" s="403">
        <f t="shared" si="14"/>
        <v>0.053859</v>
      </c>
      <c r="F89" s="42">
        <f t="shared" si="15"/>
        <v>8830.18305</v>
      </c>
      <c r="G89" s="42">
        <f t="shared" si="16"/>
        <v>2867</v>
      </c>
      <c r="H89" s="104"/>
      <c r="I89" s="104"/>
      <c r="J89" s="242"/>
    </row>
    <row r="90" spans="1:10" ht="12.75">
      <c r="A90" s="90">
        <v>46568</v>
      </c>
      <c r="B90" s="307">
        <f t="shared" si="12"/>
        <v>91</v>
      </c>
      <c r="C90" s="41">
        <f t="shared" si="13"/>
        <v>218600</v>
      </c>
      <c r="D90" s="41">
        <f t="shared" si="11"/>
        <v>218600</v>
      </c>
      <c r="E90" s="401">
        <f t="shared" si="14"/>
        <v>0.053859</v>
      </c>
      <c r="F90" s="41">
        <f t="shared" si="15"/>
        <v>5952.197463333334</v>
      </c>
      <c r="G90" s="41">
        <f>G89+17</f>
        <v>2884</v>
      </c>
      <c r="H90" s="91"/>
      <c r="I90" s="91"/>
      <c r="J90" s="231"/>
    </row>
    <row r="91" spans="1:10" ht="13.5" thickBot="1">
      <c r="A91" s="90">
        <v>46591</v>
      </c>
      <c r="B91" s="307">
        <f t="shared" si="12"/>
        <v>23</v>
      </c>
      <c r="C91" s="41">
        <f t="shared" si="13"/>
        <v>0</v>
      </c>
      <c r="D91" s="41">
        <f t="shared" si="11"/>
        <v>218600</v>
      </c>
      <c r="E91" s="401">
        <f t="shared" si="14"/>
        <v>0.053859</v>
      </c>
      <c r="F91" s="41">
        <f t="shared" si="15"/>
        <v>752.2007783333335</v>
      </c>
      <c r="G91" s="41">
        <f>F3-SUM(G10:G90)</f>
        <v>0</v>
      </c>
      <c r="H91" s="300">
        <f>SUM(F89:G91)</f>
        <v>21285.581291666665</v>
      </c>
      <c r="I91" s="300">
        <f>SUM(D89:D91)</f>
        <v>655800</v>
      </c>
      <c r="J91" s="301">
        <f>SUM(H91:I91)</f>
        <v>677085.5812916667</v>
      </c>
    </row>
    <row r="92" spans="1:10" ht="13.5" thickTop="1">
      <c r="A92" s="563" t="s">
        <v>14</v>
      </c>
      <c r="B92" s="564"/>
      <c r="C92" s="565"/>
      <c r="D92" s="117">
        <f>SUM(D9:D91)</f>
        <v>15302000</v>
      </c>
      <c r="E92" s="118"/>
      <c r="F92" s="117">
        <f>SUM(F9:F91)</f>
        <v>9248093.818382964</v>
      </c>
      <c r="G92" s="117">
        <f>SUM(G9:G91)</f>
        <v>229377</v>
      </c>
      <c r="H92" s="117">
        <f>SUM(H9:H91)</f>
        <v>9474603.81838297</v>
      </c>
      <c r="I92" s="117">
        <f>SUM(I9:I91)</f>
        <v>15302000</v>
      </c>
      <c r="J92" s="119">
        <f>SUM(J9:J91)</f>
        <v>24776603.818382967</v>
      </c>
    </row>
    <row r="93" spans="1:10" ht="12.75">
      <c r="A93" s="120"/>
      <c r="B93" s="121"/>
      <c r="E93" s="122"/>
      <c r="H93" s="121"/>
      <c r="J93" s="121"/>
    </row>
    <row r="94" spans="1:10" ht="12.75">
      <c r="A94" s="120"/>
      <c r="B94" s="121"/>
      <c r="E94" s="122"/>
      <c r="G94" s="121"/>
      <c r="H94" s="121"/>
      <c r="J94" s="121"/>
    </row>
    <row r="95" spans="3:4" ht="12.75">
      <c r="C95" s="58"/>
      <c r="D95" s="58"/>
    </row>
    <row r="96" spans="1:8" ht="12.75">
      <c r="A96" s="121"/>
      <c r="C96" s="58"/>
      <c r="D96" s="316" t="s">
        <v>3</v>
      </c>
      <c r="E96" s="316"/>
      <c r="F96" s="316" t="s">
        <v>106</v>
      </c>
      <c r="G96" s="316" t="s">
        <v>137</v>
      </c>
      <c r="H96" s="316" t="s">
        <v>138</v>
      </c>
    </row>
    <row r="97" spans="1:8" ht="12.75">
      <c r="A97" s="261"/>
      <c r="B97" s="337"/>
      <c r="C97" s="337"/>
      <c r="D97" s="337"/>
      <c r="E97" s="338"/>
      <c r="F97" s="338" t="s">
        <v>135</v>
      </c>
      <c r="G97" s="338" t="s">
        <v>136</v>
      </c>
      <c r="H97" s="338" t="s">
        <v>139</v>
      </c>
    </row>
    <row r="98" spans="1:8" ht="12.75">
      <c r="A98" s="121" t="s">
        <v>126</v>
      </c>
      <c r="C98" s="58"/>
      <c r="D98" s="332">
        <v>39420</v>
      </c>
      <c r="E98" s="316"/>
      <c r="F98" s="121">
        <v>13392572</v>
      </c>
      <c r="G98" s="121">
        <f>F98</f>
        <v>13392572</v>
      </c>
      <c r="H98" s="121">
        <f>D1-G98</f>
        <v>1909428</v>
      </c>
    </row>
    <row r="99" spans="1:8" ht="13.5" thickBot="1">
      <c r="A99" s="121" t="s">
        <v>170</v>
      </c>
      <c r="C99" s="58"/>
      <c r="D99" s="332">
        <v>39762</v>
      </c>
      <c r="E99" s="316"/>
      <c r="F99" s="121">
        <v>1909428</v>
      </c>
      <c r="G99" s="121">
        <f>G98+F99</f>
        <v>15302000</v>
      </c>
      <c r="H99" s="121">
        <f>D1-G99</f>
        <v>0</v>
      </c>
    </row>
    <row r="100" spans="1:6" ht="13.5" thickTop="1">
      <c r="A100" s="126" t="s">
        <v>14</v>
      </c>
      <c r="B100" s="126"/>
      <c r="C100" s="124"/>
      <c r="D100" s="124"/>
      <c r="E100" s="333"/>
      <c r="F100" s="124">
        <f>SUM(F98:F99)</f>
        <v>15302000</v>
      </c>
    </row>
  </sheetData>
  <sheetProtection/>
  <mergeCells count="1">
    <mergeCell ref="A92:C92"/>
  </mergeCells>
  <printOptions horizontalCentered="1"/>
  <pageMargins left="0.3937007874015748" right="0.3937007874015748" top="0.984251968503937" bottom="0.3937007874015748" header="0.3937007874015748" footer="0.11811023622047245"/>
  <pageSetup blackAndWhite="1" horizontalDpi="300" verticalDpi="300" orientation="portrait" paperSize="9" scale="85" r:id="rId1"/>
  <headerFooter alignWithMargins="0">
    <oddHeader>&amp;C&amp;"Times New Roman CE,Félkövér dőlt"&amp;12Adósságszolgálat számítása 
2007. évben felvételre tervezett 15.302 eFt hitel</oddHeader>
    <oddFooter>&amp;L&amp;8&amp;D&amp;C&amp;8C:\Andi\adósságszolgálat2007\&amp;F\&amp;A    Oláhné P. Andrea&amp;R&amp;8&amp;P/&amp;N</oddFooter>
  </headerFooter>
  <rowBreaks count="1" manualBreakCount="1">
    <brk id="6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108"/>
  <sheetViews>
    <sheetView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11.375" style="58" customWidth="1"/>
    <col min="2" max="2" width="5.625" style="434" customWidth="1"/>
    <col min="3" max="3" width="15.375" style="121" customWidth="1"/>
    <col min="4" max="4" width="15.50390625" style="121" bestFit="1" customWidth="1"/>
    <col min="5" max="5" width="8.625" style="58" customWidth="1"/>
    <col min="6" max="6" width="14.375" style="58" customWidth="1"/>
    <col min="7" max="7" width="13.875" style="58" customWidth="1"/>
    <col min="8" max="8" width="14.625" style="58" bestFit="1" customWidth="1"/>
    <col min="9" max="9" width="15.625" style="58" customWidth="1"/>
    <col min="10" max="10" width="16.00390625" style="58" customWidth="1"/>
    <col min="11" max="11" width="2.125" style="58" customWidth="1"/>
    <col min="12" max="16384" width="9.375" style="58" customWidth="1"/>
  </cols>
  <sheetData>
    <row r="1" spans="1:10" ht="12.75">
      <c r="A1" s="162" t="s">
        <v>204</v>
      </c>
      <c r="B1" s="429"/>
      <c r="C1" s="163"/>
      <c r="D1" s="163">
        <v>3640000000</v>
      </c>
      <c r="E1" s="162" t="s">
        <v>205</v>
      </c>
      <c r="F1" s="162" t="s">
        <v>279</v>
      </c>
      <c r="G1" s="162"/>
      <c r="J1" s="292" t="s">
        <v>338</v>
      </c>
    </row>
    <row r="2" spans="1:7" ht="12.75">
      <c r="A2" s="162" t="s">
        <v>206</v>
      </c>
      <c r="B2" s="429"/>
      <c r="C2" s="163"/>
      <c r="D2" s="163">
        <v>17</v>
      </c>
      <c r="E2" s="162" t="s">
        <v>207</v>
      </c>
      <c r="F2" s="162"/>
      <c r="G2" s="162"/>
    </row>
    <row r="3" spans="1:7" ht="12.75">
      <c r="A3" s="162" t="s">
        <v>226</v>
      </c>
      <c r="B3" s="429"/>
      <c r="C3" s="163"/>
      <c r="D3" s="163">
        <v>4044444</v>
      </c>
      <c r="E3" s="162" t="s">
        <v>205</v>
      </c>
      <c r="F3" s="556">
        <f>D3/D1</f>
        <v>0.001111110989010989</v>
      </c>
      <c r="G3" s="162"/>
    </row>
    <row r="4" spans="1:7" ht="12.75">
      <c r="A4" s="163" t="s">
        <v>228</v>
      </c>
      <c r="B4" s="429"/>
      <c r="C4" s="163"/>
      <c r="D4" s="163">
        <v>3</v>
      </c>
      <c r="E4" s="162" t="s">
        <v>207</v>
      </c>
      <c r="F4" s="162"/>
      <c r="G4" s="162"/>
    </row>
    <row r="5" spans="1:10" ht="12.75">
      <c r="A5" s="163" t="s">
        <v>280</v>
      </c>
      <c r="B5" s="162"/>
      <c r="C5" s="163"/>
      <c r="D5" s="398"/>
      <c r="E5" s="399"/>
      <c r="F5" s="163"/>
      <c r="G5" s="446">
        <v>0.06715</v>
      </c>
      <c r="I5" s="132"/>
      <c r="J5" s="132"/>
    </row>
    <row r="6" spans="1:10" ht="12.75">
      <c r="A6" s="66" t="s">
        <v>3</v>
      </c>
      <c r="B6" s="430" t="s">
        <v>4</v>
      </c>
      <c r="C6" s="68" t="s">
        <v>5</v>
      </c>
      <c r="D6" s="68" t="s">
        <v>21</v>
      </c>
      <c r="E6" s="68" t="s">
        <v>18</v>
      </c>
      <c r="F6" s="69" t="s">
        <v>20</v>
      </c>
      <c r="G6" s="69" t="s">
        <v>120</v>
      </c>
      <c r="H6" s="70" t="s">
        <v>6</v>
      </c>
      <c r="I6" s="70" t="s">
        <v>6</v>
      </c>
      <c r="J6" s="71" t="s">
        <v>6</v>
      </c>
    </row>
    <row r="7" spans="1:10" ht="12.75">
      <c r="A7" s="72"/>
      <c r="B7" s="431" t="s">
        <v>7</v>
      </c>
      <c r="C7" s="74" t="s">
        <v>8</v>
      </c>
      <c r="D7" s="74" t="s">
        <v>13</v>
      </c>
      <c r="E7" s="74" t="s">
        <v>19</v>
      </c>
      <c r="F7" s="75" t="s">
        <v>13</v>
      </c>
      <c r="G7" s="75" t="s">
        <v>121</v>
      </c>
      <c r="H7" s="76" t="s">
        <v>9</v>
      </c>
      <c r="I7" s="76" t="s">
        <v>11</v>
      </c>
      <c r="J7" s="77" t="s">
        <v>10</v>
      </c>
    </row>
    <row r="8" spans="1:10" ht="12.75">
      <c r="A8" s="78"/>
      <c r="B8" s="432"/>
      <c r="C8" s="80"/>
      <c r="D8" s="80"/>
      <c r="E8" s="80"/>
      <c r="F8" s="81"/>
      <c r="G8" s="136" t="s">
        <v>229</v>
      </c>
      <c r="H8" s="136" t="s">
        <v>123</v>
      </c>
      <c r="I8" s="82" t="s">
        <v>13</v>
      </c>
      <c r="J8" s="83" t="s">
        <v>12</v>
      </c>
    </row>
    <row r="9" spans="1:10" s="162" customFormat="1" ht="12.75">
      <c r="A9" s="493">
        <v>39780</v>
      </c>
      <c r="B9" s="494"/>
      <c r="C9" s="495">
        <v>1240000000</v>
      </c>
      <c r="D9" s="325"/>
      <c r="E9" s="325"/>
      <c r="F9" s="325"/>
      <c r="G9" s="325"/>
      <c r="H9" s="325"/>
      <c r="I9" s="325"/>
      <c r="J9" s="496"/>
    </row>
    <row r="10" spans="1:10" ht="12.75">
      <c r="A10" s="97">
        <v>39813</v>
      </c>
      <c r="B10" s="187">
        <f aca="true" t="shared" si="0" ref="B10:B77">A10-A9</f>
        <v>33</v>
      </c>
      <c r="C10" s="99">
        <f aca="true" t="shared" si="1" ref="C10:C77">C9-D10</f>
        <v>1240000000</v>
      </c>
      <c r="D10" s="99"/>
      <c r="E10" s="303">
        <v>0.06897</v>
      </c>
      <c r="F10" s="99">
        <f>((C10+D10)*E10/360*B10)</f>
        <v>7839590</v>
      </c>
      <c r="G10" s="99"/>
      <c r="H10" s="300">
        <f>SUM(F10:G10)</f>
        <v>7839590</v>
      </c>
      <c r="I10" s="300">
        <f>SUM(D10:D10)</f>
        <v>0</v>
      </c>
      <c r="J10" s="301">
        <f>SUM(H10:I10)</f>
        <v>7839590</v>
      </c>
    </row>
    <row r="11" spans="1:10" ht="12.75">
      <c r="A11" s="84">
        <v>39903</v>
      </c>
      <c r="B11" s="521">
        <f t="shared" si="0"/>
        <v>90</v>
      </c>
      <c r="C11" s="86">
        <f t="shared" si="1"/>
        <v>1240000000</v>
      </c>
      <c r="D11" s="86"/>
      <c r="E11" s="522">
        <f aca="true" t="shared" si="2" ref="E11:E77">E10</f>
        <v>0.06897</v>
      </c>
      <c r="F11" s="86">
        <f>((C11+D11)*E11/360*B11)</f>
        <v>21380700</v>
      </c>
      <c r="G11" s="86"/>
      <c r="H11" s="85"/>
      <c r="I11" s="85"/>
      <c r="J11" s="240"/>
    </row>
    <row r="12" spans="1:10" ht="12.75">
      <c r="A12" s="90">
        <v>39994</v>
      </c>
      <c r="B12" s="215">
        <f>A12-A11</f>
        <v>91</v>
      </c>
      <c r="C12" s="41">
        <f>C11-D12</f>
        <v>1240000000</v>
      </c>
      <c r="D12" s="41"/>
      <c r="E12" s="302">
        <f>E11</f>
        <v>0.06897</v>
      </c>
      <c r="F12" s="41">
        <f>((C12+D12)*E12/360*B12)</f>
        <v>21618263.333333336</v>
      </c>
      <c r="G12" s="41"/>
      <c r="H12" s="91"/>
      <c r="I12" s="91"/>
      <c r="J12" s="231"/>
    </row>
    <row r="13" spans="1:10" ht="12.75">
      <c r="A13" s="547">
        <v>39994</v>
      </c>
      <c r="B13" s="548"/>
      <c r="C13" s="155">
        <v>1640000000</v>
      </c>
      <c r="D13" s="41"/>
      <c r="E13" s="302"/>
      <c r="F13" s="41"/>
      <c r="G13" s="41"/>
      <c r="H13" s="91"/>
      <c r="I13" s="91"/>
      <c r="J13" s="231"/>
    </row>
    <row r="14" spans="1:10" ht="12.75">
      <c r="A14" s="90">
        <v>40086</v>
      </c>
      <c r="B14" s="215">
        <f>A14-A13</f>
        <v>92</v>
      </c>
      <c r="C14" s="41">
        <f>C13-D14</f>
        <v>1640000000</v>
      </c>
      <c r="D14" s="41"/>
      <c r="E14" s="302">
        <f>E12</f>
        <v>0.06897</v>
      </c>
      <c r="F14" s="41">
        <f>((C13+D13)*E14/360*B14)</f>
        <v>28906093.333333336</v>
      </c>
      <c r="G14" s="41"/>
      <c r="H14" s="91"/>
      <c r="I14" s="91"/>
      <c r="J14" s="231"/>
    </row>
    <row r="15" spans="1:10" ht="12.75">
      <c r="A15" s="547">
        <v>40086</v>
      </c>
      <c r="B15" s="215"/>
      <c r="C15" s="155">
        <v>2040000000</v>
      </c>
      <c r="D15" s="107"/>
      <c r="E15" s="305"/>
      <c r="F15" s="107"/>
      <c r="G15" s="107"/>
      <c r="H15" s="108"/>
      <c r="I15" s="108"/>
      <c r="J15" s="251"/>
    </row>
    <row r="16" spans="1:10" ht="12.75">
      <c r="A16" s="528">
        <v>40176</v>
      </c>
      <c r="B16" s="215">
        <f>A16-A15</f>
        <v>90</v>
      </c>
      <c r="C16" s="549">
        <v>2440000000</v>
      </c>
      <c r="D16" s="107"/>
      <c r="E16" s="305"/>
      <c r="F16" s="107"/>
      <c r="G16" s="107"/>
      <c r="H16" s="108"/>
      <c r="I16" s="108"/>
      <c r="J16" s="251"/>
    </row>
    <row r="17" spans="1:10" ht="12.75">
      <c r="A17" s="97">
        <v>40178</v>
      </c>
      <c r="B17" s="215">
        <f>A17-A16</f>
        <v>2</v>
      </c>
      <c r="C17" s="99">
        <f>C16-D17</f>
        <v>2440000000</v>
      </c>
      <c r="D17" s="99"/>
      <c r="E17" s="303">
        <f>E14</f>
        <v>0.06897</v>
      </c>
      <c r="F17" s="99">
        <f>((C15+D15)*E17/360*B16)+((C17+D17)*E17/360*B17)</f>
        <v>36109626.666666664</v>
      </c>
      <c r="G17" s="99"/>
      <c r="H17" s="300">
        <f>SUM(F11:G17)</f>
        <v>108014683.33333334</v>
      </c>
      <c r="I17" s="300">
        <f>SUM(D11:D17)</f>
        <v>0</v>
      </c>
      <c r="J17" s="301">
        <f>SUM(H17:I17)</f>
        <v>108014683.33333334</v>
      </c>
    </row>
    <row r="18" spans="1:10" ht="12.75">
      <c r="A18" s="103">
        <v>40268</v>
      </c>
      <c r="B18" s="435">
        <f t="shared" si="0"/>
        <v>90</v>
      </c>
      <c r="C18" s="42">
        <f t="shared" si="1"/>
        <v>2440000000</v>
      </c>
      <c r="D18" s="42"/>
      <c r="E18" s="304">
        <f t="shared" si="2"/>
        <v>0.06897</v>
      </c>
      <c r="F18" s="42">
        <f>((C18+D18)*E18/360*B18)</f>
        <v>42071700</v>
      </c>
      <c r="G18" s="41">
        <f>ROUND(D3/(((D2+D4)*4)-6),0)</f>
        <v>54655</v>
      </c>
      <c r="H18" s="104"/>
      <c r="I18" s="104"/>
      <c r="J18" s="242"/>
    </row>
    <row r="19" spans="1:10" ht="12.75">
      <c r="A19" s="90">
        <v>40359</v>
      </c>
      <c r="B19" s="215">
        <f t="shared" si="0"/>
        <v>91</v>
      </c>
      <c r="C19" s="41">
        <f t="shared" si="1"/>
        <v>2440000000</v>
      </c>
      <c r="D19" s="41"/>
      <c r="E19" s="302">
        <f t="shared" si="2"/>
        <v>0.06897</v>
      </c>
      <c r="F19" s="41">
        <f>((C19+D19)*E19/360*B19)</f>
        <v>42539163.33333333</v>
      </c>
      <c r="G19" s="41">
        <f>G18</f>
        <v>54655</v>
      </c>
      <c r="H19" s="91"/>
      <c r="I19" s="91"/>
      <c r="J19" s="231"/>
    </row>
    <row r="20" spans="1:10" ht="12.75">
      <c r="A20" s="547">
        <v>40359</v>
      </c>
      <c r="B20" s="548"/>
      <c r="C20" s="93">
        <v>2840000000</v>
      </c>
      <c r="D20" s="41"/>
      <c r="E20" s="302"/>
      <c r="F20" s="41"/>
      <c r="G20" s="41"/>
      <c r="H20" s="91"/>
      <c r="I20" s="91"/>
      <c r="J20" s="231"/>
    </row>
    <row r="21" spans="1:10" ht="12.75">
      <c r="A21" s="90">
        <v>40451</v>
      </c>
      <c r="B21" s="215">
        <f>A21-A20</f>
        <v>92</v>
      </c>
      <c r="C21" s="41">
        <f>C20-D21</f>
        <v>2840000000</v>
      </c>
      <c r="D21" s="41"/>
      <c r="E21" s="302">
        <f>E19</f>
        <v>0.06897</v>
      </c>
      <c r="F21" s="41">
        <f>((C21+D21)*E21/360*B21)</f>
        <v>50056893.33333333</v>
      </c>
      <c r="G21" s="41">
        <f>G19</f>
        <v>54655</v>
      </c>
      <c r="H21" s="91"/>
      <c r="I21" s="91"/>
      <c r="J21" s="231"/>
    </row>
    <row r="22" spans="1:10" ht="12.75">
      <c r="A22" s="547">
        <v>40451</v>
      </c>
      <c r="B22" s="215"/>
      <c r="C22" s="155">
        <v>3240000000</v>
      </c>
      <c r="D22" s="107"/>
      <c r="E22" s="305"/>
      <c r="F22" s="107"/>
      <c r="G22" s="107"/>
      <c r="H22" s="108"/>
      <c r="I22" s="108"/>
      <c r="J22" s="251"/>
    </row>
    <row r="23" spans="1:10" ht="12.75">
      <c r="A23" s="528">
        <v>40541</v>
      </c>
      <c r="B23" s="215">
        <f>A23-A22</f>
        <v>90</v>
      </c>
      <c r="C23" s="549">
        <v>3640000000</v>
      </c>
      <c r="D23" s="107"/>
      <c r="E23" s="305"/>
      <c r="F23" s="107"/>
      <c r="G23" s="107"/>
      <c r="H23" s="108"/>
      <c r="I23" s="108"/>
      <c r="J23" s="251"/>
    </row>
    <row r="24" spans="1:10" ht="12.75">
      <c r="A24" s="97">
        <v>40543</v>
      </c>
      <c r="B24" s="215">
        <f>A24-A23</f>
        <v>2</v>
      </c>
      <c r="C24" s="99">
        <f>C23-D24</f>
        <v>3640000000</v>
      </c>
      <c r="D24" s="99"/>
      <c r="E24" s="303">
        <f>E21</f>
        <v>0.06897</v>
      </c>
      <c r="F24" s="99">
        <f>((C22+D22)*E24/360*B23)+((C24+D24)*E24/360*B24)</f>
        <v>57260426.666666664</v>
      </c>
      <c r="G24" s="99">
        <f>G21</f>
        <v>54655</v>
      </c>
      <c r="H24" s="300">
        <f>SUM(F18:G24)</f>
        <v>192146803.3333333</v>
      </c>
      <c r="I24" s="300">
        <f>SUM(D18:D24)</f>
        <v>0</v>
      </c>
      <c r="J24" s="301">
        <f>SUM(H24:I24)</f>
        <v>192146803.3333333</v>
      </c>
    </row>
    <row r="25" spans="1:10" ht="12.75">
      <c r="A25" s="103">
        <v>40633</v>
      </c>
      <c r="B25" s="435">
        <f t="shared" si="0"/>
        <v>90</v>
      </c>
      <c r="C25" s="42">
        <f t="shared" si="1"/>
        <v>3640000000</v>
      </c>
      <c r="D25" s="42"/>
      <c r="E25" s="304">
        <f t="shared" si="2"/>
        <v>0.06897</v>
      </c>
      <c r="F25" s="42">
        <f>((C25+D25)*E25/360*B25)</f>
        <v>62762700</v>
      </c>
      <c r="G25" s="42">
        <f aca="true" t="shared" si="3" ref="G25:G77">G24</f>
        <v>54655</v>
      </c>
      <c r="H25" s="104"/>
      <c r="I25" s="104"/>
      <c r="J25" s="242"/>
    </row>
    <row r="26" spans="1:10" ht="12.75">
      <c r="A26" s="90">
        <v>40724</v>
      </c>
      <c r="B26" s="215">
        <f t="shared" si="0"/>
        <v>91</v>
      </c>
      <c r="C26" s="41">
        <f t="shared" si="1"/>
        <v>3640000000</v>
      </c>
      <c r="D26" s="41"/>
      <c r="E26" s="302">
        <f t="shared" si="2"/>
        <v>0.06897</v>
      </c>
      <c r="F26" s="41">
        <f>((C26+D26)*E26/360*B26)</f>
        <v>63460063.333333336</v>
      </c>
      <c r="G26" s="41">
        <f t="shared" si="3"/>
        <v>54655</v>
      </c>
      <c r="H26" s="91"/>
      <c r="I26" s="91"/>
      <c r="J26" s="231"/>
    </row>
    <row r="27" spans="1:10" ht="12.75">
      <c r="A27" s="90">
        <v>40816</v>
      </c>
      <c r="B27" s="215">
        <f t="shared" si="0"/>
        <v>92</v>
      </c>
      <c r="C27" s="41">
        <f t="shared" si="1"/>
        <v>3586470588</v>
      </c>
      <c r="D27" s="41">
        <v>53529412</v>
      </c>
      <c r="E27" s="302">
        <f t="shared" si="2"/>
        <v>0.06897</v>
      </c>
      <c r="F27" s="41">
        <f>((C27+D27)*E27/360*B27)</f>
        <v>64157426.66666667</v>
      </c>
      <c r="G27" s="41">
        <f t="shared" si="3"/>
        <v>54655</v>
      </c>
      <c r="H27" s="91"/>
      <c r="I27" s="91"/>
      <c r="J27" s="231"/>
    </row>
    <row r="28" spans="1:10" ht="12.75">
      <c r="A28" s="97">
        <v>40908</v>
      </c>
      <c r="B28" s="187">
        <f t="shared" si="0"/>
        <v>92</v>
      </c>
      <c r="C28" s="99">
        <f t="shared" si="1"/>
        <v>3532941176</v>
      </c>
      <c r="D28" s="99">
        <f aca="true" t="shared" si="4" ref="D28:D43">D27</f>
        <v>53529412</v>
      </c>
      <c r="E28" s="303">
        <f t="shared" si="2"/>
        <v>0.06897</v>
      </c>
      <c r="F28" s="99">
        <f>((C28+D28)*E28/360*B28)</f>
        <v>63213935.093892</v>
      </c>
      <c r="G28" s="99">
        <f t="shared" si="3"/>
        <v>54655</v>
      </c>
      <c r="H28" s="300">
        <f>SUM(F25:G28)</f>
        <v>253812745.093892</v>
      </c>
      <c r="I28" s="300">
        <f>SUM(D25:D28)</f>
        <v>107058824</v>
      </c>
      <c r="J28" s="301">
        <f>SUM(H28:I28)</f>
        <v>360871569.093892</v>
      </c>
    </row>
    <row r="29" spans="1:10" ht="12.75">
      <c r="A29" s="103">
        <v>40999</v>
      </c>
      <c r="B29" s="435">
        <f t="shared" si="0"/>
        <v>91</v>
      </c>
      <c r="C29" s="42">
        <f t="shared" si="1"/>
        <v>3479411764</v>
      </c>
      <c r="D29" s="42">
        <f t="shared" si="4"/>
        <v>53529412</v>
      </c>
      <c r="E29" s="304">
        <f t="shared" si="2"/>
        <v>0.06897</v>
      </c>
      <c r="F29" s="42">
        <f aca="true" t="shared" si="5" ref="F29:F88">((C29+D29)*E29/360*B29)</f>
        <v>61593590.87414867</v>
      </c>
      <c r="G29" s="42">
        <f t="shared" si="3"/>
        <v>54655</v>
      </c>
      <c r="H29" s="104"/>
      <c r="I29" s="104"/>
      <c r="J29" s="242"/>
    </row>
    <row r="30" spans="1:10" ht="12.75">
      <c r="A30" s="90">
        <v>41090</v>
      </c>
      <c r="B30" s="215">
        <f t="shared" si="0"/>
        <v>91</v>
      </c>
      <c r="C30" s="41">
        <f t="shared" si="1"/>
        <v>3425882352</v>
      </c>
      <c r="D30" s="41">
        <f t="shared" si="4"/>
        <v>53529412</v>
      </c>
      <c r="E30" s="302">
        <f t="shared" si="2"/>
        <v>0.06897</v>
      </c>
      <c r="F30" s="41">
        <f t="shared" si="5"/>
        <v>60660354.64455634</v>
      </c>
      <c r="G30" s="41">
        <f t="shared" si="3"/>
        <v>54655</v>
      </c>
      <c r="H30" s="91"/>
      <c r="I30" s="91"/>
      <c r="J30" s="231"/>
    </row>
    <row r="31" spans="1:10" ht="12.75">
      <c r="A31" s="90">
        <v>41182</v>
      </c>
      <c r="B31" s="215">
        <f t="shared" si="0"/>
        <v>92</v>
      </c>
      <c r="C31" s="41">
        <f t="shared" si="1"/>
        <v>3372352940</v>
      </c>
      <c r="D31" s="41">
        <f t="shared" si="4"/>
        <v>53529412</v>
      </c>
      <c r="E31" s="302">
        <f t="shared" si="2"/>
        <v>0.06897</v>
      </c>
      <c r="F31" s="41">
        <f t="shared" si="5"/>
        <v>60383460.375568</v>
      </c>
      <c r="G31" s="41">
        <f t="shared" si="3"/>
        <v>54655</v>
      </c>
      <c r="H31" s="91"/>
      <c r="I31" s="91"/>
      <c r="J31" s="231"/>
    </row>
    <row r="32" spans="1:10" ht="12.75">
      <c r="A32" s="97">
        <v>41274</v>
      </c>
      <c r="B32" s="187">
        <f t="shared" si="0"/>
        <v>92</v>
      </c>
      <c r="C32" s="99">
        <f t="shared" si="1"/>
        <v>3318823528</v>
      </c>
      <c r="D32" s="99">
        <f t="shared" si="4"/>
        <v>53529412</v>
      </c>
      <c r="E32" s="303">
        <f t="shared" si="2"/>
        <v>0.06897</v>
      </c>
      <c r="F32" s="99">
        <f t="shared" si="5"/>
        <v>59439968.80279334</v>
      </c>
      <c r="G32" s="99">
        <f t="shared" si="3"/>
        <v>54655</v>
      </c>
      <c r="H32" s="300">
        <f>SUM(F29:G32)</f>
        <v>242295994.69706637</v>
      </c>
      <c r="I32" s="300">
        <f>SUM(D29:D32)</f>
        <v>214117648</v>
      </c>
      <c r="J32" s="301">
        <f>SUM(H32:I32)</f>
        <v>456413642.69706637</v>
      </c>
    </row>
    <row r="33" spans="1:10" ht="12.75">
      <c r="A33" s="103">
        <v>41364</v>
      </c>
      <c r="B33" s="435">
        <f t="shared" si="0"/>
        <v>90</v>
      </c>
      <c r="C33" s="42">
        <f t="shared" si="1"/>
        <v>3265294116</v>
      </c>
      <c r="D33" s="42">
        <f t="shared" si="4"/>
        <v>53529412</v>
      </c>
      <c r="E33" s="304">
        <f t="shared" si="2"/>
        <v>0.06897</v>
      </c>
      <c r="F33" s="42">
        <f t="shared" si="5"/>
        <v>57224814.68154</v>
      </c>
      <c r="G33" s="42">
        <f t="shared" si="3"/>
        <v>54655</v>
      </c>
      <c r="H33" s="104"/>
      <c r="I33" s="104"/>
      <c r="J33" s="242"/>
    </row>
    <row r="34" spans="1:10" ht="12.75">
      <c r="A34" s="90">
        <v>41455</v>
      </c>
      <c r="B34" s="215">
        <f t="shared" si="0"/>
        <v>91</v>
      </c>
      <c r="C34" s="41">
        <f t="shared" si="1"/>
        <v>3211764704</v>
      </c>
      <c r="D34" s="41">
        <f t="shared" si="4"/>
        <v>53529412</v>
      </c>
      <c r="E34" s="302">
        <f t="shared" si="2"/>
        <v>0.06897</v>
      </c>
      <c r="F34" s="41">
        <f t="shared" si="5"/>
        <v>56927409.726187</v>
      </c>
      <c r="G34" s="41">
        <f t="shared" si="3"/>
        <v>54655</v>
      </c>
      <c r="H34" s="91"/>
      <c r="I34" s="91"/>
      <c r="J34" s="231"/>
    </row>
    <row r="35" spans="1:10" ht="12.75">
      <c r="A35" s="90">
        <v>41547</v>
      </c>
      <c r="B35" s="215">
        <f t="shared" si="0"/>
        <v>92</v>
      </c>
      <c r="C35" s="41">
        <f t="shared" si="1"/>
        <v>3158235292</v>
      </c>
      <c r="D35" s="41">
        <f t="shared" si="4"/>
        <v>53529412</v>
      </c>
      <c r="E35" s="302">
        <f t="shared" si="2"/>
        <v>0.06897</v>
      </c>
      <c r="F35" s="41">
        <f t="shared" si="5"/>
        <v>56609494.08446933</v>
      </c>
      <c r="G35" s="41">
        <f t="shared" si="3"/>
        <v>54655</v>
      </c>
      <c r="H35" s="91"/>
      <c r="I35" s="91"/>
      <c r="J35" s="231"/>
    </row>
    <row r="36" spans="1:10" ht="12.75">
      <c r="A36" s="97">
        <v>41639</v>
      </c>
      <c r="B36" s="187">
        <f t="shared" si="0"/>
        <v>92</v>
      </c>
      <c r="C36" s="99">
        <f t="shared" si="1"/>
        <v>3104705880</v>
      </c>
      <c r="D36" s="99">
        <f t="shared" si="4"/>
        <v>53529412</v>
      </c>
      <c r="E36" s="303">
        <f t="shared" si="2"/>
        <v>0.06897</v>
      </c>
      <c r="F36" s="99">
        <f t="shared" si="5"/>
        <v>55666002.51169467</v>
      </c>
      <c r="G36" s="99">
        <f t="shared" si="3"/>
        <v>54655</v>
      </c>
      <c r="H36" s="300">
        <f>SUM(F33:G36)</f>
        <v>226646341.003891</v>
      </c>
      <c r="I36" s="300">
        <f>SUM(D33:D36)</f>
        <v>214117648</v>
      </c>
      <c r="J36" s="301">
        <f>SUM(H36:I36)</f>
        <v>440763989.003891</v>
      </c>
    </row>
    <row r="37" spans="1:10" ht="12.75">
      <c r="A37" s="103">
        <v>41729</v>
      </c>
      <c r="B37" s="435">
        <f t="shared" si="0"/>
        <v>90</v>
      </c>
      <c r="C37" s="42">
        <f t="shared" si="1"/>
        <v>3051176468</v>
      </c>
      <c r="D37" s="42">
        <f t="shared" si="4"/>
        <v>53529412</v>
      </c>
      <c r="E37" s="304">
        <f t="shared" si="2"/>
        <v>0.06897</v>
      </c>
      <c r="F37" s="42">
        <f t="shared" si="5"/>
        <v>53532891.13590001</v>
      </c>
      <c r="G37" s="42">
        <f t="shared" si="3"/>
        <v>54655</v>
      </c>
      <c r="H37" s="104"/>
      <c r="I37" s="104"/>
      <c r="J37" s="242"/>
    </row>
    <row r="38" spans="1:10" ht="12.75">
      <c r="A38" s="90">
        <v>41820</v>
      </c>
      <c r="B38" s="215">
        <f t="shared" si="0"/>
        <v>91</v>
      </c>
      <c r="C38" s="41">
        <f t="shared" si="1"/>
        <v>2997647056</v>
      </c>
      <c r="D38" s="41">
        <f t="shared" si="4"/>
        <v>53529412</v>
      </c>
      <c r="E38" s="302">
        <f t="shared" si="2"/>
        <v>0.06897</v>
      </c>
      <c r="F38" s="41">
        <f t="shared" si="5"/>
        <v>53194464.80781767</v>
      </c>
      <c r="G38" s="41">
        <f t="shared" si="3"/>
        <v>54655</v>
      </c>
      <c r="H38" s="91"/>
      <c r="I38" s="91"/>
      <c r="J38" s="231"/>
    </row>
    <row r="39" spans="1:10" ht="12.75">
      <c r="A39" s="90">
        <v>41912</v>
      </c>
      <c r="B39" s="215">
        <f t="shared" si="0"/>
        <v>92</v>
      </c>
      <c r="C39" s="41">
        <f t="shared" si="1"/>
        <v>2944117644</v>
      </c>
      <c r="D39" s="41">
        <f t="shared" si="4"/>
        <v>53529412</v>
      </c>
      <c r="E39" s="302">
        <f t="shared" si="2"/>
        <v>0.06897</v>
      </c>
      <c r="F39" s="41">
        <f t="shared" si="5"/>
        <v>52835527.793370664</v>
      </c>
      <c r="G39" s="41">
        <f t="shared" si="3"/>
        <v>54655</v>
      </c>
      <c r="H39" s="91"/>
      <c r="I39" s="91"/>
      <c r="J39" s="231"/>
    </row>
    <row r="40" spans="1:10" ht="12.75">
      <c r="A40" s="97">
        <v>42004</v>
      </c>
      <c r="B40" s="187">
        <f t="shared" si="0"/>
        <v>92</v>
      </c>
      <c r="C40" s="99">
        <f t="shared" si="1"/>
        <v>2890588232</v>
      </c>
      <c r="D40" s="99">
        <f t="shared" si="4"/>
        <v>53529412</v>
      </c>
      <c r="E40" s="303">
        <f t="shared" si="2"/>
        <v>0.06897</v>
      </c>
      <c r="F40" s="99">
        <f t="shared" si="5"/>
        <v>51892036.220596</v>
      </c>
      <c r="G40" s="99">
        <f t="shared" si="3"/>
        <v>54655</v>
      </c>
      <c r="H40" s="300">
        <f>SUM(F37:G40)</f>
        <v>211673539.95768434</v>
      </c>
      <c r="I40" s="300">
        <f>SUM(D37:D40)</f>
        <v>214117648</v>
      </c>
      <c r="J40" s="301">
        <f>SUM(H40:I40)</f>
        <v>425791187.95768434</v>
      </c>
    </row>
    <row r="41" spans="1:10" ht="12.75">
      <c r="A41" s="103">
        <v>42094</v>
      </c>
      <c r="B41" s="435">
        <f t="shared" si="0"/>
        <v>90</v>
      </c>
      <c r="C41" s="42">
        <f t="shared" si="1"/>
        <v>2837058820</v>
      </c>
      <c r="D41" s="42">
        <f t="shared" si="4"/>
        <v>53529412</v>
      </c>
      <c r="E41" s="304">
        <f t="shared" si="2"/>
        <v>0.06897</v>
      </c>
      <c r="F41" s="42">
        <f t="shared" si="5"/>
        <v>49840967.59026</v>
      </c>
      <c r="G41" s="42">
        <f t="shared" si="3"/>
        <v>54655</v>
      </c>
      <c r="H41" s="104"/>
      <c r="I41" s="104"/>
      <c r="J41" s="242"/>
    </row>
    <row r="42" spans="1:10" ht="12.75">
      <c r="A42" s="90">
        <v>42185</v>
      </c>
      <c r="B42" s="215">
        <f t="shared" si="0"/>
        <v>91</v>
      </c>
      <c r="C42" s="41">
        <f t="shared" si="1"/>
        <v>2783529408</v>
      </c>
      <c r="D42" s="41">
        <f t="shared" si="4"/>
        <v>53529412</v>
      </c>
      <c r="E42" s="302">
        <f t="shared" si="2"/>
        <v>0.06897</v>
      </c>
      <c r="F42" s="41">
        <f t="shared" si="5"/>
        <v>49461519.88944834</v>
      </c>
      <c r="G42" s="41">
        <f t="shared" si="3"/>
        <v>54655</v>
      </c>
      <c r="H42" s="91"/>
      <c r="I42" s="91"/>
      <c r="J42" s="231"/>
    </row>
    <row r="43" spans="1:10" ht="12.75">
      <c r="A43" s="90">
        <v>42277</v>
      </c>
      <c r="B43" s="215">
        <f t="shared" si="0"/>
        <v>92</v>
      </c>
      <c r="C43" s="41">
        <f t="shared" si="1"/>
        <v>2729999996</v>
      </c>
      <c r="D43" s="41">
        <f t="shared" si="4"/>
        <v>53529412</v>
      </c>
      <c r="E43" s="302">
        <f t="shared" si="2"/>
        <v>0.06897</v>
      </c>
      <c r="F43" s="41">
        <f t="shared" si="5"/>
        <v>49061561.50227201</v>
      </c>
      <c r="G43" s="41">
        <f t="shared" si="3"/>
        <v>54655</v>
      </c>
      <c r="H43" s="91"/>
      <c r="I43" s="91"/>
      <c r="J43" s="231"/>
    </row>
    <row r="44" spans="1:10" ht="12.75">
      <c r="A44" s="97">
        <v>42369</v>
      </c>
      <c r="B44" s="187">
        <f t="shared" si="0"/>
        <v>92</v>
      </c>
      <c r="C44" s="99">
        <f t="shared" si="1"/>
        <v>2676470584</v>
      </c>
      <c r="D44" s="99">
        <f aca="true" t="shared" si="6" ref="D44:D59">D43</f>
        <v>53529412</v>
      </c>
      <c r="E44" s="303">
        <f t="shared" si="2"/>
        <v>0.06897</v>
      </c>
      <c r="F44" s="99">
        <f t="shared" si="5"/>
        <v>48118069.92949734</v>
      </c>
      <c r="G44" s="99">
        <f t="shared" si="3"/>
        <v>54655</v>
      </c>
      <c r="H44" s="300">
        <f>SUM(F41:G44)</f>
        <v>196700738.91147768</v>
      </c>
      <c r="I44" s="300">
        <f>SUM(D41:D44)</f>
        <v>214117648</v>
      </c>
      <c r="J44" s="301">
        <f>SUM(H44:I44)</f>
        <v>410818386.9114777</v>
      </c>
    </row>
    <row r="45" spans="1:10" ht="12.75">
      <c r="A45" s="103">
        <v>42460</v>
      </c>
      <c r="B45" s="435">
        <f t="shared" si="0"/>
        <v>91</v>
      </c>
      <c r="C45" s="42">
        <f t="shared" si="1"/>
        <v>2622941172</v>
      </c>
      <c r="D45" s="42">
        <f t="shared" si="6"/>
        <v>53529412</v>
      </c>
      <c r="E45" s="304">
        <f t="shared" si="2"/>
        <v>0.06897</v>
      </c>
      <c r="F45" s="42">
        <f t="shared" si="5"/>
        <v>46661811.20067134</v>
      </c>
      <c r="G45" s="42">
        <f t="shared" si="3"/>
        <v>54655</v>
      </c>
      <c r="H45" s="104"/>
      <c r="I45" s="104"/>
      <c r="J45" s="242"/>
    </row>
    <row r="46" spans="1:10" ht="12.75">
      <c r="A46" s="90">
        <v>42551</v>
      </c>
      <c r="B46" s="215">
        <f t="shared" si="0"/>
        <v>91</v>
      </c>
      <c r="C46" s="41">
        <f t="shared" si="1"/>
        <v>2569411760</v>
      </c>
      <c r="D46" s="41">
        <f t="shared" si="6"/>
        <v>53529412</v>
      </c>
      <c r="E46" s="302">
        <f t="shared" si="2"/>
        <v>0.06897</v>
      </c>
      <c r="F46" s="41">
        <f t="shared" si="5"/>
        <v>45728574.971079</v>
      </c>
      <c r="G46" s="41">
        <f t="shared" si="3"/>
        <v>54655</v>
      </c>
      <c r="H46" s="91"/>
      <c r="I46" s="91"/>
      <c r="J46" s="231"/>
    </row>
    <row r="47" spans="1:10" ht="12.75">
      <c r="A47" s="90">
        <v>42643</v>
      </c>
      <c r="B47" s="215">
        <f t="shared" si="0"/>
        <v>92</v>
      </c>
      <c r="C47" s="41">
        <f t="shared" si="1"/>
        <v>2515882348</v>
      </c>
      <c r="D47" s="41">
        <f t="shared" si="6"/>
        <v>53529412</v>
      </c>
      <c r="E47" s="302">
        <f t="shared" si="2"/>
        <v>0.06897</v>
      </c>
      <c r="F47" s="41">
        <f t="shared" si="5"/>
        <v>45287595.21117334</v>
      </c>
      <c r="G47" s="41">
        <f t="shared" si="3"/>
        <v>54655</v>
      </c>
      <c r="H47" s="91"/>
      <c r="I47" s="91"/>
      <c r="J47" s="231"/>
    </row>
    <row r="48" spans="1:10" ht="12.75">
      <c r="A48" s="97">
        <v>42735</v>
      </c>
      <c r="B48" s="187">
        <f t="shared" si="0"/>
        <v>92</v>
      </c>
      <c r="C48" s="99">
        <f t="shared" si="1"/>
        <v>2462352936</v>
      </c>
      <c r="D48" s="99">
        <f t="shared" si="6"/>
        <v>53529412</v>
      </c>
      <c r="E48" s="303">
        <f t="shared" si="2"/>
        <v>0.06897</v>
      </c>
      <c r="F48" s="99">
        <f t="shared" si="5"/>
        <v>44344103.63839867</v>
      </c>
      <c r="G48" s="99">
        <f t="shared" si="3"/>
        <v>54655</v>
      </c>
      <c r="H48" s="300">
        <f>SUM(F45:G48)</f>
        <v>182240705.02132234</v>
      </c>
      <c r="I48" s="300">
        <f>SUM(D45:D48)</f>
        <v>214117648</v>
      </c>
      <c r="J48" s="301">
        <f>SUM(H48:I48)</f>
        <v>396358353.02132237</v>
      </c>
    </row>
    <row r="49" spans="1:10" ht="12.75">
      <c r="A49" s="103">
        <v>42825</v>
      </c>
      <c r="B49" s="435">
        <f t="shared" si="0"/>
        <v>90</v>
      </c>
      <c r="C49" s="42">
        <f t="shared" si="1"/>
        <v>2408823524</v>
      </c>
      <c r="D49" s="42">
        <f t="shared" si="6"/>
        <v>53529412</v>
      </c>
      <c r="E49" s="304">
        <f t="shared" si="2"/>
        <v>0.06897</v>
      </c>
      <c r="F49" s="42">
        <f t="shared" si="5"/>
        <v>42457120.49898</v>
      </c>
      <c r="G49" s="42">
        <f t="shared" si="3"/>
        <v>54655</v>
      </c>
      <c r="H49" s="104"/>
      <c r="I49" s="104"/>
      <c r="J49" s="242"/>
    </row>
    <row r="50" spans="1:10" ht="12.75">
      <c r="A50" s="90">
        <v>42916</v>
      </c>
      <c r="B50" s="215">
        <f t="shared" si="0"/>
        <v>91</v>
      </c>
      <c r="C50" s="41">
        <f t="shared" si="1"/>
        <v>2355294112</v>
      </c>
      <c r="D50" s="41">
        <f t="shared" si="6"/>
        <v>53529412</v>
      </c>
      <c r="E50" s="302">
        <f t="shared" si="2"/>
        <v>0.06897</v>
      </c>
      <c r="F50" s="41">
        <f t="shared" si="5"/>
        <v>41995630.05270967</v>
      </c>
      <c r="G50" s="41">
        <f t="shared" si="3"/>
        <v>54655</v>
      </c>
      <c r="H50" s="91"/>
      <c r="I50" s="91"/>
      <c r="J50" s="231"/>
    </row>
    <row r="51" spans="1:10" ht="12.75">
      <c r="A51" s="90">
        <v>43008</v>
      </c>
      <c r="B51" s="215">
        <f t="shared" si="0"/>
        <v>92</v>
      </c>
      <c r="C51" s="41">
        <f t="shared" si="1"/>
        <v>2301764700</v>
      </c>
      <c r="D51" s="41">
        <f t="shared" si="6"/>
        <v>53529412</v>
      </c>
      <c r="E51" s="302">
        <f t="shared" si="2"/>
        <v>0.06897</v>
      </c>
      <c r="F51" s="41">
        <f t="shared" si="5"/>
        <v>41513628.92007467</v>
      </c>
      <c r="G51" s="41">
        <f t="shared" si="3"/>
        <v>54655</v>
      </c>
      <c r="H51" s="91"/>
      <c r="I51" s="91"/>
      <c r="J51" s="231"/>
    </row>
    <row r="52" spans="1:10" ht="12.75">
      <c r="A52" s="97">
        <v>43100</v>
      </c>
      <c r="B52" s="187">
        <f t="shared" si="0"/>
        <v>92</v>
      </c>
      <c r="C52" s="99">
        <f t="shared" si="1"/>
        <v>2248235288</v>
      </c>
      <c r="D52" s="99">
        <f t="shared" si="6"/>
        <v>53529412</v>
      </c>
      <c r="E52" s="303">
        <f t="shared" si="2"/>
        <v>0.06897</v>
      </c>
      <c r="F52" s="99">
        <f t="shared" si="5"/>
        <v>40570137.3473</v>
      </c>
      <c r="G52" s="99">
        <f t="shared" si="3"/>
        <v>54655</v>
      </c>
      <c r="H52" s="300">
        <f>SUM(F49:G52)</f>
        <v>166755136.81906435</v>
      </c>
      <c r="I52" s="300">
        <f>SUM(D49:D52)</f>
        <v>214117648</v>
      </c>
      <c r="J52" s="301">
        <f>SUM(H52:I52)</f>
        <v>380872784.8190644</v>
      </c>
    </row>
    <row r="53" spans="1:10" ht="12.75">
      <c r="A53" s="103">
        <v>43190</v>
      </c>
      <c r="B53" s="435">
        <f t="shared" si="0"/>
        <v>90</v>
      </c>
      <c r="C53" s="42">
        <f t="shared" si="1"/>
        <v>2194705876</v>
      </c>
      <c r="D53" s="42">
        <f t="shared" si="6"/>
        <v>53529412</v>
      </c>
      <c r="E53" s="304">
        <f t="shared" si="2"/>
        <v>0.06897</v>
      </c>
      <c r="F53" s="42">
        <f t="shared" si="5"/>
        <v>38765196.95334</v>
      </c>
      <c r="G53" s="42">
        <f t="shared" si="3"/>
        <v>54655</v>
      </c>
      <c r="H53" s="104"/>
      <c r="I53" s="104"/>
      <c r="J53" s="242"/>
    </row>
    <row r="54" spans="1:10" ht="12.75">
      <c r="A54" s="90">
        <v>43281</v>
      </c>
      <c r="B54" s="215">
        <f t="shared" si="0"/>
        <v>91</v>
      </c>
      <c r="C54" s="41">
        <f t="shared" si="1"/>
        <v>2141176464</v>
      </c>
      <c r="D54" s="41">
        <f t="shared" si="6"/>
        <v>53529412</v>
      </c>
      <c r="E54" s="302">
        <f t="shared" si="2"/>
        <v>0.06897</v>
      </c>
      <c r="F54" s="41">
        <f t="shared" si="5"/>
        <v>38262685.13434034</v>
      </c>
      <c r="G54" s="41">
        <f t="shared" si="3"/>
        <v>54655</v>
      </c>
      <c r="H54" s="91"/>
      <c r="I54" s="91"/>
      <c r="J54" s="231"/>
    </row>
    <row r="55" spans="1:10" ht="12.75">
      <c r="A55" s="90">
        <v>43373</v>
      </c>
      <c r="B55" s="215">
        <f t="shared" si="0"/>
        <v>92</v>
      </c>
      <c r="C55" s="41">
        <f t="shared" si="1"/>
        <v>2087647052</v>
      </c>
      <c r="D55" s="41">
        <f t="shared" si="6"/>
        <v>53529412</v>
      </c>
      <c r="E55" s="302">
        <f t="shared" si="2"/>
        <v>0.06897</v>
      </c>
      <c r="F55" s="41">
        <f t="shared" si="5"/>
        <v>37739662.628976</v>
      </c>
      <c r="G55" s="41">
        <f t="shared" si="3"/>
        <v>54655</v>
      </c>
      <c r="H55" s="91"/>
      <c r="I55" s="91"/>
      <c r="J55" s="231"/>
    </row>
    <row r="56" spans="1:10" ht="12.75">
      <c r="A56" s="97">
        <v>43465</v>
      </c>
      <c r="B56" s="187">
        <f t="shared" si="0"/>
        <v>92</v>
      </c>
      <c r="C56" s="99">
        <f t="shared" si="1"/>
        <v>2034117640</v>
      </c>
      <c r="D56" s="99">
        <f t="shared" si="6"/>
        <v>53529412</v>
      </c>
      <c r="E56" s="303">
        <f t="shared" si="2"/>
        <v>0.06897</v>
      </c>
      <c r="F56" s="99">
        <f t="shared" si="5"/>
        <v>36796171.05620133</v>
      </c>
      <c r="G56" s="99">
        <f t="shared" si="3"/>
        <v>54655</v>
      </c>
      <c r="H56" s="300">
        <f>SUM(F53:G56)</f>
        <v>151782335.77285767</v>
      </c>
      <c r="I56" s="300">
        <f>SUM(D53:D56)</f>
        <v>214117648</v>
      </c>
      <c r="J56" s="301">
        <f>SUM(H56:I56)</f>
        <v>365899983.77285767</v>
      </c>
    </row>
    <row r="57" spans="1:10" ht="12.75">
      <c r="A57" s="103">
        <v>43555</v>
      </c>
      <c r="B57" s="435">
        <f t="shared" si="0"/>
        <v>90</v>
      </c>
      <c r="C57" s="42">
        <f t="shared" si="1"/>
        <v>1980588228</v>
      </c>
      <c r="D57" s="42">
        <f t="shared" si="6"/>
        <v>53529412</v>
      </c>
      <c r="E57" s="304">
        <f t="shared" si="2"/>
        <v>0.06897</v>
      </c>
      <c r="F57" s="42">
        <f t="shared" si="5"/>
        <v>35073273.4077</v>
      </c>
      <c r="G57" s="42">
        <f t="shared" si="3"/>
        <v>54655</v>
      </c>
      <c r="H57" s="104"/>
      <c r="I57" s="104"/>
      <c r="J57" s="242"/>
    </row>
    <row r="58" spans="1:10" ht="12.75">
      <c r="A58" s="90">
        <v>43646</v>
      </c>
      <c r="B58" s="215">
        <f t="shared" si="0"/>
        <v>91</v>
      </c>
      <c r="C58" s="41">
        <f t="shared" si="1"/>
        <v>1927058816</v>
      </c>
      <c r="D58" s="41">
        <f t="shared" si="6"/>
        <v>53529412</v>
      </c>
      <c r="E58" s="302">
        <f t="shared" si="2"/>
        <v>0.06897</v>
      </c>
      <c r="F58" s="41">
        <f t="shared" si="5"/>
        <v>34529740.215971</v>
      </c>
      <c r="G58" s="41">
        <f t="shared" si="3"/>
        <v>54655</v>
      </c>
      <c r="H58" s="91"/>
      <c r="I58" s="91"/>
      <c r="J58" s="231"/>
    </row>
    <row r="59" spans="1:10" ht="12.75">
      <c r="A59" s="90">
        <v>43738</v>
      </c>
      <c r="B59" s="215">
        <f t="shared" si="0"/>
        <v>92</v>
      </c>
      <c r="C59" s="41">
        <f t="shared" si="1"/>
        <v>1873529404</v>
      </c>
      <c r="D59" s="41">
        <f t="shared" si="6"/>
        <v>53529412</v>
      </c>
      <c r="E59" s="302">
        <f t="shared" si="2"/>
        <v>0.06897</v>
      </c>
      <c r="F59" s="41">
        <f t="shared" si="5"/>
        <v>33965696.33787733</v>
      </c>
      <c r="G59" s="41">
        <f t="shared" si="3"/>
        <v>54655</v>
      </c>
      <c r="H59" s="91"/>
      <c r="I59" s="91"/>
      <c r="J59" s="231"/>
    </row>
    <row r="60" spans="1:10" ht="12.75">
      <c r="A60" s="97">
        <v>43830</v>
      </c>
      <c r="B60" s="187">
        <f t="shared" si="0"/>
        <v>92</v>
      </c>
      <c r="C60" s="99">
        <f t="shared" si="1"/>
        <v>1819999992</v>
      </c>
      <c r="D60" s="99">
        <f aca="true" t="shared" si="7" ref="D60:D75">D59</f>
        <v>53529412</v>
      </c>
      <c r="E60" s="303">
        <f t="shared" si="2"/>
        <v>0.06897</v>
      </c>
      <c r="F60" s="99">
        <f t="shared" si="5"/>
        <v>33022204.76510267</v>
      </c>
      <c r="G60" s="99">
        <f t="shared" si="3"/>
        <v>54655</v>
      </c>
      <c r="H60" s="300">
        <f>SUM(F57:G60)</f>
        <v>136809534.726651</v>
      </c>
      <c r="I60" s="300">
        <f>SUM(D57:D60)</f>
        <v>214117648</v>
      </c>
      <c r="J60" s="301">
        <f>SUM(H60:I60)</f>
        <v>350927182.726651</v>
      </c>
    </row>
    <row r="61" spans="1:10" ht="12.75">
      <c r="A61" s="103">
        <v>43921</v>
      </c>
      <c r="B61" s="435">
        <f t="shared" si="0"/>
        <v>91</v>
      </c>
      <c r="C61" s="42">
        <f t="shared" si="1"/>
        <v>1766470580</v>
      </c>
      <c r="D61" s="42">
        <f t="shared" si="7"/>
        <v>53529412</v>
      </c>
      <c r="E61" s="304">
        <f t="shared" si="2"/>
        <v>0.06897</v>
      </c>
      <c r="F61" s="42">
        <f t="shared" si="5"/>
        <v>31730031.527194</v>
      </c>
      <c r="G61" s="42">
        <f t="shared" si="3"/>
        <v>54655</v>
      </c>
      <c r="H61" s="104"/>
      <c r="I61" s="104"/>
      <c r="J61" s="242"/>
    </row>
    <row r="62" spans="1:10" ht="12.75">
      <c r="A62" s="90">
        <v>44012</v>
      </c>
      <c r="B62" s="215">
        <f t="shared" si="0"/>
        <v>91</v>
      </c>
      <c r="C62" s="41">
        <f t="shared" si="1"/>
        <v>1712941168</v>
      </c>
      <c r="D62" s="41">
        <f t="shared" si="7"/>
        <v>53529412</v>
      </c>
      <c r="E62" s="302">
        <f t="shared" si="2"/>
        <v>0.06897</v>
      </c>
      <c r="F62" s="41">
        <f t="shared" si="5"/>
        <v>30796795.297601666</v>
      </c>
      <c r="G62" s="41">
        <f t="shared" si="3"/>
        <v>54655</v>
      </c>
      <c r="H62" s="91"/>
      <c r="I62" s="91"/>
      <c r="J62" s="231"/>
    </row>
    <row r="63" spans="1:10" ht="12.75">
      <c r="A63" s="90">
        <v>44104</v>
      </c>
      <c r="B63" s="215">
        <f t="shared" si="0"/>
        <v>92</v>
      </c>
      <c r="C63" s="41">
        <f t="shared" si="1"/>
        <v>1659411756</v>
      </c>
      <c r="D63" s="41">
        <f t="shared" si="7"/>
        <v>53529412</v>
      </c>
      <c r="E63" s="302">
        <f t="shared" si="2"/>
        <v>0.06897</v>
      </c>
      <c r="F63" s="41">
        <f t="shared" si="5"/>
        <v>30191730.046778668</v>
      </c>
      <c r="G63" s="41">
        <f t="shared" si="3"/>
        <v>54655</v>
      </c>
      <c r="H63" s="91"/>
      <c r="I63" s="91"/>
      <c r="J63" s="231"/>
    </row>
    <row r="64" spans="1:10" ht="12.75">
      <c r="A64" s="97">
        <v>44196</v>
      </c>
      <c r="B64" s="187">
        <f t="shared" si="0"/>
        <v>92</v>
      </c>
      <c r="C64" s="99">
        <f t="shared" si="1"/>
        <v>1605882344</v>
      </c>
      <c r="D64" s="99">
        <f t="shared" si="7"/>
        <v>53529412</v>
      </c>
      <c r="E64" s="303">
        <f t="shared" si="2"/>
        <v>0.06897</v>
      </c>
      <c r="F64" s="99">
        <f t="shared" si="5"/>
        <v>29248238.474004</v>
      </c>
      <c r="G64" s="99">
        <f t="shared" si="3"/>
        <v>54655</v>
      </c>
      <c r="H64" s="300">
        <f>SUM(F61:G64)</f>
        <v>122185415.34557833</v>
      </c>
      <c r="I64" s="300">
        <f>SUM(D61:D64)</f>
        <v>214117648</v>
      </c>
      <c r="J64" s="301">
        <f>SUM(H64:I64)</f>
        <v>336303063.3455783</v>
      </c>
    </row>
    <row r="65" spans="1:10" ht="12.75">
      <c r="A65" s="103">
        <v>44286</v>
      </c>
      <c r="B65" s="435">
        <f t="shared" si="0"/>
        <v>90</v>
      </c>
      <c r="C65" s="42">
        <f t="shared" si="1"/>
        <v>1552352932</v>
      </c>
      <c r="D65" s="42">
        <f t="shared" si="7"/>
        <v>53529412</v>
      </c>
      <c r="E65" s="304">
        <f t="shared" si="2"/>
        <v>0.06897</v>
      </c>
      <c r="F65" s="42">
        <f t="shared" si="5"/>
        <v>27689426.31642</v>
      </c>
      <c r="G65" s="42">
        <f t="shared" si="3"/>
        <v>54655</v>
      </c>
      <c r="H65" s="104"/>
      <c r="I65" s="104"/>
      <c r="J65" s="242"/>
    </row>
    <row r="66" spans="1:10" ht="12.75">
      <c r="A66" s="90">
        <v>44377</v>
      </c>
      <c r="B66" s="215">
        <f t="shared" si="0"/>
        <v>91</v>
      </c>
      <c r="C66" s="41">
        <f t="shared" si="1"/>
        <v>1498823520</v>
      </c>
      <c r="D66" s="41">
        <f t="shared" si="7"/>
        <v>53529412</v>
      </c>
      <c r="E66" s="302">
        <f t="shared" si="2"/>
        <v>0.06897</v>
      </c>
      <c r="F66" s="41">
        <f t="shared" si="5"/>
        <v>27063850.379232336</v>
      </c>
      <c r="G66" s="41">
        <f t="shared" si="3"/>
        <v>54655</v>
      </c>
      <c r="H66" s="91"/>
      <c r="I66" s="91"/>
      <c r="J66" s="231"/>
    </row>
    <row r="67" spans="1:10" ht="12.75">
      <c r="A67" s="90">
        <v>44469</v>
      </c>
      <c r="B67" s="215">
        <f t="shared" si="0"/>
        <v>92</v>
      </c>
      <c r="C67" s="41">
        <f t="shared" si="1"/>
        <v>1445294108</v>
      </c>
      <c r="D67" s="41">
        <f t="shared" si="7"/>
        <v>53529412</v>
      </c>
      <c r="E67" s="302">
        <f t="shared" si="2"/>
        <v>0.06897</v>
      </c>
      <c r="F67" s="41">
        <f t="shared" si="5"/>
        <v>26417763.75568</v>
      </c>
      <c r="G67" s="41">
        <f t="shared" si="3"/>
        <v>54655</v>
      </c>
      <c r="H67" s="91"/>
      <c r="I67" s="91"/>
      <c r="J67" s="231"/>
    </row>
    <row r="68" spans="1:10" ht="12.75">
      <c r="A68" s="97">
        <v>44561</v>
      </c>
      <c r="B68" s="187">
        <f t="shared" si="0"/>
        <v>92</v>
      </c>
      <c r="C68" s="99">
        <f t="shared" si="1"/>
        <v>1391764696</v>
      </c>
      <c r="D68" s="99">
        <f t="shared" si="7"/>
        <v>53529412</v>
      </c>
      <c r="E68" s="303">
        <f t="shared" si="2"/>
        <v>0.06897</v>
      </c>
      <c r="F68" s="99">
        <f t="shared" si="5"/>
        <v>25474272.18290534</v>
      </c>
      <c r="G68" s="99">
        <f t="shared" si="3"/>
        <v>54655</v>
      </c>
      <c r="H68" s="300">
        <f>SUM(F65:G68)</f>
        <v>106863932.63423768</v>
      </c>
      <c r="I68" s="300">
        <f>SUM(D65:D68)</f>
        <v>214117648</v>
      </c>
      <c r="J68" s="301">
        <f>SUM(H68:I68)</f>
        <v>320981580.63423765</v>
      </c>
    </row>
    <row r="69" spans="1:10" ht="12.75">
      <c r="A69" s="103">
        <v>44651</v>
      </c>
      <c r="B69" s="435">
        <f t="shared" si="0"/>
        <v>90</v>
      </c>
      <c r="C69" s="42">
        <f t="shared" si="1"/>
        <v>1338235284</v>
      </c>
      <c r="D69" s="42">
        <f t="shared" si="7"/>
        <v>53529412</v>
      </c>
      <c r="E69" s="304">
        <f t="shared" si="2"/>
        <v>0.06897</v>
      </c>
      <c r="F69" s="42">
        <f t="shared" si="5"/>
        <v>23997502.770780005</v>
      </c>
      <c r="G69" s="42">
        <f t="shared" si="3"/>
        <v>54655</v>
      </c>
      <c r="H69" s="104"/>
      <c r="I69" s="104"/>
      <c r="J69" s="242"/>
    </row>
    <row r="70" spans="1:10" ht="12.75">
      <c r="A70" s="90">
        <v>44742</v>
      </c>
      <c r="B70" s="215">
        <f t="shared" si="0"/>
        <v>91</v>
      </c>
      <c r="C70" s="41">
        <f t="shared" si="1"/>
        <v>1284705872</v>
      </c>
      <c r="D70" s="41">
        <f t="shared" si="7"/>
        <v>53529412</v>
      </c>
      <c r="E70" s="302">
        <f t="shared" si="2"/>
        <v>0.06897</v>
      </c>
      <c r="F70" s="41">
        <f t="shared" si="5"/>
        <v>23330905.460863</v>
      </c>
      <c r="G70" s="41">
        <f t="shared" si="3"/>
        <v>54655</v>
      </c>
      <c r="H70" s="91"/>
      <c r="I70" s="91"/>
      <c r="J70" s="231"/>
    </row>
    <row r="71" spans="1:10" ht="12.75">
      <c r="A71" s="90">
        <v>44834</v>
      </c>
      <c r="B71" s="215">
        <f t="shared" si="0"/>
        <v>92</v>
      </c>
      <c r="C71" s="41">
        <f t="shared" si="1"/>
        <v>1231176460</v>
      </c>
      <c r="D71" s="41">
        <f t="shared" si="7"/>
        <v>53529412</v>
      </c>
      <c r="E71" s="302">
        <f t="shared" si="2"/>
        <v>0.06897</v>
      </c>
      <c r="F71" s="41">
        <f t="shared" si="5"/>
        <v>22643797.464581337</v>
      </c>
      <c r="G71" s="41">
        <f t="shared" si="3"/>
        <v>54655</v>
      </c>
      <c r="H71" s="91"/>
      <c r="I71" s="91"/>
      <c r="J71" s="231"/>
    </row>
    <row r="72" spans="1:10" ht="12.75">
      <c r="A72" s="97">
        <v>44926</v>
      </c>
      <c r="B72" s="187">
        <f t="shared" si="0"/>
        <v>92</v>
      </c>
      <c r="C72" s="99">
        <f t="shared" si="1"/>
        <v>1177647048</v>
      </c>
      <c r="D72" s="99">
        <f t="shared" si="7"/>
        <v>53529412</v>
      </c>
      <c r="E72" s="303">
        <f t="shared" si="2"/>
        <v>0.06897</v>
      </c>
      <c r="F72" s="99">
        <f t="shared" si="5"/>
        <v>21700305.891806666</v>
      </c>
      <c r="G72" s="99">
        <f t="shared" si="3"/>
        <v>54655</v>
      </c>
      <c r="H72" s="300">
        <f>SUM(F69:G72)</f>
        <v>91891131.58803101</v>
      </c>
      <c r="I72" s="300">
        <f>SUM(D69:D72)</f>
        <v>214117648</v>
      </c>
      <c r="J72" s="301">
        <f>SUM(H72:I72)</f>
        <v>306008779.588031</v>
      </c>
    </row>
    <row r="73" spans="1:10" ht="12.75">
      <c r="A73" s="103">
        <v>45016</v>
      </c>
      <c r="B73" s="435">
        <f t="shared" si="0"/>
        <v>90</v>
      </c>
      <c r="C73" s="42">
        <f t="shared" si="1"/>
        <v>1124117636</v>
      </c>
      <c r="D73" s="42">
        <f t="shared" si="7"/>
        <v>53529412</v>
      </c>
      <c r="E73" s="304">
        <f t="shared" si="2"/>
        <v>0.06897</v>
      </c>
      <c r="F73" s="42">
        <f t="shared" si="5"/>
        <v>20305579.22514</v>
      </c>
      <c r="G73" s="42">
        <f t="shared" si="3"/>
        <v>54655</v>
      </c>
      <c r="H73" s="104"/>
      <c r="I73" s="104"/>
      <c r="J73" s="242"/>
    </row>
    <row r="74" spans="1:10" ht="12.75">
      <c r="A74" s="90">
        <v>45107</v>
      </c>
      <c r="B74" s="215">
        <f t="shared" si="0"/>
        <v>91</v>
      </c>
      <c r="C74" s="41">
        <f t="shared" si="1"/>
        <v>1070588224</v>
      </c>
      <c r="D74" s="41">
        <f t="shared" si="7"/>
        <v>53529412</v>
      </c>
      <c r="E74" s="302">
        <f t="shared" si="2"/>
        <v>0.06897</v>
      </c>
      <c r="F74" s="41">
        <f t="shared" si="5"/>
        <v>19597960.542493667</v>
      </c>
      <c r="G74" s="41">
        <f t="shared" si="3"/>
        <v>54655</v>
      </c>
      <c r="H74" s="91"/>
      <c r="I74" s="91"/>
      <c r="J74" s="231"/>
    </row>
    <row r="75" spans="1:10" ht="12.75">
      <c r="A75" s="90">
        <v>45199</v>
      </c>
      <c r="B75" s="215">
        <f t="shared" si="0"/>
        <v>92</v>
      </c>
      <c r="C75" s="41">
        <f t="shared" si="1"/>
        <v>1017058812</v>
      </c>
      <c r="D75" s="41">
        <f t="shared" si="7"/>
        <v>53529412</v>
      </c>
      <c r="E75" s="302">
        <f t="shared" si="2"/>
        <v>0.06897</v>
      </c>
      <c r="F75" s="41">
        <f t="shared" si="5"/>
        <v>18869831.173482668</v>
      </c>
      <c r="G75" s="41">
        <f t="shared" si="3"/>
        <v>54655</v>
      </c>
      <c r="H75" s="91"/>
      <c r="I75" s="91"/>
      <c r="J75" s="231"/>
    </row>
    <row r="76" spans="1:10" ht="12.75">
      <c r="A76" s="97">
        <v>45291</v>
      </c>
      <c r="B76" s="187">
        <f t="shared" si="0"/>
        <v>92</v>
      </c>
      <c r="C76" s="99">
        <f t="shared" si="1"/>
        <v>963529400</v>
      </c>
      <c r="D76" s="99">
        <f aca="true" t="shared" si="8" ref="D76:E91">D75</f>
        <v>53529412</v>
      </c>
      <c r="E76" s="303">
        <f t="shared" si="2"/>
        <v>0.06897</v>
      </c>
      <c r="F76" s="99">
        <f t="shared" si="5"/>
        <v>17926339.600708</v>
      </c>
      <c r="G76" s="99">
        <f t="shared" si="3"/>
        <v>54655</v>
      </c>
      <c r="H76" s="300">
        <f>SUM(F73:G76)</f>
        <v>76918330.54182434</v>
      </c>
      <c r="I76" s="300">
        <f>SUM(D73:D76)</f>
        <v>214117648</v>
      </c>
      <c r="J76" s="301">
        <f>SUM(H76:I76)</f>
        <v>291035978.54182434</v>
      </c>
    </row>
    <row r="77" spans="1:10" ht="12.75">
      <c r="A77" s="103">
        <v>45382</v>
      </c>
      <c r="B77" s="435">
        <f t="shared" si="0"/>
        <v>91</v>
      </c>
      <c r="C77" s="42">
        <f t="shared" si="1"/>
        <v>909999988</v>
      </c>
      <c r="D77" s="42">
        <f t="shared" si="8"/>
        <v>53529412</v>
      </c>
      <c r="E77" s="304">
        <f t="shared" si="2"/>
        <v>0.06897</v>
      </c>
      <c r="F77" s="42">
        <f t="shared" si="5"/>
        <v>16798251.853716668</v>
      </c>
      <c r="G77" s="42">
        <f t="shared" si="3"/>
        <v>54655</v>
      </c>
      <c r="H77" s="104"/>
      <c r="I77" s="104"/>
      <c r="J77" s="242"/>
    </row>
    <row r="78" spans="1:10" ht="12.75">
      <c r="A78" s="90">
        <v>45473</v>
      </c>
      <c r="B78" s="215">
        <f aca="true" t="shared" si="9" ref="B78:B94">A78-A77</f>
        <v>91</v>
      </c>
      <c r="C78" s="41">
        <f aca="true" t="shared" si="10" ref="C78:C94">C77-D78</f>
        <v>856470576</v>
      </c>
      <c r="D78" s="41">
        <f t="shared" si="8"/>
        <v>53529412</v>
      </c>
      <c r="E78" s="302">
        <f t="shared" si="8"/>
        <v>0.06897</v>
      </c>
      <c r="F78" s="41">
        <f t="shared" si="5"/>
        <v>15865015.624124333</v>
      </c>
      <c r="G78" s="41">
        <f aca="true" t="shared" si="11" ref="G78:G93">G77</f>
        <v>54655</v>
      </c>
      <c r="H78" s="91"/>
      <c r="I78" s="91"/>
      <c r="J78" s="231"/>
    </row>
    <row r="79" spans="1:10" ht="12.75">
      <c r="A79" s="90">
        <v>45565</v>
      </c>
      <c r="B79" s="215">
        <f t="shared" si="9"/>
        <v>92</v>
      </c>
      <c r="C79" s="41">
        <f t="shared" si="10"/>
        <v>802941164</v>
      </c>
      <c r="D79" s="41">
        <f t="shared" si="8"/>
        <v>53529412</v>
      </c>
      <c r="E79" s="302">
        <f t="shared" si="8"/>
        <v>0.06897</v>
      </c>
      <c r="F79" s="41">
        <f t="shared" si="5"/>
        <v>15095864.882384002</v>
      </c>
      <c r="G79" s="41">
        <f t="shared" si="11"/>
        <v>54655</v>
      </c>
      <c r="H79" s="91"/>
      <c r="I79" s="91"/>
      <c r="J79" s="231"/>
    </row>
    <row r="80" spans="1:10" ht="12.75">
      <c r="A80" s="97">
        <v>45657</v>
      </c>
      <c r="B80" s="187">
        <f t="shared" si="9"/>
        <v>92</v>
      </c>
      <c r="C80" s="99">
        <f t="shared" si="10"/>
        <v>749411752</v>
      </c>
      <c r="D80" s="99">
        <f t="shared" si="8"/>
        <v>53529412</v>
      </c>
      <c r="E80" s="303">
        <f t="shared" si="8"/>
        <v>0.06897</v>
      </c>
      <c r="F80" s="99">
        <f t="shared" si="5"/>
        <v>14152373.309609335</v>
      </c>
      <c r="G80" s="99">
        <f t="shared" si="11"/>
        <v>54655</v>
      </c>
      <c r="H80" s="300">
        <f>SUM(F77:G80)</f>
        <v>62130125.669834346</v>
      </c>
      <c r="I80" s="300">
        <f>SUM(D77:D80)</f>
        <v>214117648</v>
      </c>
      <c r="J80" s="301">
        <f>SUM(H80:I80)</f>
        <v>276247773.6698344</v>
      </c>
    </row>
    <row r="81" spans="1:10" ht="12.75">
      <c r="A81" s="103">
        <v>45747</v>
      </c>
      <c r="B81" s="435">
        <f t="shared" si="9"/>
        <v>90</v>
      </c>
      <c r="C81" s="42">
        <f t="shared" si="10"/>
        <v>695882340</v>
      </c>
      <c r="D81" s="42">
        <f t="shared" si="8"/>
        <v>53529412</v>
      </c>
      <c r="E81" s="304">
        <f t="shared" si="8"/>
        <v>0.06897</v>
      </c>
      <c r="F81" s="42">
        <f t="shared" si="5"/>
        <v>12921732.133860001</v>
      </c>
      <c r="G81" s="42">
        <f t="shared" si="11"/>
        <v>54655</v>
      </c>
      <c r="H81" s="104"/>
      <c r="I81" s="104"/>
      <c r="J81" s="242"/>
    </row>
    <row r="82" spans="1:10" ht="12.75">
      <c r="A82" s="90">
        <v>45838</v>
      </c>
      <c r="B82" s="215">
        <f t="shared" si="9"/>
        <v>91</v>
      </c>
      <c r="C82" s="41">
        <f t="shared" si="10"/>
        <v>642352928</v>
      </c>
      <c r="D82" s="41">
        <f t="shared" si="8"/>
        <v>53529412</v>
      </c>
      <c r="E82" s="302">
        <f t="shared" si="8"/>
        <v>0.06897</v>
      </c>
      <c r="F82" s="41">
        <f t="shared" si="5"/>
        <v>12132070.705755001</v>
      </c>
      <c r="G82" s="41">
        <f t="shared" si="11"/>
        <v>54655</v>
      </c>
      <c r="H82" s="91"/>
      <c r="I82" s="91"/>
      <c r="J82" s="231"/>
    </row>
    <row r="83" spans="1:10" ht="12.75">
      <c r="A83" s="90">
        <v>45930</v>
      </c>
      <c r="B83" s="215">
        <f t="shared" si="9"/>
        <v>92</v>
      </c>
      <c r="C83" s="41">
        <f t="shared" si="10"/>
        <v>588823516</v>
      </c>
      <c r="D83" s="41">
        <f t="shared" si="8"/>
        <v>53529412</v>
      </c>
      <c r="E83" s="302">
        <f t="shared" si="8"/>
        <v>0.06897</v>
      </c>
      <c r="F83" s="41">
        <f t="shared" si="5"/>
        <v>11321898.591285333</v>
      </c>
      <c r="G83" s="41">
        <f t="shared" si="11"/>
        <v>54655</v>
      </c>
      <c r="H83" s="91"/>
      <c r="I83" s="91"/>
      <c r="J83" s="231"/>
    </row>
    <row r="84" spans="1:10" ht="12.75">
      <c r="A84" s="97">
        <v>46022</v>
      </c>
      <c r="B84" s="187">
        <f t="shared" si="9"/>
        <v>92</v>
      </c>
      <c r="C84" s="99">
        <f t="shared" si="10"/>
        <v>535294104</v>
      </c>
      <c r="D84" s="99">
        <f t="shared" si="8"/>
        <v>53529412</v>
      </c>
      <c r="E84" s="303">
        <f t="shared" si="8"/>
        <v>0.06897</v>
      </c>
      <c r="F84" s="99">
        <f t="shared" si="5"/>
        <v>10378407.018510666</v>
      </c>
      <c r="G84" s="99">
        <f t="shared" si="11"/>
        <v>54655</v>
      </c>
      <c r="H84" s="300">
        <f>SUM(F81:G84)</f>
        <v>46972728.449411005</v>
      </c>
      <c r="I84" s="300">
        <f>SUM(D81:D84)</f>
        <v>214117648</v>
      </c>
      <c r="J84" s="301">
        <f>SUM(H84:I84)</f>
        <v>261090376.449411</v>
      </c>
    </row>
    <row r="85" spans="1:10" ht="12.75">
      <c r="A85" s="103">
        <v>46112</v>
      </c>
      <c r="B85" s="435">
        <f t="shared" si="9"/>
        <v>90</v>
      </c>
      <c r="C85" s="42">
        <f t="shared" si="10"/>
        <v>481764692</v>
      </c>
      <c r="D85" s="42">
        <f t="shared" si="8"/>
        <v>53529412</v>
      </c>
      <c r="E85" s="304">
        <f t="shared" si="8"/>
        <v>0.06897</v>
      </c>
      <c r="F85" s="42">
        <f t="shared" si="5"/>
        <v>9229808.58822</v>
      </c>
      <c r="G85" s="42">
        <f t="shared" si="11"/>
        <v>54655</v>
      </c>
      <c r="H85" s="104"/>
      <c r="I85" s="104"/>
      <c r="J85" s="242"/>
    </row>
    <row r="86" spans="1:10" ht="12.75">
      <c r="A86" s="90">
        <v>46203</v>
      </c>
      <c r="B86" s="215">
        <f t="shared" si="9"/>
        <v>91</v>
      </c>
      <c r="C86" s="41">
        <f t="shared" si="10"/>
        <v>428235280</v>
      </c>
      <c r="D86" s="41">
        <f t="shared" si="8"/>
        <v>53529412</v>
      </c>
      <c r="E86" s="302">
        <f t="shared" si="8"/>
        <v>0.06897</v>
      </c>
      <c r="F86" s="41">
        <f t="shared" si="5"/>
        <v>8399125.787385667</v>
      </c>
      <c r="G86" s="41">
        <f t="shared" si="11"/>
        <v>54655</v>
      </c>
      <c r="H86" s="91"/>
      <c r="I86" s="91"/>
      <c r="J86" s="231"/>
    </row>
    <row r="87" spans="1:10" ht="12.75">
      <c r="A87" s="90">
        <v>46295</v>
      </c>
      <c r="B87" s="215">
        <f t="shared" si="9"/>
        <v>92</v>
      </c>
      <c r="C87" s="41">
        <f t="shared" si="10"/>
        <v>374705868</v>
      </c>
      <c r="D87" s="41">
        <f t="shared" si="8"/>
        <v>53529412</v>
      </c>
      <c r="E87" s="302">
        <f t="shared" si="8"/>
        <v>0.06897</v>
      </c>
      <c r="F87" s="41">
        <f t="shared" si="5"/>
        <v>7547932.300186667</v>
      </c>
      <c r="G87" s="41">
        <f t="shared" si="11"/>
        <v>54655</v>
      </c>
      <c r="H87" s="91"/>
      <c r="I87" s="91"/>
      <c r="J87" s="231"/>
    </row>
    <row r="88" spans="1:10" ht="12.75">
      <c r="A88" s="97">
        <v>46387</v>
      </c>
      <c r="B88" s="187">
        <f t="shared" si="9"/>
        <v>92</v>
      </c>
      <c r="C88" s="99">
        <f t="shared" si="10"/>
        <v>321176456</v>
      </c>
      <c r="D88" s="99">
        <f t="shared" si="8"/>
        <v>53529412</v>
      </c>
      <c r="E88" s="303">
        <f t="shared" si="8"/>
        <v>0.06897</v>
      </c>
      <c r="F88" s="99">
        <f t="shared" si="5"/>
        <v>6604440.727411999</v>
      </c>
      <c r="G88" s="99">
        <f t="shared" si="11"/>
        <v>54655</v>
      </c>
      <c r="H88" s="300">
        <f>SUM(F85:G88)</f>
        <v>31999927.403204333</v>
      </c>
      <c r="I88" s="300">
        <f>SUM(D85:D88)</f>
        <v>214117648</v>
      </c>
      <c r="J88" s="301">
        <f>SUM(H88:I88)</f>
        <v>246117575.40320432</v>
      </c>
    </row>
    <row r="89" spans="1:10" ht="12.75">
      <c r="A89" s="103">
        <v>46477</v>
      </c>
      <c r="B89" s="435">
        <f t="shared" si="9"/>
        <v>90</v>
      </c>
      <c r="C89" s="42">
        <f t="shared" si="10"/>
        <v>267647044</v>
      </c>
      <c r="D89" s="42">
        <f t="shared" si="8"/>
        <v>53529412</v>
      </c>
      <c r="E89" s="304">
        <f t="shared" si="8"/>
        <v>0.06897</v>
      </c>
      <c r="F89" s="42">
        <f aca="true" t="shared" si="12" ref="F89:F94">((C89+D89)*E89/360*B89)</f>
        <v>5537885.04258</v>
      </c>
      <c r="G89" s="42">
        <f t="shared" si="11"/>
        <v>54655</v>
      </c>
      <c r="H89" s="104"/>
      <c r="I89" s="104"/>
      <c r="J89" s="242"/>
    </row>
    <row r="90" spans="1:10" ht="12.75">
      <c r="A90" s="90">
        <v>46568</v>
      </c>
      <c r="B90" s="215">
        <f t="shared" si="9"/>
        <v>91</v>
      </c>
      <c r="C90" s="41">
        <f t="shared" si="10"/>
        <v>214117632</v>
      </c>
      <c r="D90" s="41">
        <f t="shared" si="8"/>
        <v>53529412</v>
      </c>
      <c r="E90" s="302">
        <f t="shared" si="8"/>
        <v>0.06897</v>
      </c>
      <c r="F90" s="41">
        <f t="shared" si="12"/>
        <v>4666180.8690163335</v>
      </c>
      <c r="G90" s="41">
        <f t="shared" si="11"/>
        <v>54655</v>
      </c>
      <c r="H90" s="91"/>
      <c r="I90" s="91"/>
      <c r="J90" s="231"/>
    </row>
    <row r="91" spans="1:10" ht="12.75">
      <c r="A91" s="90">
        <v>46660</v>
      </c>
      <c r="B91" s="215">
        <f t="shared" si="9"/>
        <v>92</v>
      </c>
      <c r="C91" s="41">
        <f t="shared" si="10"/>
        <v>160588220</v>
      </c>
      <c r="D91" s="41">
        <f t="shared" si="8"/>
        <v>53529412</v>
      </c>
      <c r="E91" s="302">
        <f t="shared" si="8"/>
        <v>0.06897</v>
      </c>
      <c r="F91" s="41">
        <f t="shared" si="12"/>
        <v>3773966.009088</v>
      </c>
      <c r="G91" s="41">
        <f t="shared" si="11"/>
        <v>54655</v>
      </c>
      <c r="H91" s="91"/>
      <c r="I91" s="91"/>
      <c r="J91" s="231"/>
    </row>
    <row r="92" spans="1:10" ht="12.75">
      <c r="A92" s="97">
        <v>46752</v>
      </c>
      <c r="B92" s="187">
        <f t="shared" si="9"/>
        <v>92</v>
      </c>
      <c r="C92" s="99">
        <f t="shared" si="10"/>
        <v>107058808</v>
      </c>
      <c r="D92" s="99">
        <f>D91</f>
        <v>53529412</v>
      </c>
      <c r="E92" s="303">
        <f>E91</f>
        <v>0.06897</v>
      </c>
      <c r="F92" s="99">
        <f t="shared" si="12"/>
        <v>2830474.4363133335</v>
      </c>
      <c r="G92" s="99">
        <f t="shared" si="11"/>
        <v>54655</v>
      </c>
      <c r="H92" s="300">
        <f>SUM(F89:G92)</f>
        <v>17027126.35699767</v>
      </c>
      <c r="I92" s="300">
        <f>SUM(D89:D92)</f>
        <v>214117648</v>
      </c>
      <c r="J92" s="301">
        <f>SUM(H92:I92)</f>
        <v>231144774.35699767</v>
      </c>
    </row>
    <row r="93" spans="1:10" ht="12.75">
      <c r="A93" s="103">
        <v>46843</v>
      </c>
      <c r="B93" s="435">
        <f t="shared" si="9"/>
        <v>91</v>
      </c>
      <c r="C93" s="42">
        <f t="shared" si="10"/>
        <v>53529396</v>
      </c>
      <c r="D93" s="42">
        <f>D92</f>
        <v>53529412</v>
      </c>
      <c r="E93" s="304">
        <f>E92</f>
        <v>0.06897</v>
      </c>
      <c r="F93" s="42">
        <f t="shared" si="12"/>
        <v>1866472.1802393333</v>
      </c>
      <c r="G93" s="42">
        <f t="shared" si="11"/>
        <v>54655</v>
      </c>
      <c r="H93" s="104"/>
      <c r="I93" s="104"/>
      <c r="J93" s="242"/>
    </row>
    <row r="94" spans="1:10" ht="13.5" thickBot="1">
      <c r="A94" s="90">
        <v>46934</v>
      </c>
      <c r="B94" s="215">
        <f t="shared" si="9"/>
        <v>91</v>
      </c>
      <c r="C94" s="41">
        <f t="shared" si="10"/>
        <v>0</v>
      </c>
      <c r="D94" s="41">
        <f>D1-SUM(D27:D93)</f>
        <v>53529396</v>
      </c>
      <c r="E94" s="302">
        <f>E93</f>
        <v>0.06897</v>
      </c>
      <c r="F94" s="41">
        <f t="shared" si="12"/>
        <v>933235.9506470001</v>
      </c>
      <c r="G94" s="41">
        <f>D3-SUM(G18:G93)</f>
        <v>54629</v>
      </c>
      <c r="H94" s="300">
        <f>SUM(F93:G94)</f>
        <v>2908992.1308863335</v>
      </c>
      <c r="I94" s="300">
        <f>SUM(D93:D94)</f>
        <v>107058808</v>
      </c>
      <c r="J94" s="301">
        <f>SUM(H94:I94)</f>
        <v>109967800.13088633</v>
      </c>
    </row>
    <row r="95" spans="1:10" ht="13.5" thickTop="1">
      <c r="A95" s="567" t="s">
        <v>14</v>
      </c>
      <c r="B95" s="568"/>
      <c r="C95" s="569"/>
      <c r="D95" s="117">
        <f>SUM(D9:D94)</f>
        <v>3640000000</v>
      </c>
      <c r="E95" s="118"/>
      <c r="F95" s="117">
        <f>SUM(F9:F94)</f>
        <v>2631571414.79058</v>
      </c>
      <c r="G95" s="117">
        <f>SUM(G9:G94)</f>
        <v>4044444</v>
      </c>
      <c r="H95" s="117">
        <f>SUM(H9:H94)</f>
        <v>2635615858.790578</v>
      </c>
      <c r="I95" s="117">
        <f>SUM(I9:I94)</f>
        <v>3640000000</v>
      </c>
      <c r="J95" s="119">
        <f>SUM(J9:J94)</f>
        <v>6275615858.790577</v>
      </c>
    </row>
    <row r="96" spans="1:10" ht="12.75">
      <c r="A96" s="120"/>
      <c r="E96" s="122"/>
      <c r="H96" s="121"/>
      <c r="J96" s="121"/>
    </row>
    <row r="97" spans="1:10" ht="12.75">
      <c r="A97" s="120"/>
      <c r="E97" s="122"/>
      <c r="G97" s="121"/>
      <c r="H97" s="121"/>
      <c r="J97" s="121"/>
    </row>
    <row r="98" spans="3:4" ht="12.75">
      <c r="C98" s="58"/>
      <c r="D98" s="58"/>
    </row>
    <row r="99" spans="1:8" ht="12.75">
      <c r="A99" s="121"/>
      <c r="C99" s="58"/>
      <c r="D99" s="316" t="s">
        <v>3</v>
      </c>
      <c r="E99" s="316"/>
      <c r="F99" s="316" t="s">
        <v>106</v>
      </c>
      <c r="G99" s="316" t="s">
        <v>137</v>
      </c>
      <c r="H99" s="316" t="s">
        <v>138</v>
      </c>
    </row>
    <row r="100" spans="1:8" ht="12.75">
      <c r="A100" s="261"/>
      <c r="B100" s="498"/>
      <c r="C100" s="337"/>
      <c r="D100" s="337"/>
      <c r="E100" s="338"/>
      <c r="F100" s="338" t="s">
        <v>135</v>
      </c>
      <c r="G100" s="338" t="s">
        <v>136</v>
      </c>
      <c r="H100" s="338" t="s">
        <v>139</v>
      </c>
    </row>
    <row r="101" spans="1:8" ht="12.75">
      <c r="A101" s="121" t="s">
        <v>278</v>
      </c>
      <c r="C101" s="58"/>
      <c r="D101" s="332">
        <v>39780</v>
      </c>
      <c r="E101" s="316"/>
      <c r="F101" s="121">
        <v>1240000000</v>
      </c>
      <c r="G101" s="121">
        <f>F101</f>
        <v>1240000000</v>
      </c>
      <c r="H101" s="121">
        <f aca="true" t="shared" si="13" ref="H101:H107">D$1-G101</f>
        <v>2400000000</v>
      </c>
    </row>
    <row r="102" spans="1:8" ht="12.75">
      <c r="A102" s="121" t="s">
        <v>170</v>
      </c>
      <c r="C102" s="58"/>
      <c r="D102" s="332">
        <v>39994</v>
      </c>
      <c r="E102" s="316"/>
      <c r="F102" s="121">
        <v>400000000</v>
      </c>
      <c r="G102" s="121">
        <f aca="true" t="shared" si="14" ref="G102:G107">F102+G101</f>
        <v>1640000000</v>
      </c>
      <c r="H102" s="121">
        <f t="shared" si="13"/>
        <v>2000000000</v>
      </c>
    </row>
    <row r="103" spans="1:8" ht="12.75">
      <c r="A103" s="121" t="s">
        <v>277</v>
      </c>
      <c r="C103" s="58"/>
      <c r="D103" s="332">
        <v>40086</v>
      </c>
      <c r="E103" s="316"/>
      <c r="F103" s="121">
        <v>400000000</v>
      </c>
      <c r="G103" s="121">
        <f t="shared" si="14"/>
        <v>2040000000</v>
      </c>
      <c r="H103" s="121">
        <f t="shared" si="13"/>
        <v>1600000000</v>
      </c>
    </row>
    <row r="104" spans="1:8" ht="12.75">
      <c r="A104" s="121" t="s">
        <v>322</v>
      </c>
      <c r="C104" s="58"/>
      <c r="D104" s="332">
        <v>40176</v>
      </c>
      <c r="E104" s="316"/>
      <c r="F104" s="121">
        <v>400000000</v>
      </c>
      <c r="G104" s="121">
        <f t="shared" si="14"/>
        <v>2440000000</v>
      </c>
      <c r="H104" s="121">
        <f t="shared" si="13"/>
        <v>1200000000</v>
      </c>
    </row>
    <row r="105" spans="1:8" ht="12.75">
      <c r="A105" s="121" t="s">
        <v>323</v>
      </c>
      <c r="C105" s="58"/>
      <c r="D105" s="332">
        <v>40359</v>
      </c>
      <c r="E105" s="316"/>
      <c r="F105" s="121">
        <v>400000000</v>
      </c>
      <c r="G105" s="121">
        <f t="shared" si="14"/>
        <v>2840000000</v>
      </c>
      <c r="H105" s="121">
        <f t="shared" si="13"/>
        <v>800000000</v>
      </c>
    </row>
    <row r="106" spans="1:8" ht="12.75">
      <c r="A106" s="121" t="s">
        <v>324</v>
      </c>
      <c r="C106" s="58"/>
      <c r="D106" s="332">
        <v>40451</v>
      </c>
      <c r="E106" s="316"/>
      <c r="F106" s="121">
        <v>400000000</v>
      </c>
      <c r="G106" s="121">
        <f t="shared" si="14"/>
        <v>3240000000</v>
      </c>
      <c r="H106" s="121">
        <f t="shared" si="13"/>
        <v>400000000</v>
      </c>
    </row>
    <row r="107" spans="1:8" ht="13.5" thickBot="1">
      <c r="A107" s="121" t="s">
        <v>325</v>
      </c>
      <c r="C107" s="58"/>
      <c r="D107" s="332">
        <v>40541</v>
      </c>
      <c r="E107" s="316"/>
      <c r="F107" s="121">
        <v>400000000</v>
      </c>
      <c r="G107" s="121">
        <f t="shared" si="14"/>
        <v>3640000000</v>
      </c>
      <c r="H107" s="121">
        <f t="shared" si="13"/>
        <v>0</v>
      </c>
    </row>
    <row r="108" spans="1:6" ht="13.5" thickTop="1">
      <c r="A108" s="126" t="s">
        <v>14</v>
      </c>
      <c r="B108" s="499"/>
      <c r="C108" s="124"/>
      <c r="D108" s="124"/>
      <c r="E108" s="333"/>
      <c r="F108" s="500">
        <f>SUM(F101:F107)</f>
        <v>3640000000</v>
      </c>
    </row>
  </sheetData>
  <sheetProtection/>
  <mergeCells count="1">
    <mergeCell ref="A95:C95"/>
  </mergeCells>
  <printOptions horizontalCentered="1"/>
  <pageMargins left="0.3937007874015748" right="0.3937007874015748" top="0.984251968503937" bottom="0.3937007874015748" header="0.3937007874015748" footer="0.11811023622047245"/>
  <pageSetup blackAndWhite="1" horizontalDpi="300" verticalDpi="300" orientation="portrait" paperSize="9" scale="80" r:id="rId1"/>
  <headerFooter alignWithMargins="0">
    <oddHeader>&amp;C&amp;"Times New Roman CE,Félkövér dőlt"&amp;12Adósságszolgálat számítása 
2008-2009-2010. években felvételre tervezett 3,64 mrdFt hitel
(Infrastruktúra Fejlesztési Hitelprogram 2. hitelcél)</oddHeader>
    <oddFooter>&amp;L&amp;8&amp;D&amp;C&amp;8C:\Andi\adósságszolgálat2007\&amp;F\&amp;A    Oláhné P. Andrea&amp;R&amp;8&amp;P/&amp;N</oddFooter>
  </headerFooter>
  <rowBreaks count="1" manualBreakCount="1">
    <brk id="7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100"/>
  <sheetViews>
    <sheetView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11.375" style="58" customWidth="1"/>
    <col min="2" max="2" width="5.625" style="434" customWidth="1"/>
    <col min="3" max="3" width="15.375" style="121" customWidth="1"/>
    <col min="4" max="4" width="15.50390625" style="121" bestFit="1" customWidth="1"/>
    <col min="5" max="5" width="8.625" style="58" customWidth="1"/>
    <col min="6" max="6" width="14.375" style="58" customWidth="1"/>
    <col min="7" max="7" width="13.875" style="58" customWidth="1"/>
    <col min="8" max="8" width="14.625" style="58" bestFit="1" customWidth="1"/>
    <col min="9" max="9" width="15.625" style="58" customWidth="1"/>
    <col min="10" max="10" width="16.00390625" style="58" customWidth="1"/>
    <col min="11" max="11" width="2.125" style="58" customWidth="1"/>
    <col min="12" max="16384" width="9.375" style="58" customWidth="1"/>
  </cols>
  <sheetData>
    <row r="1" spans="1:10" ht="12.75">
      <c r="A1" s="162" t="s">
        <v>204</v>
      </c>
      <c r="B1" s="429"/>
      <c r="C1" s="163"/>
      <c r="D1" s="163">
        <v>760000000</v>
      </c>
      <c r="E1" s="162" t="s">
        <v>205</v>
      </c>
      <c r="F1" s="162" t="s">
        <v>279</v>
      </c>
      <c r="G1" s="162"/>
      <c r="J1" s="292" t="s">
        <v>339</v>
      </c>
    </row>
    <row r="2" spans="1:7" ht="12.75">
      <c r="A2" s="162" t="s">
        <v>206</v>
      </c>
      <c r="B2" s="429"/>
      <c r="C2" s="163"/>
      <c r="D2" s="163">
        <v>17</v>
      </c>
      <c r="E2" s="162" t="s">
        <v>207</v>
      </c>
      <c r="F2" s="162"/>
      <c r="G2" s="162"/>
    </row>
    <row r="3" spans="1:7" ht="12.75">
      <c r="A3" s="162" t="s">
        <v>226</v>
      </c>
      <c r="B3" s="429"/>
      <c r="C3" s="163"/>
      <c r="D3" s="163">
        <v>844444</v>
      </c>
      <c r="E3" s="162" t="s">
        <v>205</v>
      </c>
      <c r="F3" s="556">
        <f>D3/D1</f>
        <v>0.0011111105263157896</v>
      </c>
      <c r="G3" s="162"/>
    </row>
    <row r="4" spans="1:7" ht="12.75">
      <c r="A4" s="163" t="s">
        <v>228</v>
      </c>
      <c r="B4" s="429"/>
      <c r="C4" s="163"/>
      <c r="D4" s="163">
        <v>3</v>
      </c>
      <c r="E4" s="162" t="s">
        <v>207</v>
      </c>
      <c r="F4" s="162"/>
      <c r="G4" s="162"/>
    </row>
    <row r="5" spans="1:10" ht="12.75">
      <c r="A5" s="163" t="s">
        <v>281</v>
      </c>
      <c r="B5" s="162"/>
      <c r="C5" s="163"/>
      <c r="D5" s="398"/>
      <c r="E5" s="399"/>
      <c r="F5" s="163"/>
      <c r="G5" s="446">
        <v>0.06215</v>
      </c>
      <c r="I5" s="132"/>
      <c r="J5" s="132"/>
    </row>
    <row r="6" spans="1:10" ht="12.75">
      <c r="A6" s="66" t="s">
        <v>3</v>
      </c>
      <c r="B6" s="430" t="s">
        <v>4</v>
      </c>
      <c r="C6" s="68" t="s">
        <v>5</v>
      </c>
      <c r="D6" s="68" t="s">
        <v>21</v>
      </c>
      <c r="E6" s="68" t="s">
        <v>18</v>
      </c>
      <c r="F6" s="69" t="s">
        <v>20</v>
      </c>
      <c r="G6" s="69" t="s">
        <v>120</v>
      </c>
      <c r="H6" s="70" t="s">
        <v>6</v>
      </c>
      <c r="I6" s="70" t="s">
        <v>6</v>
      </c>
      <c r="J6" s="71" t="s">
        <v>6</v>
      </c>
    </row>
    <row r="7" spans="1:10" ht="12.75">
      <c r="A7" s="72"/>
      <c r="B7" s="431" t="s">
        <v>7</v>
      </c>
      <c r="C7" s="74" t="s">
        <v>8</v>
      </c>
      <c r="D7" s="74" t="s">
        <v>13</v>
      </c>
      <c r="E7" s="74" t="s">
        <v>19</v>
      </c>
      <c r="F7" s="75" t="s">
        <v>13</v>
      </c>
      <c r="G7" s="75" t="s">
        <v>121</v>
      </c>
      <c r="H7" s="76" t="s">
        <v>9</v>
      </c>
      <c r="I7" s="76" t="s">
        <v>11</v>
      </c>
      <c r="J7" s="77" t="s">
        <v>10</v>
      </c>
    </row>
    <row r="8" spans="1:10" ht="12.75">
      <c r="A8" s="78"/>
      <c r="B8" s="432"/>
      <c r="C8" s="80"/>
      <c r="D8" s="80"/>
      <c r="E8" s="80"/>
      <c r="F8" s="81"/>
      <c r="G8" s="136" t="s">
        <v>229</v>
      </c>
      <c r="H8" s="136" t="s">
        <v>123</v>
      </c>
      <c r="I8" s="82" t="s">
        <v>13</v>
      </c>
      <c r="J8" s="83" t="s">
        <v>12</v>
      </c>
    </row>
    <row r="9" spans="1:10" s="162" customFormat="1" ht="12.75">
      <c r="A9" s="493">
        <v>39780</v>
      </c>
      <c r="B9" s="494"/>
      <c r="C9" s="495">
        <v>260000000</v>
      </c>
      <c r="D9" s="325"/>
      <c r="E9" s="325"/>
      <c r="F9" s="325"/>
      <c r="G9" s="325"/>
      <c r="H9" s="325"/>
      <c r="I9" s="325"/>
      <c r="J9" s="496"/>
    </row>
    <row r="10" spans="1:10" ht="12.75">
      <c r="A10" s="97">
        <v>39813</v>
      </c>
      <c r="B10" s="187">
        <f aca="true" t="shared" si="0" ref="B10:B73">A10-A9</f>
        <v>33</v>
      </c>
      <c r="C10" s="99">
        <f aca="true" t="shared" si="1" ref="C10:C73">C9-D10</f>
        <v>260000000</v>
      </c>
      <c r="D10" s="99"/>
      <c r="E10" s="303">
        <v>0.06397</v>
      </c>
      <c r="F10" s="99">
        <f>((C10+D10)*E10/360*B10)</f>
        <v>1524618.3333333333</v>
      </c>
      <c r="G10" s="99"/>
      <c r="H10" s="300">
        <f>SUM(F10:G10)</f>
        <v>1524618.3333333333</v>
      </c>
      <c r="I10" s="300">
        <f>SUM(D10:D10)</f>
        <v>0</v>
      </c>
      <c r="J10" s="301">
        <f>SUM(H10:I10)</f>
        <v>1524618.3333333333</v>
      </c>
    </row>
    <row r="11" spans="1:10" ht="12.75">
      <c r="A11" s="84">
        <v>39903</v>
      </c>
      <c r="B11" s="521">
        <f t="shared" si="0"/>
        <v>90</v>
      </c>
      <c r="C11" s="86">
        <f t="shared" si="1"/>
        <v>260000000</v>
      </c>
      <c r="D11" s="86"/>
      <c r="E11" s="522">
        <f aca="true" t="shared" si="2" ref="E11:E73">E10</f>
        <v>0.06397</v>
      </c>
      <c r="F11" s="86">
        <f>((C11+D11)*E11/360*B11)</f>
        <v>4158050</v>
      </c>
      <c r="G11" s="86"/>
      <c r="H11" s="85"/>
      <c r="I11" s="85"/>
      <c r="J11" s="240"/>
    </row>
    <row r="12" spans="1:10" ht="12.75">
      <c r="A12" s="90">
        <v>39994</v>
      </c>
      <c r="B12" s="215">
        <f t="shared" si="0"/>
        <v>91</v>
      </c>
      <c r="C12" s="41">
        <f t="shared" si="1"/>
        <v>260000000</v>
      </c>
      <c r="D12" s="41"/>
      <c r="E12" s="302">
        <f t="shared" si="2"/>
        <v>0.06397</v>
      </c>
      <c r="F12" s="41">
        <f>((C12+D12)*E12/360*B12)</f>
        <v>4204250.555555555</v>
      </c>
      <c r="G12" s="41"/>
      <c r="H12" s="91"/>
      <c r="I12" s="91"/>
      <c r="J12" s="231"/>
    </row>
    <row r="13" spans="1:10" ht="12.75">
      <c r="A13" s="550">
        <v>40086</v>
      </c>
      <c r="B13" s="551">
        <f t="shared" si="0"/>
        <v>92</v>
      </c>
      <c r="C13" s="529">
        <f>C12-D13</f>
        <v>260000000</v>
      </c>
      <c r="D13" s="41"/>
      <c r="E13" s="302">
        <f>E12</f>
        <v>0.06397</v>
      </c>
      <c r="F13" s="41">
        <f>((C12+D12)*E13/360*B13)</f>
        <v>4250451.111111111</v>
      </c>
      <c r="G13" s="41"/>
      <c r="H13" s="91"/>
      <c r="I13" s="91"/>
      <c r="J13" s="231"/>
    </row>
    <row r="14" spans="1:10" ht="12.75">
      <c r="A14" s="528">
        <v>40086</v>
      </c>
      <c r="B14" s="552"/>
      <c r="C14" s="245">
        <v>510000000</v>
      </c>
      <c r="D14" s="107"/>
      <c r="E14" s="305"/>
      <c r="F14" s="107"/>
      <c r="G14" s="107"/>
      <c r="H14" s="108"/>
      <c r="I14" s="108"/>
      <c r="J14" s="251"/>
    </row>
    <row r="15" spans="1:10" ht="12.75">
      <c r="A15" s="97">
        <v>40178</v>
      </c>
      <c r="B15" s="187">
        <f>A15-A13</f>
        <v>92</v>
      </c>
      <c r="C15" s="99">
        <f>C14-D15</f>
        <v>510000000</v>
      </c>
      <c r="D15" s="99"/>
      <c r="E15" s="303">
        <f>E13</f>
        <v>0.06397</v>
      </c>
      <c r="F15" s="99">
        <f>((C15+D15)*E15/360*B15)</f>
        <v>8337423.333333334</v>
      </c>
      <c r="G15" s="99"/>
      <c r="H15" s="300">
        <f>SUM(F11:G15)</f>
        <v>20950175</v>
      </c>
      <c r="I15" s="300">
        <f>SUM(D11:D15)</f>
        <v>0</v>
      </c>
      <c r="J15" s="301">
        <f>SUM(H15:I15)</f>
        <v>20950175</v>
      </c>
    </row>
    <row r="16" spans="1:10" ht="12.75">
      <c r="A16" s="103">
        <v>40268</v>
      </c>
      <c r="B16" s="435">
        <f t="shared" si="0"/>
        <v>90</v>
      </c>
      <c r="C16" s="42">
        <f t="shared" si="1"/>
        <v>510000000</v>
      </c>
      <c r="D16" s="42"/>
      <c r="E16" s="304">
        <f t="shared" si="2"/>
        <v>0.06397</v>
      </c>
      <c r="F16" s="42">
        <f>((C16+D16)*E16/360*B16)</f>
        <v>8156175</v>
      </c>
      <c r="G16" s="41">
        <f>ROUND(D3/(((D2+D4)*4)-6),0)</f>
        <v>11411</v>
      </c>
      <c r="H16" s="104"/>
      <c r="I16" s="104"/>
      <c r="J16" s="242"/>
    </row>
    <row r="17" spans="1:10" ht="12.75">
      <c r="A17" s="90">
        <v>40359</v>
      </c>
      <c r="B17" s="215">
        <f t="shared" si="0"/>
        <v>91</v>
      </c>
      <c r="C17" s="41">
        <f t="shared" si="1"/>
        <v>510000000</v>
      </c>
      <c r="D17" s="41"/>
      <c r="E17" s="302">
        <f t="shared" si="2"/>
        <v>0.06397</v>
      </c>
      <c r="F17" s="41">
        <f>((C17+D17)*E17/360*B17)</f>
        <v>8246799.166666667</v>
      </c>
      <c r="G17" s="41">
        <f>G16</f>
        <v>11411</v>
      </c>
      <c r="H17" s="91"/>
      <c r="I17" s="91"/>
      <c r="J17" s="231"/>
    </row>
    <row r="18" spans="1:10" ht="12.75">
      <c r="A18" s="90">
        <v>40451</v>
      </c>
      <c r="B18" s="215">
        <f t="shared" si="0"/>
        <v>92</v>
      </c>
      <c r="C18" s="41">
        <f t="shared" si="1"/>
        <v>510000000</v>
      </c>
      <c r="D18" s="41"/>
      <c r="E18" s="302">
        <f>E17</f>
        <v>0.06397</v>
      </c>
      <c r="F18" s="41">
        <f>((C17+D17)*E18/360*B18)</f>
        <v>8337423.333333334</v>
      </c>
      <c r="G18" s="41">
        <f>G17</f>
        <v>11411</v>
      </c>
      <c r="H18" s="91"/>
      <c r="I18" s="91"/>
      <c r="J18" s="231"/>
    </row>
    <row r="19" spans="1:10" ht="12.75">
      <c r="A19" s="528">
        <v>40451</v>
      </c>
      <c r="B19" s="215"/>
      <c r="C19" s="245">
        <v>760000000</v>
      </c>
      <c r="D19" s="107"/>
      <c r="E19" s="305"/>
      <c r="F19" s="107"/>
      <c r="G19" s="107"/>
      <c r="H19" s="108"/>
      <c r="I19" s="108"/>
      <c r="J19" s="251"/>
    </row>
    <row r="20" spans="1:10" ht="12.75">
      <c r="A20" s="97">
        <v>40543</v>
      </c>
      <c r="B20" s="215">
        <f t="shared" si="0"/>
        <v>92</v>
      </c>
      <c r="C20" s="99">
        <f>C19-D20</f>
        <v>760000000</v>
      </c>
      <c r="D20" s="99"/>
      <c r="E20" s="303">
        <f>E18</f>
        <v>0.06397</v>
      </c>
      <c r="F20" s="99">
        <f>((C20+D20)*E20/360*B20)</f>
        <v>12424395.555555556</v>
      </c>
      <c r="G20" s="99">
        <f>G18</f>
        <v>11411</v>
      </c>
      <c r="H20" s="300">
        <f>SUM(F16:G20)</f>
        <v>37210437.05555555</v>
      </c>
      <c r="I20" s="300">
        <f>SUM(D16:D20)</f>
        <v>0</v>
      </c>
      <c r="J20" s="301">
        <f>SUM(H20:I20)</f>
        <v>37210437.05555555</v>
      </c>
    </row>
    <row r="21" spans="1:10" ht="12.75">
      <c r="A21" s="103">
        <v>40633</v>
      </c>
      <c r="B21" s="435">
        <f t="shared" si="0"/>
        <v>90</v>
      </c>
      <c r="C21" s="42">
        <f t="shared" si="1"/>
        <v>760000000</v>
      </c>
      <c r="D21" s="42"/>
      <c r="E21" s="304">
        <f t="shared" si="2"/>
        <v>0.06397</v>
      </c>
      <c r="F21" s="42">
        <f>((C21+D21)*E21/360*B21)</f>
        <v>12154300</v>
      </c>
      <c r="G21" s="42">
        <f aca="true" t="shared" si="3" ref="G21:G83">G20</f>
        <v>11411</v>
      </c>
      <c r="H21" s="104"/>
      <c r="I21" s="104"/>
      <c r="J21" s="242"/>
    </row>
    <row r="22" spans="1:10" ht="12.75">
      <c r="A22" s="90">
        <v>40724</v>
      </c>
      <c r="B22" s="215">
        <f t="shared" si="0"/>
        <v>91</v>
      </c>
      <c r="C22" s="41">
        <f t="shared" si="1"/>
        <v>760000000</v>
      </c>
      <c r="D22" s="41"/>
      <c r="E22" s="302">
        <f t="shared" si="2"/>
        <v>0.06397</v>
      </c>
      <c r="F22" s="41">
        <f>((C22+D22)*E22/360*B22)</f>
        <v>12289347.777777778</v>
      </c>
      <c r="G22" s="41">
        <f t="shared" si="3"/>
        <v>11411</v>
      </c>
      <c r="H22" s="91"/>
      <c r="I22" s="91"/>
      <c r="J22" s="231"/>
    </row>
    <row r="23" spans="1:10" ht="12.75">
      <c r="A23" s="90">
        <v>40816</v>
      </c>
      <c r="B23" s="215">
        <f t="shared" si="0"/>
        <v>92</v>
      </c>
      <c r="C23" s="41">
        <f t="shared" si="1"/>
        <v>748823530</v>
      </c>
      <c r="D23" s="41">
        <v>11176470</v>
      </c>
      <c r="E23" s="302">
        <f t="shared" si="2"/>
        <v>0.06397</v>
      </c>
      <c r="F23" s="41">
        <f>((C23+D23)*E23/360*B23)</f>
        <v>12424395.555555556</v>
      </c>
      <c r="G23" s="41">
        <f t="shared" si="3"/>
        <v>11411</v>
      </c>
      <c r="H23" s="91"/>
      <c r="I23" s="91"/>
      <c r="J23" s="231"/>
    </row>
    <row r="24" spans="1:10" ht="12.75">
      <c r="A24" s="97">
        <v>40908</v>
      </c>
      <c r="B24" s="187">
        <f t="shared" si="0"/>
        <v>92</v>
      </c>
      <c r="C24" s="99">
        <f t="shared" si="1"/>
        <v>737647060</v>
      </c>
      <c r="D24" s="99">
        <f aca="true" t="shared" si="4" ref="D24:D39">D23</f>
        <v>11176470</v>
      </c>
      <c r="E24" s="303">
        <f t="shared" si="2"/>
        <v>0.06397</v>
      </c>
      <c r="F24" s="99">
        <f>((C24+D24)*E24/360*B24)</f>
        <v>12241683.865825554</v>
      </c>
      <c r="G24" s="99">
        <f t="shared" si="3"/>
        <v>11411</v>
      </c>
      <c r="H24" s="300">
        <f>SUM(F21:G24)</f>
        <v>49155371.199158885</v>
      </c>
      <c r="I24" s="300">
        <f>SUM(D21:D24)</f>
        <v>22352940</v>
      </c>
      <c r="J24" s="301">
        <f>SUM(H24:I24)</f>
        <v>71508311.19915888</v>
      </c>
    </row>
    <row r="25" spans="1:10" ht="12.75">
      <c r="A25" s="103">
        <v>40999</v>
      </c>
      <c r="B25" s="435">
        <f t="shared" si="0"/>
        <v>91</v>
      </c>
      <c r="C25" s="42">
        <f t="shared" si="1"/>
        <v>726470590</v>
      </c>
      <c r="D25" s="42">
        <f t="shared" si="4"/>
        <v>11176470</v>
      </c>
      <c r="E25" s="304">
        <f t="shared" si="2"/>
        <v>0.06397</v>
      </c>
      <c r="F25" s="42">
        <f aca="true" t="shared" si="5" ref="F25:F84">((C25+D25)*E25/360*B25)</f>
        <v>11927896.391572777</v>
      </c>
      <c r="G25" s="42">
        <f t="shared" si="3"/>
        <v>11411</v>
      </c>
      <c r="H25" s="104"/>
      <c r="I25" s="104"/>
      <c r="J25" s="242"/>
    </row>
    <row r="26" spans="1:10" ht="12.75">
      <c r="A26" s="90">
        <v>41090</v>
      </c>
      <c r="B26" s="215">
        <f t="shared" si="0"/>
        <v>91</v>
      </c>
      <c r="C26" s="41">
        <f t="shared" si="1"/>
        <v>715294120</v>
      </c>
      <c r="D26" s="41">
        <f t="shared" si="4"/>
        <v>11176470</v>
      </c>
      <c r="E26" s="302">
        <f t="shared" si="2"/>
        <v>0.06397</v>
      </c>
      <c r="F26" s="41">
        <f t="shared" si="5"/>
        <v>11747170.698470278</v>
      </c>
      <c r="G26" s="41">
        <f t="shared" si="3"/>
        <v>11411</v>
      </c>
      <c r="H26" s="91"/>
      <c r="I26" s="91"/>
      <c r="J26" s="231"/>
    </row>
    <row r="27" spans="1:10" ht="12.75">
      <c r="A27" s="90">
        <v>41182</v>
      </c>
      <c r="B27" s="215">
        <f t="shared" si="0"/>
        <v>92</v>
      </c>
      <c r="C27" s="41">
        <f t="shared" si="1"/>
        <v>704117650</v>
      </c>
      <c r="D27" s="41">
        <f t="shared" si="4"/>
        <v>11176470</v>
      </c>
      <c r="E27" s="302">
        <f t="shared" si="2"/>
        <v>0.06397</v>
      </c>
      <c r="F27" s="41">
        <f t="shared" si="5"/>
        <v>11693548.796635555</v>
      </c>
      <c r="G27" s="41">
        <f t="shared" si="3"/>
        <v>11411</v>
      </c>
      <c r="H27" s="91"/>
      <c r="I27" s="91"/>
      <c r="J27" s="231"/>
    </row>
    <row r="28" spans="1:10" ht="12.75">
      <c r="A28" s="97">
        <v>41274</v>
      </c>
      <c r="B28" s="187">
        <f t="shared" si="0"/>
        <v>92</v>
      </c>
      <c r="C28" s="99">
        <f t="shared" si="1"/>
        <v>692941180</v>
      </c>
      <c r="D28" s="99">
        <f t="shared" si="4"/>
        <v>11176470</v>
      </c>
      <c r="E28" s="303">
        <f t="shared" si="2"/>
        <v>0.06397</v>
      </c>
      <c r="F28" s="99">
        <f t="shared" si="5"/>
        <v>11510837.106905555</v>
      </c>
      <c r="G28" s="99">
        <f t="shared" si="3"/>
        <v>11411</v>
      </c>
      <c r="H28" s="300">
        <f>SUM(F25:G28)</f>
        <v>46925096.99358416</v>
      </c>
      <c r="I28" s="300">
        <f>SUM(D25:D28)</f>
        <v>44705880</v>
      </c>
      <c r="J28" s="301">
        <f>SUM(H28:I28)</f>
        <v>91630976.99358416</v>
      </c>
    </row>
    <row r="29" spans="1:10" ht="12.75">
      <c r="A29" s="103">
        <v>41364</v>
      </c>
      <c r="B29" s="435">
        <f t="shared" si="0"/>
        <v>90</v>
      </c>
      <c r="C29" s="42">
        <f t="shared" si="1"/>
        <v>681764710</v>
      </c>
      <c r="D29" s="42">
        <f t="shared" si="4"/>
        <v>11176470</v>
      </c>
      <c r="E29" s="304">
        <f t="shared" si="2"/>
        <v>0.06397</v>
      </c>
      <c r="F29" s="42">
        <f t="shared" si="5"/>
        <v>11081861.82115</v>
      </c>
      <c r="G29" s="42">
        <f t="shared" si="3"/>
        <v>11411</v>
      </c>
      <c r="H29" s="104"/>
      <c r="I29" s="104"/>
      <c r="J29" s="242"/>
    </row>
    <row r="30" spans="1:10" ht="12.75">
      <c r="A30" s="90">
        <v>41455</v>
      </c>
      <c r="B30" s="215">
        <f t="shared" si="0"/>
        <v>91</v>
      </c>
      <c r="C30" s="41">
        <f t="shared" si="1"/>
        <v>670588240</v>
      </c>
      <c r="D30" s="41">
        <f t="shared" si="4"/>
        <v>11176470</v>
      </c>
      <c r="E30" s="302">
        <f t="shared" si="2"/>
        <v>0.06397</v>
      </c>
      <c r="F30" s="41">
        <f t="shared" si="5"/>
        <v>11024267.926060278</v>
      </c>
      <c r="G30" s="41">
        <f t="shared" si="3"/>
        <v>11411</v>
      </c>
      <c r="H30" s="91"/>
      <c r="I30" s="91"/>
      <c r="J30" s="231"/>
    </row>
    <row r="31" spans="1:10" ht="12.75">
      <c r="A31" s="90">
        <v>41547</v>
      </c>
      <c r="B31" s="215">
        <f t="shared" si="0"/>
        <v>92</v>
      </c>
      <c r="C31" s="41">
        <f t="shared" si="1"/>
        <v>659411770</v>
      </c>
      <c r="D31" s="41">
        <f t="shared" si="4"/>
        <v>11176470</v>
      </c>
      <c r="E31" s="302">
        <f t="shared" si="2"/>
        <v>0.06397</v>
      </c>
      <c r="F31" s="41">
        <f t="shared" si="5"/>
        <v>10962702.037715554</v>
      </c>
      <c r="G31" s="41">
        <f t="shared" si="3"/>
        <v>11411</v>
      </c>
      <c r="H31" s="91"/>
      <c r="I31" s="91"/>
      <c r="J31" s="231"/>
    </row>
    <row r="32" spans="1:10" ht="12.75">
      <c r="A32" s="97">
        <v>41639</v>
      </c>
      <c r="B32" s="187">
        <f t="shared" si="0"/>
        <v>92</v>
      </c>
      <c r="C32" s="99">
        <f t="shared" si="1"/>
        <v>648235300</v>
      </c>
      <c r="D32" s="99">
        <f t="shared" si="4"/>
        <v>11176470</v>
      </c>
      <c r="E32" s="303">
        <f t="shared" si="2"/>
        <v>0.06397</v>
      </c>
      <c r="F32" s="99">
        <f t="shared" si="5"/>
        <v>10779990.347985554</v>
      </c>
      <c r="G32" s="99">
        <f t="shared" si="3"/>
        <v>11411</v>
      </c>
      <c r="H32" s="300">
        <f>SUM(F29:G32)</f>
        <v>43894466.132911384</v>
      </c>
      <c r="I32" s="300">
        <f>SUM(D29:D32)</f>
        <v>44705880</v>
      </c>
      <c r="J32" s="301">
        <f>SUM(H32:I32)</f>
        <v>88600346.13291138</v>
      </c>
    </row>
    <row r="33" spans="1:10" ht="12.75">
      <c r="A33" s="103">
        <v>41729</v>
      </c>
      <c r="B33" s="435">
        <f t="shared" si="0"/>
        <v>90</v>
      </c>
      <c r="C33" s="42">
        <f t="shared" si="1"/>
        <v>637058830</v>
      </c>
      <c r="D33" s="42">
        <f t="shared" si="4"/>
        <v>11176470</v>
      </c>
      <c r="E33" s="304">
        <f t="shared" si="2"/>
        <v>0.06397</v>
      </c>
      <c r="F33" s="42">
        <f t="shared" si="5"/>
        <v>10366903.03525</v>
      </c>
      <c r="G33" s="42">
        <f t="shared" si="3"/>
        <v>11411</v>
      </c>
      <c r="H33" s="104"/>
      <c r="I33" s="104"/>
      <c r="J33" s="242"/>
    </row>
    <row r="34" spans="1:10" ht="12.75">
      <c r="A34" s="90">
        <v>41820</v>
      </c>
      <c r="B34" s="215">
        <f t="shared" si="0"/>
        <v>91</v>
      </c>
      <c r="C34" s="41">
        <f t="shared" si="1"/>
        <v>625882360</v>
      </c>
      <c r="D34" s="41">
        <f t="shared" si="4"/>
        <v>11176470</v>
      </c>
      <c r="E34" s="302">
        <f t="shared" si="2"/>
        <v>0.06397</v>
      </c>
      <c r="F34" s="41">
        <f t="shared" si="5"/>
        <v>10301365.153650278</v>
      </c>
      <c r="G34" s="41">
        <f t="shared" si="3"/>
        <v>11411</v>
      </c>
      <c r="H34" s="91"/>
      <c r="I34" s="91"/>
      <c r="J34" s="231"/>
    </row>
    <row r="35" spans="1:10" ht="12.75">
      <c r="A35" s="90">
        <v>41912</v>
      </c>
      <c r="B35" s="215">
        <f t="shared" si="0"/>
        <v>92</v>
      </c>
      <c r="C35" s="41">
        <f t="shared" si="1"/>
        <v>614705890</v>
      </c>
      <c r="D35" s="41">
        <f t="shared" si="4"/>
        <v>11176470</v>
      </c>
      <c r="E35" s="302">
        <f t="shared" si="2"/>
        <v>0.06397</v>
      </c>
      <c r="F35" s="41">
        <f t="shared" si="5"/>
        <v>10231855.278795557</v>
      </c>
      <c r="G35" s="41">
        <f t="shared" si="3"/>
        <v>11411</v>
      </c>
      <c r="H35" s="91"/>
      <c r="I35" s="91"/>
      <c r="J35" s="231"/>
    </row>
    <row r="36" spans="1:10" ht="12.75">
      <c r="A36" s="97">
        <v>42004</v>
      </c>
      <c r="B36" s="187">
        <f t="shared" si="0"/>
        <v>92</v>
      </c>
      <c r="C36" s="99">
        <f t="shared" si="1"/>
        <v>603529420</v>
      </c>
      <c r="D36" s="99">
        <f t="shared" si="4"/>
        <v>11176470</v>
      </c>
      <c r="E36" s="303">
        <f t="shared" si="2"/>
        <v>0.06397</v>
      </c>
      <c r="F36" s="99">
        <f t="shared" si="5"/>
        <v>10049143.589065555</v>
      </c>
      <c r="G36" s="99">
        <f t="shared" si="3"/>
        <v>11411</v>
      </c>
      <c r="H36" s="300">
        <f>SUM(F33:G36)</f>
        <v>40994911.056761384</v>
      </c>
      <c r="I36" s="300">
        <f>SUM(D33:D36)</f>
        <v>44705880</v>
      </c>
      <c r="J36" s="301">
        <f>SUM(H36:I36)</f>
        <v>85700791.05676138</v>
      </c>
    </row>
    <row r="37" spans="1:10" ht="12.75">
      <c r="A37" s="103">
        <v>42094</v>
      </c>
      <c r="B37" s="435">
        <f t="shared" si="0"/>
        <v>90</v>
      </c>
      <c r="C37" s="42">
        <f t="shared" si="1"/>
        <v>592352950</v>
      </c>
      <c r="D37" s="42">
        <f t="shared" si="4"/>
        <v>11176470</v>
      </c>
      <c r="E37" s="304">
        <f t="shared" si="2"/>
        <v>0.06397</v>
      </c>
      <c r="F37" s="42">
        <f t="shared" si="5"/>
        <v>9651944.24935</v>
      </c>
      <c r="G37" s="42">
        <f t="shared" si="3"/>
        <v>11411</v>
      </c>
      <c r="H37" s="104"/>
      <c r="I37" s="104"/>
      <c r="J37" s="242"/>
    </row>
    <row r="38" spans="1:10" ht="12.75">
      <c r="A38" s="90">
        <v>42185</v>
      </c>
      <c r="B38" s="215">
        <f t="shared" si="0"/>
        <v>91</v>
      </c>
      <c r="C38" s="41">
        <f t="shared" si="1"/>
        <v>581176480</v>
      </c>
      <c r="D38" s="41">
        <f t="shared" si="4"/>
        <v>11176470</v>
      </c>
      <c r="E38" s="302">
        <f t="shared" si="2"/>
        <v>0.06397</v>
      </c>
      <c r="F38" s="41">
        <f t="shared" si="5"/>
        <v>9578462.381240277</v>
      </c>
      <c r="G38" s="41">
        <f t="shared" si="3"/>
        <v>11411</v>
      </c>
      <c r="H38" s="91"/>
      <c r="I38" s="91"/>
      <c r="J38" s="231"/>
    </row>
    <row r="39" spans="1:10" ht="12.75">
      <c r="A39" s="90">
        <v>42277</v>
      </c>
      <c r="B39" s="215">
        <f t="shared" si="0"/>
        <v>92</v>
      </c>
      <c r="C39" s="41">
        <f t="shared" si="1"/>
        <v>570000010</v>
      </c>
      <c r="D39" s="41">
        <f t="shared" si="4"/>
        <v>11176470</v>
      </c>
      <c r="E39" s="302">
        <f t="shared" si="2"/>
        <v>0.06397</v>
      </c>
      <c r="F39" s="41">
        <f t="shared" si="5"/>
        <v>9501008.519875554</v>
      </c>
      <c r="G39" s="41">
        <f t="shared" si="3"/>
        <v>11411</v>
      </c>
      <c r="H39" s="91"/>
      <c r="I39" s="91"/>
      <c r="J39" s="231"/>
    </row>
    <row r="40" spans="1:10" ht="12.75">
      <c r="A40" s="97">
        <v>42369</v>
      </c>
      <c r="B40" s="187">
        <f t="shared" si="0"/>
        <v>92</v>
      </c>
      <c r="C40" s="99">
        <f t="shared" si="1"/>
        <v>558823540</v>
      </c>
      <c r="D40" s="99">
        <f aca="true" t="shared" si="6" ref="D40:D55">D39</f>
        <v>11176470</v>
      </c>
      <c r="E40" s="303">
        <f t="shared" si="2"/>
        <v>0.06397</v>
      </c>
      <c r="F40" s="99">
        <f t="shared" si="5"/>
        <v>9318296.830145556</v>
      </c>
      <c r="G40" s="99">
        <f t="shared" si="3"/>
        <v>11411</v>
      </c>
      <c r="H40" s="300">
        <f>SUM(F37:G40)</f>
        <v>38095355.980611384</v>
      </c>
      <c r="I40" s="300">
        <f>SUM(D37:D40)</f>
        <v>44705880</v>
      </c>
      <c r="J40" s="301">
        <f>SUM(H40:I40)</f>
        <v>82801235.98061138</v>
      </c>
    </row>
    <row r="41" spans="1:10" ht="12.75">
      <c r="A41" s="103">
        <v>42460</v>
      </c>
      <c r="B41" s="435">
        <f t="shared" si="0"/>
        <v>91</v>
      </c>
      <c r="C41" s="42">
        <f t="shared" si="1"/>
        <v>547647070</v>
      </c>
      <c r="D41" s="42">
        <f t="shared" si="6"/>
        <v>11176470</v>
      </c>
      <c r="E41" s="304">
        <f t="shared" si="2"/>
        <v>0.06397</v>
      </c>
      <c r="F41" s="42">
        <f t="shared" si="5"/>
        <v>9036285.301932778</v>
      </c>
      <c r="G41" s="42">
        <f t="shared" si="3"/>
        <v>11411</v>
      </c>
      <c r="H41" s="104"/>
      <c r="I41" s="104"/>
      <c r="J41" s="242"/>
    </row>
    <row r="42" spans="1:10" ht="12.75">
      <c r="A42" s="90">
        <v>42551</v>
      </c>
      <c r="B42" s="215">
        <f t="shared" si="0"/>
        <v>91</v>
      </c>
      <c r="C42" s="41">
        <f t="shared" si="1"/>
        <v>536470600</v>
      </c>
      <c r="D42" s="41">
        <f t="shared" si="6"/>
        <v>11176470</v>
      </c>
      <c r="E42" s="302">
        <f t="shared" si="2"/>
        <v>0.06397</v>
      </c>
      <c r="F42" s="41">
        <f t="shared" si="5"/>
        <v>8855559.608830279</v>
      </c>
      <c r="G42" s="41">
        <f t="shared" si="3"/>
        <v>11411</v>
      </c>
      <c r="H42" s="91"/>
      <c r="I42" s="91"/>
      <c r="J42" s="231"/>
    </row>
    <row r="43" spans="1:10" ht="12.75">
      <c r="A43" s="90">
        <v>42643</v>
      </c>
      <c r="B43" s="215">
        <f t="shared" si="0"/>
        <v>92</v>
      </c>
      <c r="C43" s="41">
        <f t="shared" si="1"/>
        <v>525294130</v>
      </c>
      <c r="D43" s="41">
        <f t="shared" si="6"/>
        <v>11176470</v>
      </c>
      <c r="E43" s="302">
        <f t="shared" si="2"/>
        <v>0.06397</v>
      </c>
      <c r="F43" s="41">
        <f t="shared" si="5"/>
        <v>8770161.760955555</v>
      </c>
      <c r="G43" s="41">
        <f t="shared" si="3"/>
        <v>11411</v>
      </c>
      <c r="H43" s="91"/>
      <c r="I43" s="91"/>
      <c r="J43" s="231"/>
    </row>
    <row r="44" spans="1:10" ht="12.75">
      <c r="A44" s="97">
        <v>42735</v>
      </c>
      <c r="B44" s="187">
        <f t="shared" si="0"/>
        <v>92</v>
      </c>
      <c r="C44" s="99">
        <f t="shared" si="1"/>
        <v>514117660</v>
      </c>
      <c r="D44" s="99">
        <f t="shared" si="6"/>
        <v>11176470</v>
      </c>
      <c r="E44" s="303">
        <f t="shared" si="2"/>
        <v>0.06397</v>
      </c>
      <c r="F44" s="99">
        <f t="shared" si="5"/>
        <v>8587450.071225556</v>
      </c>
      <c r="G44" s="99">
        <f t="shared" si="3"/>
        <v>11411</v>
      </c>
      <c r="H44" s="300">
        <f>SUM(F41:G44)</f>
        <v>35295100.742944166</v>
      </c>
      <c r="I44" s="300">
        <f>SUM(D41:D44)</f>
        <v>44705880</v>
      </c>
      <c r="J44" s="301">
        <f>SUM(H44:I44)</f>
        <v>80000980.74294417</v>
      </c>
    </row>
    <row r="45" spans="1:10" ht="12.75">
      <c r="A45" s="103">
        <v>42825</v>
      </c>
      <c r="B45" s="435">
        <f t="shared" si="0"/>
        <v>90</v>
      </c>
      <c r="C45" s="42">
        <f t="shared" si="1"/>
        <v>502941190</v>
      </c>
      <c r="D45" s="42">
        <f t="shared" si="6"/>
        <v>11176470</v>
      </c>
      <c r="E45" s="304">
        <f t="shared" si="2"/>
        <v>0.06397</v>
      </c>
      <c r="F45" s="42">
        <f t="shared" si="5"/>
        <v>8222026.67755</v>
      </c>
      <c r="G45" s="42">
        <f t="shared" si="3"/>
        <v>11411</v>
      </c>
      <c r="H45" s="104"/>
      <c r="I45" s="104"/>
      <c r="J45" s="242"/>
    </row>
    <row r="46" spans="1:10" ht="12.75">
      <c r="A46" s="90">
        <v>42916</v>
      </c>
      <c r="B46" s="215">
        <f t="shared" si="0"/>
        <v>91</v>
      </c>
      <c r="C46" s="41">
        <f t="shared" si="1"/>
        <v>491764720</v>
      </c>
      <c r="D46" s="41">
        <f t="shared" si="6"/>
        <v>11176470</v>
      </c>
      <c r="E46" s="302">
        <f t="shared" si="2"/>
        <v>0.06397</v>
      </c>
      <c r="F46" s="41">
        <f t="shared" si="5"/>
        <v>8132656.836420278</v>
      </c>
      <c r="G46" s="41">
        <f t="shared" si="3"/>
        <v>11411</v>
      </c>
      <c r="H46" s="91"/>
      <c r="I46" s="91"/>
      <c r="J46" s="231"/>
    </row>
    <row r="47" spans="1:10" ht="12.75">
      <c r="A47" s="90">
        <v>43008</v>
      </c>
      <c r="B47" s="215">
        <f t="shared" si="0"/>
        <v>92</v>
      </c>
      <c r="C47" s="41">
        <f t="shared" si="1"/>
        <v>480588250</v>
      </c>
      <c r="D47" s="41">
        <f t="shared" si="6"/>
        <v>11176470</v>
      </c>
      <c r="E47" s="302">
        <f t="shared" si="2"/>
        <v>0.06397</v>
      </c>
      <c r="F47" s="41">
        <f t="shared" si="5"/>
        <v>8039315.002035555</v>
      </c>
      <c r="G47" s="41">
        <f t="shared" si="3"/>
        <v>11411</v>
      </c>
      <c r="H47" s="91"/>
      <c r="I47" s="91"/>
      <c r="J47" s="231"/>
    </row>
    <row r="48" spans="1:10" ht="12.75">
      <c r="A48" s="97">
        <v>43100</v>
      </c>
      <c r="B48" s="187">
        <f t="shared" si="0"/>
        <v>92</v>
      </c>
      <c r="C48" s="99">
        <f t="shared" si="1"/>
        <v>469411780</v>
      </c>
      <c r="D48" s="99">
        <f t="shared" si="6"/>
        <v>11176470</v>
      </c>
      <c r="E48" s="303">
        <f t="shared" si="2"/>
        <v>0.06397</v>
      </c>
      <c r="F48" s="99">
        <f t="shared" si="5"/>
        <v>7856603.312305556</v>
      </c>
      <c r="G48" s="99">
        <f t="shared" si="3"/>
        <v>11411</v>
      </c>
      <c r="H48" s="300">
        <f>SUM(F45:G48)</f>
        <v>32296245.828311387</v>
      </c>
      <c r="I48" s="300">
        <f>SUM(D45:D48)</f>
        <v>44705880</v>
      </c>
      <c r="J48" s="301">
        <f>SUM(H48:I48)</f>
        <v>77002125.82831138</v>
      </c>
    </row>
    <row r="49" spans="1:10" ht="12.75">
      <c r="A49" s="103">
        <v>43190</v>
      </c>
      <c r="B49" s="435">
        <f t="shared" si="0"/>
        <v>90</v>
      </c>
      <c r="C49" s="42">
        <f t="shared" si="1"/>
        <v>458235310</v>
      </c>
      <c r="D49" s="42">
        <f t="shared" si="6"/>
        <v>11176470</v>
      </c>
      <c r="E49" s="304">
        <f t="shared" si="2"/>
        <v>0.06397</v>
      </c>
      <c r="F49" s="42">
        <f t="shared" si="5"/>
        <v>7507067.89165</v>
      </c>
      <c r="G49" s="42">
        <f t="shared" si="3"/>
        <v>11411</v>
      </c>
      <c r="H49" s="104"/>
      <c r="I49" s="104"/>
      <c r="J49" s="242"/>
    </row>
    <row r="50" spans="1:10" ht="12.75">
      <c r="A50" s="90">
        <v>43281</v>
      </c>
      <c r="B50" s="215">
        <f t="shared" si="0"/>
        <v>91</v>
      </c>
      <c r="C50" s="41">
        <f t="shared" si="1"/>
        <v>447058840</v>
      </c>
      <c r="D50" s="41">
        <f t="shared" si="6"/>
        <v>11176470</v>
      </c>
      <c r="E50" s="302">
        <f t="shared" si="2"/>
        <v>0.06397</v>
      </c>
      <c r="F50" s="41">
        <f t="shared" si="5"/>
        <v>7409754.064010276</v>
      </c>
      <c r="G50" s="41">
        <f t="shared" si="3"/>
        <v>11411</v>
      </c>
      <c r="H50" s="91"/>
      <c r="I50" s="91"/>
      <c r="J50" s="231"/>
    </row>
    <row r="51" spans="1:10" ht="12.75">
      <c r="A51" s="90">
        <v>43373</v>
      </c>
      <c r="B51" s="215">
        <f t="shared" si="0"/>
        <v>92</v>
      </c>
      <c r="C51" s="41">
        <f t="shared" si="1"/>
        <v>435882370</v>
      </c>
      <c r="D51" s="41">
        <f t="shared" si="6"/>
        <v>11176470</v>
      </c>
      <c r="E51" s="302">
        <f t="shared" si="2"/>
        <v>0.06397</v>
      </c>
      <c r="F51" s="41">
        <f t="shared" si="5"/>
        <v>7308468.2431155555</v>
      </c>
      <c r="G51" s="41">
        <f t="shared" si="3"/>
        <v>11411</v>
      </c>
      <c r="H51" s="91"/>
      <c r="I51" s="91"/>
      <c r="J51" s="231"/>
    </row>
    <row r="52" spans="1:10" ht="12.75">
      <c r="A52" s="97">
        <v>43465</v>
      </c>
      <c r="B52" s="187">
        <f t="shared" si="0"/>
        <v>92</v>
      </c>
      <c r="C52" s="99">
        <f t="shared" si="1"/>
        <v>424705900</v>
      </c>
      <c r="D52" s="99">
        <f t="shared" si="6"/>
        <v>11176470</v>
      </c>
      <c r="E52" s="303">
        <f t="shared" si="2"/>
        <v>0.06397</v>
      </c>
      <c r="F52" s="99">
        <f t="shared" si="5"/>
        <v>7125756.553385555</v>
      </c>
      <c r="G52" s="99">
        <f t="shared" si="3"/>
        <v>11411</v>
      </c>
      <c r="H52" s="300">
        <f>SUM(F49:G52)</f>
        <v>29396690.752161387</v>
      </c>
      <c r="I52" s="300">
        <f>SUM(D49:D52)</f>
        <v>44705880</v>
      </c>
      <c r="J52" s="301">
        <f>SUM(H52:I52)</f>
        <v>74102570.75216138</v>
      </c>
    </row>
    <row r="53" spans="1:10" ht="12.75">
      <c r="A53" s="103">
        <v>43555</v>
      </c>
      <c r="B53" s="435">
        <f t="shared" si="0"/>
        <v>90</v>
      </c>
      <c r="C53" s="42">
        <f t="shared" si="1"/>
        <v>413529430</v>
      </c>
      <c r="D53" s="42">
        <f t="shared" si="6"/>
        <v>11176470</v>
      </c>
      <c r="E53" s="304">
        <f t="shared" si="2"/>
        <v>0.06397</v>
      </c>
      <c r="F53" s="42">
        <f t="shared" si="5"/>
        <v>6792109.105750001</v>
      </c>
      <c r="G53" s="42">
        <f t="shared" si="3"/>
        <v>11411</v>
      </c>
      <c r="H53" s="104"/>
      <c r="I53" s="104"/>
      <c r="J53" s="242"/>
    </row>
    <row r="54" spans="1:10" ht="12.75">
      <c r="A54" s="90">
        <v>43646</v>
      </c>
      <c r="B54" s="215">
        <f t="shared" si="0"/>
        <v>91</v>
      </c>
      <c r="C54" s="41">
        <f t="shared" si="1"/>
        <v>402352960</v>
      </c>
      <c r="D54" s="41">
        <f t="shared" si="6"/>
        <v>11176470</v>
      </c>
      <c r="E54" s="302">
        <f t="shared" si="2"/>
        <v>0.06397</v>
      </c>
      <c r="F54" s="41">
        <f t="shared" si="5"/>
        <v>6686851.291600278</v>
      </c>
      <c r="G54" s="41">
        <f t="shared" si="3"/>
        <v>11411</v>
      </c>
      <c r="H54" s="91"/>
      <c r="I54" s="91"/>
      <c r="J54" s="231"/>
    </row>
    <row r="55" spans="1:10" ht="12.75">
      <c r="A55" s="90">
        <v>43738</v>
      </c>
      <c r="B55" s="215">
        <f t="shared" si="0"/>
        <v>92</v>
      </c>
      <c r="C55" s="41">
        <f t="shared" si="1"/>
        <v>391176490</v>
      </c>
      <c r="D55" s="41">
        <f t="shared" si="6"/>
        <v>11176470</v>
      </c>
      <c r="E55" s="302">
        <f t="shared" si="2"/>
        <v>0.06397</v>
      </c>
      <c r="F55" s="41">
        <f t="shared" si="5"/>
        <v>6577621.484195556</v>
      </c>
      <c r="G55" s="41">
        <f t="shared" si="3"/>
        <v>11411</v>
      </c>
      <c r="H55" s="91"/>
      <c r="I55" s="91"/>
      <c r="J55" s="231"/>
    </row>
    <row r="56" spans="1:10" ht="12.75">
      <c r="A56" s="97">
        <v>43830</v>
      </c>
      <c r="B56" s="187">
        <f t="shared" si="0"/>
        <v>92</v>
      </c>
      <c r="C56" s="99">
        <f t="shared" si="1"/>
        <v>380000020</v>
      </c>
      <c r="D56" s="99">
        <f aca="true" t="shared" si="7" ref="D56:D71">D55</f>
        <v>11176470</v>
      </c>
      <c r="E56" s="303">
        <f t="shared" si="2"/>
        <v>0.06397</v>
      </c>
      <c r="F56" s="99">
        <f t="shared" si="5"/>
        <v>6394909.794465555</v>
      </c>
      <c r="G56" s="99">
        <f t="shared" si="3"/>
        <v>11411</v>
      </c>
      <c r="H56" s="300">
        <f>SUM(F53:G56)</f>
        <v>26497135.67601139</v>
      </c>
      <c r="I56" s="300">
        <f>SUM(D53:D56)</f>
        <v>44705880</v>
      </c>
      <c r="J56" s="301">
        <f>SUM(H56:I56)</f>
        <v>71203015.67601138</v>
      </c>
    </row>
    <row r="57" spans="1:10" ht="12.75">
      <c r="A57" s="103">
        <v>43921</v>
      </c>
      <c r="B57" s="435">
        <f t="shared" si="0"/>
        <v>91</v>
      </c>
      <c r="C57" s="42">
        <f t="shared" si="1"/>
        <v>368823550</v>
      </c>
      <c r="D57" s="42">
        <f t="shared" si="7"/>
        <v>11176470</v>
      </c>
      <c r="E57" s="304">
        <f t="shared" si="2"/>
        <v>0.06397</v>
      </c>
      <c r="F57" s="42">
        <f t="shared" si="5"/>
        <v>6144674.212292776</v>
      </c>
      <c r="G57" s="42">
        <f t="shared" si="3"/>
        <v>11411</v>
      </c>
      <c r="H57" s="104"/>
      <c r="I57" s="104"/>
      <c r="J57" s="242"/>
    </row>
    <row r="58" spans="1:10" ht="12.75">
      <c r="A58" s="90">
        <v>44012</v>
      </c>
      <c r="B58" s="215">
        <f t="shared" si="0"/>
        <v>91</v>
      </c>
      <c r="C58" s="41">
        <f t="shared" si="1"/>
        <v>357647080</v>
      </c>
      <c r="D58" s="41">
        <f t="shared" si="7"/>
        <v>11176470</v>
      </c>
      <c r="E58" s="302">
        <f t="shared" si="2"/>
        <v>0.06397</v>
      </c>
      <c r="F58" s="41">
        <f t="shared" si="5"/>
        <v>5963948.519190278</v>
      </c>
      <c r="G58" s="41">
        <f t="shared" si="3"/>
        <v>11411</v>
      </c>
      <c r="H58" s="91"/>
      <c r="I58" s="91"/>
      <c r="J58" s="231"/>
    </row>
    <row r="59" spans="1:10" ht="12.75">
      <c r="A59" s="90">
        <v>44104</v>
      </c>
      <c r="B59" s="215">
        <f t="shared" si="0"/>
        <v>92</v>
      </c>
      <c r="C59" s="41">
        <f t="shared" si="1"/>
        <v>346470610</v>
      </c>
      <c r="D59" s="41">
        <f t="shared" si="7"/>
        <v>11176470</v>
      </c>
      <c r="E59" s="302">
        <f t="shared" si="2"/>
        <v>0.06397</v>
      </c>
      <c r="F59" s="41">
        <f t="shared" si="5"/>
        <v>5846774.725275556</v>
      </c>
      <c r="G59" s="41">
        <f t="shared" si="3"/>
        <v>11411</v>
      </c>
      <c r="H59" s="91"/>
      <c r="I59" s="91"/>
      <c r="J59" s="231"/>
    </row>
    <row r="60" spans="1:10" ht="12.75">
      <c r="A60" s="97">
        <v>44196</v>
      </c>
      <c r="B60" s="187">
        <f t="shared" si="0"/>
        <v>92</v>
      </c>
      <c r="C60" s="99">
        <f t="shared" si="1"/>
        <v>335294140</v>
      </c>
      <c r="D60" s="99">
        <f t="shared" si="7"/>
        <v>11176470</v>
      </c>
      <c r="E60" s="303">
        <f t="shared" si="2"/>
        <v>0.06397</v>
      </c>
      <c r="F60" s="99">
        <f t="shared" si="5"/>
        <v>5664063.035545556</v>
      </c>
      <c r="G60" s="99">
        <f t="shared" si="3"/>
        <v>11411</v>
      </c>
      <c r="H60" s="300">
        <f>SUM(F57:G60)</f>
        <v>23665104.49230417</v>
      </c>
      <c r="I60" s="300">
        <f>SUM(D57:D60)</f>
        <v>44705880</v>
      </c>
      <c r="J60" s="301">
        <f>SUM(H60:I60)</f>
        <v>68370984.49230418</v>
      </c>
    </row>
    <row r="61" spans="1:10" ht="12.75">
      <c r="A61" s="103">
        <v>44286</v>
      </c>
      <c r="B61" s="435">
        <f t="shared" si="0"/>
        <v>90</v>
      </c>
      <c r="C61" s="42">
        <f t="shared" si="1"/>
        <v>324117670</v>
      </c>
      <c r="D61" s="42">
        <f t="shared" si="7"/>
        <v>11176470</v>
      </c>
      <c r="E61" s="304">
        <f t="shared" si="2"/>
        <v>0.06397</v>
      </c>
      <c r="F61" s="42">
        <f t="shared" si="5"/>
        <v>5362191.53395</v>
      </c>
      <c r="G61" s="42">
        <f t="shared" si="3"/>
        <v>11411</v>
      </c>
      <c r="H61" s="104"/>
      <c r="I61" s="104"/>
      <c r="J61" s="242"/>
    </row>
    <row r="62" spans="1:10" ht="12.75">
      <c r="A62" s="90">
        <v>44377</v>
      </c>
      <c r="B62" s="215">
        <f t="shared" si="0"/>
        <v>91</v>
      </c>
      <c r="C62" s="41">
        <f t="shared" si="1"/>
        <v>312941200</v>
      </c>
      <c r="D62" s="41">
        <f t="shared" si="7"/>
        <v>11176470</v>
      </c>
      <c r="E62" s="302">
        <f t="shared" si="2"/>
        <v>0.06397</v>
      </c>
      <c r="F62" s="41">
        <f t="shared" si="5"/>
        <v>5241045.746780277</v>
      </c>
      <c r="G62" s="41">
        <f t="shared" si="3"/>
        <v>11411</v>
      </c>
      <c r="H62" s="91"/>
      <c r="I62" s="91"/>
      <c r="J62" s="231"/>
    </row>
    <row r="63" spans="1:10" ht="12.75">
      <c r="A63" s="90">
        <v>44469</v>
      </c>
      <c r="B63" s="215">
        <f t="shared" si="0"/>
        <v>92</v>
      </c>
      <c r="C63" s="41">
        <f t="shared" si="1"/>
        <v>301764730</v>
      </c>
      <c r="D63" s="41">
        <f t="shared" si="7"/>
        <v>11176470</v>
      </c>
      <c r="E63" s="302">
        <f t="shared" si="2"/>
        <v>0.06397</v>
      </c>
      <c r="F63" s="41">
        <f t="shared" si="5"/>
        <v>5115927.966355556</v>
      </c>
      <c r="G63" s="41">
        <f t="shared" si="3"/>
        <v>11411</v>
      </c>
      <c r="H63" s="91"/>
      <c r="I63" s="91"/>
      <c r="J63" s="231"/>
    </row>
    <row r="64" spans="1:10" ht="12.75">
      <c r="A64" s="97">
        <v>44561</v>
      </c>
      <c r="B64" s="187">
        <f t="shared" si="0"/>
        <v>92</v>
      </c>
      <c r="C64" s="99">
        <f t="shared" si="1"/>
        <v>290588260</v>
      </c>
      <c r="D64" s="99">
        <f t="shared" si="7"/>
        <v>11176470</v>
      </c>
      <c r="E64" s="303">
        <f t="shared" si="2"/>
        <v>0.06397</v>
      </c>
      <c r="F64" s="99">
        <f t="shared" si="5"/>
        <v>4933216.276625555</v>
      </c>
      <c r="G64" s="99">
        <f t="shared" si="3"/>
        <v>11411</v>
      </c>
      <c r="H64" s="300">
        <f>SUM(F61:G64)</f>
        <v>20698025.523711387</v>
      </c>
      <c r="I64" s="300">
        <f>SUM(D61:D64)</f>
        <v>44705880</v>
      </c>
      <c r="J64" s="301">
        <f>SUM(H64:I64)</f>
        <v>65403905.52371138</v>
      </c>
    </row>
    <row r="65" spans="1:10" ht="12.75">
      <c r="A65" s="103">
        <v>44651</v>
      </c>
      <c r="B65" s="435">
        <f t="shared" si="0"/>
        <v>90</v>
      </c>
      <c r="C65" s="42">
        <f t="shared" si="1"/>
        <v>279411790</v>
      </c>
      <c r="D65" s="42">
        <f t="shared" si="7"/>
        <v>11176470</v>
      </c>
      <c r="E65" s="304">
        <f t="shared" si="2"/>
        <v>0.06397</v>
      </c>
      <c r="F65" s="42">
        <f t="shared" si="5"/>
        <v>4647232.74805</v>
      </c>
      <c r="G65" s="42">
        <f t="shared" si="3"/>
        <v>11411</v>
      </c>
      <c r="H65" s="104"/>
      <c r="I65" s="104"/>
      <c r="J65" s="242"/>
    </row>
    <row r="66" spans="1:10" ht="12.75">
      <c r="A66" s="90">
        <v>44742</v>
      </c>
      <c r="B66" s="215">
        <f t="shared" si="0"/>
        <v>91</v>
      </c>
      <c r="C66" s="41">
        <f t="shared" si="1"/>
        <v>268235320</v>
      </c>
      <c r="D66" s="41">
        <f t="shared" si="7"/>
        <v>11176470</v>
      </c>
      <c r="E66" s="302">
        <f t="shared" si="2"/>
        <v>0.06397</v>
      </c>
      <c r="F66" s="41">
        <f t="shared" si="5"/>
        <v>4518142.974370278</v>
      </c>
      <c r="G66" s="41">
        <f t="shared" si="3"/>
        <v>11411</v>
      </c>
      <c r="H66" s="91"/>
      <c r="I66" s="91"/>
      <c r="J66" s="231"/>
    </row>
    <row r="67" spans="1:10" ht="12.75">
      <c r="A67" s="90">
        <v>44834</v>
      </c>
      <c r="B67" s="215">
        <f t="shared" si="0"/>
        <v>92</v>
      </c>
      <c r="C67" s="41">
        <f t="shared" si="1"/>
        <v>257058850</v>
      </c>
      <c r="D67" s="41">
        <f t="shared" si="7"/>
        <v>11176470</v>
      </c>
      <c r="E67" s="302">
        <f t="shared" si="2"/>
        <v>0.06397</v>
      </c>
      <c r="F67" s="41">
        <f t="shared" si="5"/>
        <v>4385081.207435556</v>
      </c>
      <c r="G67" s="41">
        <f t="shared" si="3"/>
        <v>11411</v>
      </c>
      <c r="H67" s="91"/>
      <c r="I67" s="91"/>
      <c r="J67" s="231"/>
    </row>
    <row r="68" spans="1:10" ht="12.75">
      <c r="A68" s="97">
        <v>44926</v>
      </c>
      <c r="B68" s="187">
        <f t="shared" si="0"/>
        <v>92</v>
      </c>
      <c r="C68" s="99">
        <f t="shared" si="1"/>
        <v>245882380</v>
      </c>
      <c r="D68" s="99">
        <f t="shared" si="7"/>
        <v>11176470</v>
      </c>
      <c r="E68" s="303">
        <f t="shared" si="2"/>
        <v>0.06397</v>
      </c>
      <c r="F68" s="99">
        <f t="shared" si="5"/>
        <v>4202369.517705556</v>
      </c>
      <c r="G68" s="99">
        <f t="shared" si="3"/>
        <v>11411</v>
      </c>
      <c r="H68" s="300">
        <f>SUM(F65:G68)</f>
        <v>17798470.44756139</v>
      </c>
      <c r="I68" s="300">
        <f>SUM(D65:D68)</f>
        <v>44705880</v>
      </c>
      <c r="J68" s="301">
        <f>SUM(H68:I68)</f>
        <v>62504350.44756139</v>
      </c>
    </row>
    <row r="69" spans="1:10" ht="12.75">
      <c r="A69" s="103">
        <v>45016</v>
      </c>
      <c r="B69" s="435">
        <f t="shared" si="0"/>
        <v>90</v>
      </c>
      <c r="C69" s="42">
        <f t="shared" si="1"/>
        <v>234705910</v>
      </c>
      <c r="D69" s="42">
        <f t="shared" si="7"/>
        <v>11176470</v>
      </c>
      <c r="E69" s="304">
        <f t="shared" si="2"/>
        <v>0.06397</v>
      </c>
      <c r="F69" s="42">
        <f t="shared" si="5"/>
        <v>3932273.9621499996</v>
      </c>
      <c r="G69" s="42">
        <f t="shared" si="3"/>
        <v>11411</v>
      </c>
      <c r="H69" s="104"/>
      <c r="I69" s="104"/>
      <c r="J69" s="242"/>
    </row>
    <row r="70" spans="1:10" ht="12.75">
      <c r="A70" s="90">
        <v>45107</v>
      </c>
      <c r="B70" s="215">
        <f t="shared" si="0"/>
        <v>91</v>
      </c>
      <c r="C70" s="41">
        <f t="shared" si="1"/>
        <v>223529440</v>
      </c>
      <c r="D70" s="41">
        <f t="shared" si="7"/>
        <v>11176470</v>
      </c>
      <c r="E70" s="302">
        <f t="shared" si="2"/>
        <v>0.06397</v>
      </c>
      <c r="F70" s="41">
        <f t="shared" si="5"/>
        <v>3795240.2019602777</v>
      </c>
      <c r="G70" s="41">
        <f t="shared" si="3"/>
        <v>11411</v>
      </c>
      <c r="H70" s="91"/>
      <c r="I70" s="91"/>
      <c r="J70" s="231"/>
    </row>
    <row r="71" spans="1:10" ht="12.75">
      <c r="A71" s="90">
        <v>45199</v>
      </c>
      <c r="B71" s="215">
        <f t="shared" si="0"/>
        <v>92</v>
      </c>
      <c r="C71" s="41">
        <f t="shared" si="1"/>
        <v>212352970</v>
      </c>
      <c r="D71" s="41">
        <f t="shared" si="7"/>
        <v>11176470</v>
      </c>
      <c r="E71" s="302">
        <f t="shared" si="2"/>
        <v>0.06397</v>
      </c>
      <c r="F71" s="41">
        <f t="shared" si="5"/>
        <v>3654234.4485155554</v>
      </c>
      <c r="G71" s="41">
        <f t="shared" si="3"/>
        <v>11411</v>
      </c>
      <c r="H71" s="91"/>
      <c r="I71" s="91"/>
      <c r="J71" s="231"/>
    </row>
    <row r="72" spans="1:10" ht="12.75">
      <c r="A72" s="97">
        <v>45291</v>
      </c>
      <c r="B72" s="187">
        <f t="shared" si="0"/>
        <v>92</v>
      </c>
      <c r="C72" s="99">
        <f t="shared" si="1"/>
        <v>201176500</v>
      </c>
      <c r="D72" s="99">
        <f aca="true" t="shared" si="8" ref="D72:E87">D71</f>
        <v>11176470</v>
      </c>
      <c r="E72" s="303">
        <f t="shared" si="2"/>
        <v>0.06397</v>
      </c>
      <c r="F72" s="99">
        <f t="shared" si="5"/>
        <v>3471522.7587855556</v>
      </c>
      <c r="G72" s="99">
        <f t="shared" si="3"/>
        <v>11411</v>
      </c>
      <c r="H72" s="300">
        <f>SUM(F69:G72)</f>
        <v>14898915.371411387</v>
      </c>
      <c r="I72" s="300">
        <f>SUM(D69:D72)</f>
        <v>44705880</v>
      </c>
      <c r="J72" s="301">
        <f>SUM(H72:I72)</f>
        <v>59604795.37141138</v>
      </c>
    </row>
    <row r="73" spans="1:10" ht="12.75">
      <c r="A73" s="103">
        <v>45382</v>
      </c>
      <c r="B73" s="435">
        <f t="shared" si="0"/>
        <v>91</v>
      </c>
      <c r="C73" s="42">
        <f t="shared" si="1"/>
        <v>190000030</v>
      </c>
      <c r="D73" s="42">
        <f t="shared" si="8"/>
        <v>11176470</v>
      </c>
      <c r="E73" s="304">
        <f t="shared" si="2"/>
        <v>0.06397</v>
      </c>
      <c r="F73" s="42">
        <f t="shared" si="5"/>
        <v>3253063.122652778</v>
      </c>
      <c r="G73" s="42">
        <f t="shared" si="3"/>
        <v>11411</v>
      </c>
      <c r="H73" s="104"/>
      <c r="I73" s="104"/>
      <c r="J73" s="242"/>
    </row>
    <row r="74" spans="1:10" ht="12.75">
      <c r="A74" s="90">
        <v>45473</v>
      </c>
      <c r="B74" s="215">
        <f aca="true" t="shared" si="9" ref="B74:B90">A74-A73</f>
        <v>91</v>
      </c>
      <c r="C74" s="41">
        <f aca="true" t="shared" si="10" ref="C74:C90">C73-D74</f>
        <v>178823560</v>
      </c>
      <c r="D74" s="41">
        <f t="shared" si="8"/>
        <v>11176470</v>
      </c>
      <c r="E74" s="302">
        <f t="shared" si="8"/>
        <v>0.06397</v>
      </c>
      <c r="F74" s="41">
        <f t="shared" si="5"/>
        <v>3072337.4295502775</v>
      </c>
      <c r="G74" s="41">
        <f t="shared" si="3"/>
        <v>11411</v>
      </c>
      <c r="H74" s="91"/>
      <c r="I74" s="91"/>
      <c r="J74" s="231"/>
    </row>
    <row r="75" spans="1:10" ht="12.75">
      <c r="A75" s="90">
        <v>45565</v>
      </c>
      <c r="B75" s="215">
        <f t="shared" si="9"/>
        <v>92</v>
      </c>
      <c r="C75" s="41">
        <f t="shared" si="10"/>
        <v>167647090</v>
      </c>
      <c r="D75" s="41">
        <f t="shared" si="8"/>
        <v>11176470</v>
      </c>
      <c r="E75" s="302">
        <f t="shared" si="8"/>
        <v>0.06397</v>
      </c>
      <c r="F75" s="41">
        <f t="shared" si="5"/>
        <v>2923387.6895955554</v>
      </c>
      <c r="G75" s="41">
        <f t="shared" si="3"/>
        <v>11411</v>
      </c>
      <c r="H75" s="91"/>
      <c r="I75" s="91"/>
      <c r="J75" s="231"/>
    </row>
    <row r="76" spans="1:10" ht="12.75">
      <c r="A76" s="97">
        <v>45657</v>
      </c>
      <c r="B76" s="187">
        <f t="shared" si="9"/>
        <v>92</v>
      </c>
      <c r="C76" s="99">
        <f t="shared" si="10"/>
        <v>156470620</v>
      </c>
      <c r="D76" s="99">
        <f t="shared" si="8"/>
        <v>11176470</v>
      </c>
      <c r="E76" s="303">
        <f t="shared" si="8"/>
        <v>0.06397</v>
      </c>
      <c r="F76" s="99">
        <f t="shared" si="5"/>
        <v>2740675.9998655557</v>
      </c>
      <c r="G76" s="99">
        <f t="shared" si="3"/>
        <v>11411</v>
      </c>
      <c r="H76" s="300">
        <f>SUM(F73:G76)</f>
        <v>12035108.241664167</v>
      </c>
      <c r="I76" s="300">
        <f>SUM(D73:D76)</f>
        <v>44705880</v>
      </c>
      <c r="J76" s="301">
        <f>SUM(H76:I76)</f>
        <v>56740988.24166417</v>
      </c>
    </row>
    <row r="77" spans="1:10" ht="12.75">
      <c r="A77" s="103">
        <v>45747</v>
      </c>
      <c r="B77" s="435">
        <f t="shared" si="9"/>
        <v>90</v>
      </c>
      <c r="C77" s="42">
        <f t="shared" si="10"/>
        <v>145294150</v>
      </c>
      <c r="D77" s="42">
        <f t="shared" si="8"/>
        <v>11176470</v>
      </c>
      <c r="E77" s="304">
        <f t="shared" si="8"/>
        <v>0.06397</v>
      </c>
      <c r="F77" s="42">
        <f t="shared" si="5"/>
        <v>2502356.39035</v>
      </c>
      <c r="G77" s="42">
        <f t="shared" si="3"/>
        <v>11411</v>
      </c>
      <c r="H77" s="104"/>
      <c r="I77" s="104"/>
      <c r="J77" s="242"/>
    </row>
    <row r="78" spans="1:10" ht="12.75">
      <c r="A78" s="90">
        <v>45838</v>
      </c>
      <c r="B78" s="215">
        <f t="shared" si="9"/>
        <v>91</v>
      </c>
      <c r="C78" s="41">
        <f t="shared" si="10"/>
        <v>134117680</v>
      </c>
      <c r="D78" s="41">
        <f t="shared" si="8"/>
        <v>11176470</v>
      </c>
      <c r="E78" s="302">
        <f t="shared" si="8"/>
        <v>0.06397</v>
      </c>
      <c r="F78" s="41">
        <f t="shared" si="5"/>
        <v>2349434.657140278</v>
      </c>
      <c r="G78" s="41">
        <f t="shared" si="3"/>
        <v>11411</v>
      </c>
      <c r="H78" s="91"/>
      <c r="I78" s="91"/>
      <c r="J78" s="231"/>
    </row>
    <row r="79" spans="1:10" ht="12.75">
      <c r="A79" s="90">
        <v>45930</v>
      </c>
      <c r="B79" s="215">
        <f t="shared" si="9"/>
        <v>92</v>
      </c>
      <c r="C79" s="41">
        <f t="shared" si="10"/>
        <v>122941210</v>
      </c>
      <c r="D79" s="41">
        <f t="shared" si="8"/>
        <v>11176470</v>
      </c>
      <c r="E79" s="302">
        <f t="shared" si="8"/>
        <v>0.06397</v>
      </c>
      <c r="F79" s="41">
        <f t="shared" si="5"/>
        <v>2192540.9306755555</v>
      </c>
      <c r="G79" s="41">
        <f t="shared" si="3"/>
        <v>11411</v>
      </c>
      <c r="H79" s="91"/>
      <c r="I79" s="91"/>
      <c r="J79" s="231"/>
    </row>
    <row r="80" spans="1:10" ht="12.75">
      <c r="A80" s="97">
        <v>46022</v>
      </c>
      <c r="B80" s="187">
        <f t="shared" si="9"/>
        <v>92</v>
      </c>
      <c r="C80" s="99">
        <f t="shared" si="10"/>
        <v>111764740</v>
      </c>
      <c r="D80" s="99">
        <f t="shared" si="8"/>
        <v>11176470</v>
      </c>
      <c r="E80" s="303">
        <f t="shared" si="8"/>
        <v>0.06397</v>
      </c>
      <c r="F80" s="99">
        <f t="shared" si="5"/>
        <v>2009829.2409455553</v>
      </c>
      <c r="G80" s="99">
        <f t="shared" si="3"/>
        <v>11411</v>
      </c>
      <c r="H80" s="300">
        <f>SUM(F77:G80)</f>
        <v>9099805.219111389</v>
      </c>
      <c r="I80" s="300">
        <f>SUM(D77:D80)</f>
        <v>44705880</v>
      </c>
      <c r="J80" s="301">
        <f>SUM(H80:I80)</f>
        <v>53805685.21911139</v>
      </c>
    </row>
    <row r="81" spans="1:10" ht="12.75">
      <c r="A81" s="103">
        <v>46112</v>
      </c>
      <c r="B81" s="435">
        <f t="shared" si="9"/>
        <v>90</v>
      </c>
      <c r="C81" s="42">
        <f t="shared" si="10"/>
        <v>100588270</v>
      </c>
      <c r="D81" s="42">
        <f t="shared" si="8"/>
        <v>11176470</v>
      </c>
      <c r="E81" s="304">
        <f t="shared" si="8"/>
        <v>0.06397</v>
      </c>
      <c r="F81" s="42">
        <f t="shared" si="5"/>
        <v>1787397.60445</v>
      </c>
      <c r="G81" s="42">
        <f t="shared" si="3"/>
        <v>11411</v>
      </c>
      <c r="H81" s="104"/>
      <c r="I81" s="104"/>
      <c r="J81" s="242"/>
    </row>
    <row r="82" spans="1:10" ht="12.75">
      <c r="A82" s="90">
        <v>46203</v>
      </c>
      <c r="B82" s="215">
        <f t="shared" si="9"/>
        <v>91</v>
      </c>
      <c r="C82" s="41">
        <f t="shared" si="10"/>
        <v>89411800</v>
      </c>
      <c r="D82" s="41">
        <f t="shared" si="8"/>
        <v>11176470</v>
      </c>
      <c r="E82" s="302">
        <f t="shared" si="8"/>
        <v>0.06397</v>
      </c>
      <c r="F82" s="41">
        <f t="shared" si="5"/>
        <v>1626531.8847302778</v>
      </c>
      <c r="G82" s="41">
        <f t="shared" si="3"/>
        <v>11411</v>
      </c>
      <c r="H82" s="91"/>
      <c r="I82" s="91"/>
      <c r="J82" s="231"/>
    </row>
    <row r="83" spans="1:10" ht="12.75">
      <c r="A83" s="90">
        <v>46295</v>
      </c>
      <c r="B83" s="215">
        <f t="shared" si="9"/>
        <v>92</v>
      </c>
      <c r="C83" s="41">
        <f t="shared" si="10"/>
        <v>78235330</v>
      </c>
      <c r="D83" s="41">
        <f t="shared" si="8"/>
        <v>11176470</v>
      </c>
      <c r="E83" s="302">
        <f t="shared" si="8"/>
        <v>0.06397</v>
      </c>
      <c r="F83" s="41">
        <f t="shared" si="5"/>
        <v>1461694.1717555556</v>
      </c>
      <c r="G83" s="41">
        <f t="shared" si="3"/>
        <v>11411</v>
      </c>
      <c r="H83" s="91"/>
      <c r="I83" s="91"/>
      <c r="J83" s="231"/>
    </row>
    <row r="84" spans="1:10" ht="12.75">
      <c r="A84" s="97">
        <v>46387</v>
      </c>
      <c r="B84" s="187">
        <f t="shared" si="9"/>
        <v>92</v>
      </c>
      <c r="C84" s="99">
        <f t="shared" si="10"/>
        <v>67058860</v>
      </c>
      <c r="D84" s="99">
        <f t="shared" si="8"/>
        <v>11176470</v>
      </c>
      <c r="E84" s="303">
        <f t="shared" si="8"/>
        <v>0.06397</v>
      </c>
      <c r="F84" s="99">
        <f t="shared" si="5"/>
        <v>1278982.4820255556</v>
      </c>
      <c r="G84" s="99">
        <f aca="true" t="shared" si="11" ref="G84:G89">G83</f>
        <v>11411</v>
      </c>
      <c r="H84" s="300">
        <f>SUM(F81:G84)</f>
        <v>6200250.142961389</v>
      </c>
      <c r="I84" s="300">
        <f>SUM(D81:D84)</f>
        <v>44705880</v>
      </c>
      <c r="J84" s="301">
        <f>SUM(H84:I84)</f>
        <v>50906130.14296139</v>
      </c>
    </row>
    <row r="85" spans="1:10" ht="12.75">
      <c r="A85" s="103">
        <v>46477</v>
      </c>
      <c r="B85" s="435">
        <f t="shared" si="9"/>
        <v>90</v>
      </c>
      <c r="C85" s="42">
        <f t="shared" si="10"/>
        <v>55882390</v>
      </c>
      <c r="D85" s="42">
        <f t="shared" si="8"/>
        <v>11176470</v>
      </c>
      <c r="E85" s="304">
        <f t="shared" si="8"/>
        <v>0.06397</v>
      </c>
      <c r="F85" s="42">
        <f aca="true" t="shared" si="12" ref="F85:F90">((C85+D85)*E85/360*B85)</f>
        <v>1072438.81855</v>
      </c>
      <c r="G85" s="42">
        <f t="shared" si="11"/>
        <v>11411</v>
      </c>
      <c r="H85" s="104"/>
      <c r="I85" s="104"/>
      <c r="J85" s="242"/>
    </row>
    <row r="86" spans="1:10" ht="12.75">
      <c r="A86" s="90">
        <v>46568</v>
      </c>
      <c r="B86" s="215">
        <f t="shared" si="9"/>
        <v>91</v>
      </c>
      <c r="C86" s="41">
        <f t="shared" si="10"/>
        <v>44705920</v>
      </c>
      <c r="D86" s="41">
        <f t="shared" si="8"/>
        <v>11176470</v>
      </c>
      <c r="E86" s="302">
        <f t="shared" si="8"/>
        <v>0.06397</v>
      </c>
      <c r="F86" s="41">
        <f t="shared" si="12"/>
        <v>903629.1123202777</v>
      </c>
      <c r="G86" s="41">
        <f t="shared" si="11"/>
        <v>11411</v>
      </c>
      <c r="H86" s="91"/>
      <c r="I86" s="91"/>
      <c r="J86" s="231"/>
    </row>
    <row r="87" spans="1:10" ht="12.75">
      <c r="A87" s="90">
        <v>46660</v>
      </c>
      <c r="B87" s="215">
        <f t="shared" si="9"/>
        <v>92</v>
      </c>
      <c r="C87" s="41">
        <f t="shared" si="10"/>
        <v>33529450</v>
      </c>
      <c r="D87" s="41">
        <f t="shared" si="8"/>
        <v>11176470</v>
      </c>
      <c r="E87" s="302">
        <f t="shared" si="8"/>
        <v>0.06397</v>
      </c>
      <c r="F87" s="41">
        <f t="shared" si="12"/>
        <v>730847.4128355555</v>
      </c>
      <c r="G87" s="41">
        <f t="shared" si="11"/>
        <v>11411</v>
      </c>
      <c r="H87" s="91"/>
      <c r="I87" s="91"/>
      <c r="J87" s="231"/>
    </row>
    <row r="88" spans="1:10" ht="12.75">
      <c r="A88" s="97">
        <v>46752</v>
      </c>
      <c r="B88" s="187">
        <f t="shared" si="9"/>
        <v>92</v>
      </c>
      <c r="C88" s="99">
        <f t="shared" si="10"/>
        <v>22352980</v>
      </c>
      <c r="D88" s="99">
        <f>D87</f>
        <v>11176470</v>
      </c>
      <c r="E88" s="303">
        <f>E87</f>
        <v>0.06397</v>
      </c>
      <c r="F88" s="99">
        <f t="shared" si="12"/>
        <v>548135.7231055555</v>
      </c>
      <c r="G88" s="99">
        <f t="shared" si="11"/>
        <v>11411</v>
      </c>
      <c r="H88" s="300">
        <f>SUM(F85:G88)</f>
        <v>3300695.066811389</v>
      </c>
      <c r="I88" s="300">
        <f>SUM(D85:D88)</f>
        <v>44705880</v>
      </c>
      <c r="J88" s="301">
        <f>SUM(H88:I88)</f>
        <v>48006575.06681139</v>
      </c>
    </row>
    <row r="89" spans="1:10" ht="12.75">
      <c r="A89" s="103">
        <v>46843</v>
      </c>
      <c r="B89" s="435">
        <f t="shared" si="9"/>
        <v>91</v>
      </c>
      <c r="C89" s="42">
        <f t="shared" si="10"/>
        <v>11176510</v>
      </c>
      <c r="D89" s="42">
        <f>D88</f>
        <v>11176470</v>
      </c>
      <c r="E89" s="304">
        <f>E88</f>
        <v>0.06397</v>
      </c>
      <c r="F89" s="42">
        <f t="shared" si="12"/>
        <v>361452.0330127778</v>
      </c>
      <c r="G89" s="42">
        <f t="shared" si="11"/>
        <v>11411</v>
      </c>
      <c r="H89" s="104"/>
      <c r="I89" s="104"/>
      <c r="J89" s="242"/>
    </row>
    <row r="90" spans="1:10" ht="13.5" thickBot="1">
      <c r="A90" s="90">
        <v>46934</v>
      </c>
      <c r="B90" s="215">
        <f t="shared" si="9"/>
        <v>91</v>
      </c>
      <c r="C90" s="41">
        <f t="shared" si="10"/>
        <v>0</v>
      </c>
      <c r="D90" s="41">
        <f>D1-SUM(D23:D89)</f>
        <v>11176510</v>
      </c>
      <c r="E90" s="302">
        <f>E89</f>
        <v>0.06397</v>
      </c>
      <c r="F90" s="41">
        <f t="shared" si="12"/>
        <v>180726.33991027778</v>
      </c>
      <c r="G90" s="41">
        <f>D3-SUM(G16:G89)</f>
        <v>11441</v>
      </c>
      <c r="H90" s="300">
        <f>SUM(F89:G90)</f>
        <v>565030.3729230555</v>
      </c>
      <c r="I90" s="300">
        <f>SUM(D89:D90)</f>
        <v>22352980</v>
      </c>
      <c r="J90" s="301">
        <f>SUM(H90:I90)</f>
        <v>22918010.372923054</v>
      </c>
    </row>
    <row r="91" spans="1:10" ht="13.5" thickTop="1">
      <c r="A91" s="567" t="s">
        <v>14</v>
      </c>
      <c r="B91" s="568"/>
      <c r="C91" s="569"/>
      <c r="D91" s="117">
        <f>SUM(D9:D90)</f>
        <v>760000000</v>
      </c>
      <c r="E91" s="118"/>
      <c r="F91" s="117">
        <f>SUM(F9:F90)</f>
        <v>509652565.62980413</v>
      </c>
      <c r="G91" s="117">
        <f>SUM(G9:G90)</f>
        <v>844444</v>
      </c>
      <c r="H91" s="117">
        <f>SUM(H9:H90)</f>
        <v>510497009.6298041</v>
      </c>
      <c r="I91" s="117">
        <f>SUM(I9:I90)</f>
        <v>760000000</v>
      </c>
      <c r="J91" s="119">
        <f>SUM(J9:J90)</f>
        <v>1270497009.6298044</v>
      </c>
    </row>
    <row r="92" spans="1:10" ht="12.75">
      <c r="A92" s="120"/>
      <c r="E92" s="122"/>
      <c r="H92" s="121"/>
      <c r="J92" s="121"/>
    </row>
    <row r="93" spans="1:10" ht="12.75">
      <c r="A93" s="120"/>
      <c r="E93" s="122"/>
      <c r="G93" s="121"/>
      <c r="H93" s="121"/>
      <c r="J93" s="121"/>
    </row>
    <row r="94" spans="3:4" ht="12.75">
      <c r="C94" s="58"/>
      <c r="D94" s="58"/>
    </row>
    <row r="95" spans="1:8" ht="12.75">
      <c r="A95" s="121"/>
      <c r="C95" s="58"/>
      <c r="D95" s="316" t="s">
        <v>3</v>
      </c>
      <c r="E95" s="316"/>
      <c r="F95" s="316" t="s">
        <v>106</v>
      </c>
      <c r="G95" s="316" t="s">
        <v>137</v>
      </c>
      <c r="H95" s="316" t="s">
        <v>138</v>
      </c>
    </row>
    <row r="96" spans="1:8" ht="12.75">
      <c r="A96" s="261"/>
      <c r="B96" s="498"/>
      <c r="C96" s="337"/>
      <c r="D96" s="337"/>
      <c r="E96" s="338"/>
      <c r="F96" s="338" t="s">
        <v>135</v>
      </c>
      <c r="G96" s="338" t="s">
        <v>136</v>
      </c>
      <c r="H96" s="338" t="s">
        <v>139</v>
      </c>
    </row>
    <row r="97" spans="1:8" ht="12.75">
      <c r="A97" s="121" t="s">
        <v>278</v>
      </c>
      <c r="C97" s="58"/>
      <c r="D97" s="332">
        <v>39780</v>
      </c>
      <c r="E97" s="316"/>
      <c r="F97" s="121">
        <v>260000000</v>
      </c>
      <c r="G97" s="121">
        <f>F97</f>
        <v>260000000</v>
      </c>
      <c r="H97" s="121">
        <f>D$1-G97</f>
        <v>500000000</v>
      </c>
    </row>
    <row r="98" spans="1:8" ht="12.75">
      <c r="A98" s="121" t="s">
        <v>170</v>
      </c>
      <c r="C98" s="58"/>
      <c r="D98" s="332">
        <v>40086</v>
      </c>
      <c r="E98" s="316"/>
      <c r="F98" s="121">
        <v>250000000</v>
      </c>
      <c r="G98" s="121">
        <f>F98+G97</f>
        <v>510000000</v>
      </c>
      <c r="H98" s="121">
        <f>D$1-G98</f>
        <v>250000000</v>
      </c>
    </row>
    <row r="99" spans="1:8" ht="13.5" thickBot="1">
      <c r="A99" s="121" t="s">
        <v>170</v>
      </c>
      <c r="C99" s="58"/>
      <c r="D99" s="332">
        <v>40451</v>
      </c>
      <c r="E99" s="316"/>
      <c r="F99" s="121">
        <v>250000000</v>
      </c>
      <c r="G99" s="121">
        <f>F99+G98</f>
        <v>760000000</v>
      </c>
      <c r="H99" s="121">
        <f>D$1-G99</f>
        <v>0</v>
      </c>
    </row>
    <row r="100" spans="1:6" ht="13.5" thickTop="1">
      <c r="A100" s="126" t="s">
        <v>14</v>
      </c>
      <c r="B100" s="499"/>
      <c r="C100" s="124"/>
      <c r="D100" s="124"/>
      <c r="E100" s="333"/>
      <c r="F100" s="500">
        <f>SUM(F97:F99)</f>
        <v>760000000</v>
      </c>
    </row>
  </sheetData>
  <sheetProtection/>
  <mergeCells count="1">
    <mergeCell ref="A91:C91"/>
  </mergeCells>
  <printOptions horizontalCentered="1"/>
  <pageMargins left="0.3937007874015748" right="0.3937007874015748" top="0.984251968503937" bottom="0.3937007874015748" header="0.3937007874015748" footer="0.11811023622047245"/>
  <pageSetup blackAndWhite="1" horizontalDpi="300" verticalDpi="300" orientation="portrait" paperSize="9" scale="80" r:id="rId1"/>
  <headerFooter alignWithMargins="0">
    <oddHeader>&amp;C&amp;"Times New Roman CE,Félkövér dőlt"&amp;12Adósságszolgálat számítása 
2008-2009-2010. években felvételre tervezett 760 mFt hitel
(Infrastruktúra Fejlesztési Hitelprogram 3. hitelcél)</oddHeader>
    <oddFooter>&amp;L&amp;8&amp;D&amp;C&amp;8C:\Andi\adósságszolgálat2007\&amp;F\&amp;A    Oláhné P. Andrea&amp;R&amp;8&amp;P/&amp;N</oddFooter>
  </headerFooter>
  <rowBreaks count="1" manualBreakCount="1">
    <brk id="6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7"/>
  <sheetViews>
    <sheetView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11.375" style="58" customWidth="1"/>
    <col min="2" max="2" width="5.625" style="434" customWidth="1"/>
    <col min="3" max="3" width="15.375" style="121" customWidth="1"/>
    <col min="4" max="4" width="15.50390625" style="121" bestFit="1" customWidth="1"/>
    <col min="5" max="5" width="8.625" style="58" customWidth="1"/>
    <col min="6" max="6" width="14.375" style="58" customWidth="1"/>
    <col min="7" max="7" width="13.875" style="58" customWidth="1"/>
    <col min="8" max="8" width="14.625" style="58" bestFit="1" customWidth="1"/>
    <col min="9" max="9" width="15.625" style="58" customWidth="1"/>
    <col min="10" max="10" width="16.00390625" style="58" customWidth="1"/>
    <col min="11" max="11" width="2.125" style="58" customWidth="1"/>
    <col min="12" max="16384" width="9.375" style="58" customWidth="1"/>
  </cols>
  <sheetData>
    <row r="1" spans="1:10" ht="12.75">
      <c r="A1" s="162" t="s">
        <v>204</v>
      </c>
      <c r="B1" s="429"/>
      <c r="C1" s="163"/>
      <c r="D1" s="163">
        <v>3250000000</v>
      </c>
      <c r="E1" s="162" t="s">
        <v>205</v>
      </c>
      <c r="F1" s="162" t="s">
        <v>279</v>
      </c>
      <c r="G1" s="162"/>
      <c r="J1" s="292" t="s">
        <v>340</v>
      </c>
    </row>
    <row r="2" spans="1:7" ht="12.75">
      <c r="A2" s="162" t="s">
        <v>206</v>
      </c>
      <c r="B2" s="429"/>
      <c r="C2" s="163"/>
      <c r="D2" s="163">
        <v>17</v>
      </c>
      <c r="E2" s="162" t="s">
        <v>207</v>
      </c>
      <c r="F2" s="162"/>
      <c r="G2" s="162"/>
    </row>
    <row r="3" spans="1:7" ht="12.75">
      <c r="A3" s="162" t="s">
        <v>226</v>
      </c>
      <c r="B3" s="429"/>
      <c r="C3" s="163"/>
      <c r="D3" s="163">
        <v>3611112</v>
      </c>
      <c r="E3" s="162" t="s">
        <v>205</v>
      </c>
      <c r="F3" s="556">
        <f>D3/D1</f>
        <v>0.0011111113846153846</v>
      </c>
      <c r="G3" s="162"/>
    </row>
    <row r="4" spans="1:7" ht="12.75">
      <c r="A4" s="163" t="s">
        <v>228</v>
      </c>
      <c r="B4" s="429"/>
      <c r="C4" s="163"/>
      <c r="D4" s="163">
        <v>3</v>
      </c>
      <c r="E4" s="162" t="s">
        <v>207</v>
      </c>
      <c r="F4" s="162"/>
      <c r="G4" s="162"/>
    </row>
    <row r="5" spans="1:10" ht="12.75">
      <c r="A5" s="163" t="s">
        <v>281</v>
      </c>
      <c r="B5" s="162"/>
      <c r="C5" s="163"/>
      <c r="D5" s="398"/>
      <c r="E5" s="399"/>
      <c r="F5" s="163"/>
      <c r="G5" s="446">
        <v>0.06215</v>
      </c>
      <c r="I5" s="132"/>
      <c r="J5" s="132"/>
    </row>
    <row r="6" spans="1:10" ht="12.75">
      <c r="A6" s="66" t="s">
        <v>3</v>
      </c>
      <c r="B6" s="430" t="s">
        <v>4</v>
      </c>
      <c r="C6" s="68" t="s">
        <v>5</v>
      </c>
      <c r="D6" s="68" t="s">
        <v>21</v>
      </c>
      <c r="E6" s="68" t="s">
        <v>18</v>
      </c>
      <c r="F6" s="69" t="s">
        <v>20</v>
      </c>
      <c r="G6" s="69" t="s">
        <v>120</v>
      </c>
      <c r="H6" s="70" t="s">
        <v>6</v>
      </c>
      <c r="I6" s="70" t="s">
        <v>6</v>
      </c>
      <c r="J6" s="71" t="s">
        <v>6</v>
      </c>
    </row>
    <row r="7" spans="1:10" ht="12.75">
      <c r="A7" s="72"/>
      <c r="B7" s="431" t="s">
        <v>7</v>
      </c>
      <c r="C7" s="74" t="s">
        <v>8</v>
      </c>
      <c r="D7" s="74" t="s">
        <v>13</v>
      </c>
      <c r="E7" s="74" t="s">
        <v>19</v>
      </c>
      <c r="F7" s="75" t="s">
        <v>13</v>
      </c>
      <c r="G7" s="75" t="s">
        <v>121</v>
      </c>
      <c r="H7" s="76" t="s">
        <v>9</v>
      </c>
      <c r="I7" s="76" t="s">
        <v>11</v>
      </c>
      <c r="J7" s="77" t="s">
        <v>10</v>
      </c>
    </row>
    <row r="8" spans="1:10" ht="12.75">
      <c r="A8" s="78"/>
      <c r="B8" s="432"/>
      <c r="C8" s="80"/>
      <c r="D8" s="80"/>
      <c r="E8" s="80"/>
      <c r="F8" s="81"/>
      <c r="G8" s="136" t="s">
        <v>229</v>
      </c>
      <c r="H8" s="136" t="s">
        <v>123</v>
      </c>
      <c r="I8" s="82" t="s">
        <v>13</v>
      </c>
      <c r="J8" s="83" t="s">
        <v>12</v>
      </c>
    </row>
    <row r="9" spans="1:10" s="162" customFormat="1" ht="12.75" hidden="1">
      <c r="A9" s="493">
        <v>39753</v>
      </c>
      <c r="B9" s="494"/>
      <c r="C9" s="495">
        <v>0</v>
      </c>
      <c r="D9" s="325"/>
      <c r="E9" s="325"/>
      <c r="F9" s="325"/>
      <c r="G9" s="325"/>
      <c r="H9" s="325"/>
      <c r="I9" s="325"/>
      <c r="J9" s="496"/>
    </row>
    <row r="10" spans="1:10" ht="12.75" hidden="1">
      <c r="A10" s="97">
        <v>39813</v>
      </c>
      <c r="B10" s="187">
        <f aca="true" t="shared" si="0" ref="B10:B77">A10-A9</f>
        <v>60</v>
      </c>
      <c r="C10" s="99">
        <f aca="true" t="shared" si="1" ref="C10:C77">C9-D10</f>
        <v>0</v>
      </c>
      <c r="D10" s="99"/>
      <c r="E10" s="303">
        <v>0.06397</v>
      </c>
      <c r="F10" s="99">
        <f>((C10+D10)*E10/360*B10)</f>
        <v>0</v>
      </c>
      <c r="G10" s="99"/>
      <c r="H10" s="300">
        <f>SUM(F10:G10)</f>
        <v>0</v>
      </c>
      <c r="I10" s="300">
        <f>SUM(D10:D10)</f>
        <v>0</v>
      </c>
      <c r="J10" s="301">
        <f>SUM(H10:I10)</f>
        <v>0</v>
      </c>
    </row>
    <row r="11" spans="1:10" ht="12.75" hidden="1">
      <c r="A11" s="84">
        <v>39903</v>
      </c>
      <c r="B11" s="521">
        <f t="shared" si="0"/>
        <v>90</v>
      </c>
      <c r="C11" s="86">
        <f t="shared" si="1"/>
        <v>0</v>
      </c>
      <c r="D11" s="86"/>
      <c r="E11" s="304">
        <f aca="true" t="shared" si="2" ref="E11:E77">E10</f>
        <v>0.06397</v>
      </c>
      <c r="F11" s="42">
        <f>((C11+D11)*E11/360*B11)</f>
        <v>0</v>
      </c>
      <c r="G11" s="42"/>
      <c r="H11" s="104"/>
      <c r="I11" s="104"/>
      <c r="J11" s="242"/>
    </row>
    <row r="12" spans="1:10" ht="12.75" hidden="1">
      <c r="A12" s="90">
        <v>39994</v>
      </c>
      <c r="B12" s="215">
        <f t="shared" si="0"/>
        <v>91</v>
      </c>
      <c r="C12" s="41">
        <f t="shared" si="1"/>
        <v>0</v>
      </c>
      <c r="D12" s="41"/>
      <c r="E12" s="302">
        <f t="shared" si="2"/>
        <v>0.06397</v>
      </c>
      <c r="F12" s="41">
        <f>((C12+D12)*E12/360*B12)</f>
        <v>0</v>
      </c>
      <c r="G12" s="41"/>
      <c r="H12" s="91"/>
      <c r="I12" s="91"/>
      <c r="J12" s="231"/>
    </row>
    <row r="13" spans="1:10" ht="12.75" hidden="1">
      <c r="A13" s="90">
        <v>40086</v>
      </c>
      <c r="B13" s="215">
        <f t="shared" si="0"/>
        <v>92</v>
      </c>
      <c r="C13" s="41">
        <f t="shared" si="1"/>
        <v>0</v>
      </c>
      <c r="D13" s="41"/>
      <c r="E13" s="302">
        <f>E12</f>
        <v>0.06397</v>
      </c>
      <c r="F13" s="41">
        <f>((C12+D12)*E13/360*B13)</f>
        <v>0</v>
      </c>
      <c r="G13" s="41"/>
      <c r="H13" s="91"/>
      <c r="I13" s="91"/>
      <c r="J13" s="231"/>
    </row>
    <row r="14" spans="1:10" ht="12.75">
      <c r="A14" s="528">
        <v>40086</v>
      </c>
      <c r="B14" s="548"/>
      <c r="C14" s="93">
        <v>540000000</v>
      </c>
      <c r="D14" s="107"/>
      <c r="E14" s="305"/>
      <c r="F14" s="107"/>
      <c r="G14" s="107"/>
      <c r="H14" s="108"/>
      <c r="I14" s="108"/>
      <c r="J14" s="251"/>
    </row>
    <row r="15" spans="1:10" ht="12.75">
      <c r="A15" s="528">
        <v>40176</v>
      </c>
      <c r="B15" s="548">
        <f t="shared" si="0"/>
        <v>90</v>
      </c>
      <c r="C15" s="93">
        <v>1080000000</v>
      </c>
      <c r="D15" s="107"/>
      <c r="E15" s="305"/>
      <c r="F15" s="107"/>
      <c r="G15" s="107"/>
      <c r="H15" s="108"/>
      <c r="I15" s="108"/>
      <c r="J15" s="251"/>
    </row>
    <row r="16" spans="1:10" ht="12.75">
      <c r="A16" s="97">
        <v>40178</v>
      </c>
      <c r="B16" s="187">
        <f t="shared" si="0"/>
        <v>2</v>
      </c>
      <c r="C16" s="99">
        <f t="shared" si="1"/>
        <v>1080000000</v>
      </c>
      <c r="D16" s="99"/>
      <c r="E16" s="303">
        <f>E13</f>
        <v>0.06397</v>
      </c>
      <c r="F16" s="99">
        <f>((C14+D14)*E16/360*B15)+((C15+D15)*E16/360*B16)</f>
        <v>9019770</v>
      </c>
      <c r="G16" s="99"/>
      <c r="H16" s="300">
        <f>SUM(F11:G16)</f>
        <v>9019770</v>
      </c>
      <c r="I16" s="300">
        <f>SUM(D11:D16)</f>
        <v>0</v>
      </c>
      <c r="J16" s="301">
        <f>SUM(H16:I16)</f>
        <v>9019770</v>
      </c>
    </row>
    <row r="17" spans="1:10" ht="12.75">
      <c r="A17" s="84">
        <v>40268</v>
      </c>
      <c r="B17" s="521">
        <f t="shared" si="0"/>
        <v>90</v>
      </c>
      <c r="C17" s="86">
        <f t="shared" si="1"/>
        <v>1080000000</v>
      </c>
      <c r="D17" s="86"/>
      <c r="E17" s="522">
        <f t="shared" si="2"/>
        <v>0.06397</v>
      </c>
      <c r="F17" s="86">
        <f>((C17+D17)*E17/360*B17)</f>
        <v>17271900</v>
      </c>
      <c r="G17" s="86">
        <f>ROUND(D3/(((D2+D4)*4)-6),0)</f>
        <v>48799</v>
      </c>
      <c r="H17" s="104"/>
      <c r="I17" s="104"/>
      <c r="J17" s="242"/>
    </row>
    <row r="18" spans="1:10" ht="12.75">
      <c r="A18" s="553">
        <v>40268</v>
      </c>
      <c r="B18" s="554"/>
      <c r="C18" s="88">
        <v>1620000000</v>
      </c>
      <c r="D18" s="86"/>
      <c r="E18" s="522"/>
      <c r="F18" s="86"/>
      <c r="G18" s="86"/>
      <c r="H18" s="85"/>
      <c r="I18" s="85"/>
      <c r="J18" s="240"/>
    </row>
    <row r="19" spans="1:10" ht="12.75">
      <c r="A19" s="90">
        <v>40359</v>
      </c>
      <c r="B19" s="215">
        <f>A19-A18</f>
        <v>91</v>
      </c>
      <c r="C19" s="41">
        <f>C18-D19</f>
        <v>1620000000</v>
      </c>
      <c r="D19" s="41"/>
      <c r="E19" s="302">
        <f>E17</f>
        <v>0.06397</v>
      </c>
      <c r="F19" s="41">
        <f>((C19+D19)*E19/360*B19)</f>
        <v>26195715</v>
      </c>
      <c r="G19" s="41">
        <f>G17</f>
        <v>48799</v>
      </c>
      <c r="H19" s="91"/>
      <c r="I19" s="91"/>
      <c r="J19" s="231"/>
    </row>
    <row r="20" spans="1:10" ht="12.75">
      <c r="A20" s="547">
        <v>40359</v>
      </c>
      <c r="B20" s="548"/>
      <c r="C20" s="93">
        <v>2160000000</v>
      </c>
      <c r="D20" s="41"/>
      <c r="E20" s="302"/>
      <c r="F20" s="41"/>
      <c r="G20" s="41"/>
      <c r="H20" s="91"/>
      <c r="I20" s="91"/>
      <c r="J20" s="231"/>
    </row>
    <row r="21" spans="1:10" ht="12.75">
      <c r="A21" s="90">
        <v>40451</v>
      </c>
      <c r="B21" s="215">
        <f>A21-A20</f>
        <v>92</v>
      </c>
      <c r="C21" s="41">
        <f>C20-D21</f>
        <v>2160000000</v>
      </c>
      <c r="D21" s="41"/>
      <c r="E21" s="302">
        <f>E19</f>
        <v>0.06397</v>
      </c>
      <c r="F21" s="41">
        <f>((C20+D20)*E21/360*B21)</f>
        <v>35311440</v>
      </c>
      <c r="G21" s="41">
        <f>G19</f>
        <v>48799</v>
      </c>
      <c r="H21" s="91"/>
      <c r="I21" s="91"/>
      <c r="J21" s="231"/>
    </row>
    <row r="22" spans="1:10" ht="12.75">
      <c r="A22" s="528">
        <v>40451</v>
      </c>
      <c r="B22" s="548">
        <f>A22-A21</f>
        <v>0</v>
      </c>
      <c r="C22" s="93">
        <v>2700000000</v>
      </c>
      <c r="D22" s="107"/>
      <c r="E22" s="305"/>
      <c r="F22" s="107"/>
      <c r="G22" s="107"/>
      <c r="H22" s="108"/>
      <c r="I22" s="108"/>
      <c r="J22" s="251"/>
    </row>
    <row r="23" spans="1:10" ht="12.75">
      <c r="A23" s="528">
        <v>40541</v>
      </c>
      <c r="B23" s="548">
        <f>A23-A22</f>
        <v>90</v>
      </c>
      <c r="C23" s="93">
        <v>3250000000</v>
      </c>
      <c r="D23" s="107"/>
      <c r="E23" s="305"/>
      <c r="F23" s="107"/>
      <c r="G23" s="107"/>
      <c r="H23" s="108"/>
      <c r="I23" s="108"/>
      <c r="J23" s="251"/>
    </row>
    <row r="24" spans="1:10" ht="12.75">
      <c r="A24" s="97">
        <v>40543</v>
      </c>
      <c r="B24" s="215">
        <f>A24-A23</f>
        <v>2</v>
      </c>
      <c r="C24" s="41">
        <f>C23-D24</f>
        <v>3250000000</v>
      </c>
      <c r="D24" s="99"/>
      <c r="E24" s="303">
        <f>E21</f>
        <v>0.06397</v>
      </c>
      <c r="F24" s="99">
        <f>((C22+D22)*E24/360*B23)+((C23+D23)*E24/360*B24)</f>
        <v>44334763.88888889</v>
      </c>
      <c r="G24" s="99">
        <f>G21</f>
        <v>48799</v>
      </c>
      <c r="H24" s="300">
        <f>SUM(F17:G24)</f>
        <v>123309014.8888889</v>
      </c>
      <c r="I24" s="300">
        <f>SUM(D17:D24)</f>
        <v>0</v>
      </c>
      <c r="J24" s="301">
        <f>SUM(H24:I24)</f>
        <v>123309014.8888889</v>
      </c>
    </row>
    <row r="25" spans="1:10" ht="12.75">
      <c r="A25" s="103">
        <v>40633</v>
      </c>
      <c r="B25" s="435">
        <f t="shared" si="0"/>
        <v>90</v>
      </c>
      <c r="C25" s="42">
        <f t="shared" si="1"/>
        <v>3250000000</v>
      </c>
      <c r="D25" s="42"/>
      <c r="E25" s="304">
        <f t="shared" si="2"/>
        <v>0.06397</v>
      </c>
      <c r="F25" s="42">
        <f aca="true" t="shared" si="3" ref="F25:F88">((C25+D25)*E25/360*B25)</f>
        <v>51975625.00000001</v>
      </c>
      <c r="G25" s="42">
        <f aca="true" t="shared" si="4" ref="G25:G87">G24</f>
        <v>48799</v>
      </c>
      <c r="H25" s="104"/>
      <c r="I25" s="104"/>
      <c r="J25" s="242"/>
    </row>
    <row r="26" spans="1:10" ht="12.75">
      <c r="A26" s="90">
        <v>40724</v>
      </c>
      <c r="B26" s="215">
        <f t="shared" si="0"/>
        <v>91</v>
      </c>
      <c r="C26" s="41">
        <f t="shared" si="1"/>
        <v>3250000000</v>
      </c>
      <c r="D26" s="41"/>
      <c r="E26" s="302">
        <f t="shared" si="2"/>
        <v>0.06397</v>
      </c>
      <c r="F26" s="41">
        <f t="shared" si="3"/>
        <v>52553131.94444445</v>
      </c>
      <c r="G26" s="41">
        <f t="shared" si="4"/>
        <v>48799</v>
      </c>
      <c r="H26" s="91"/>
      <c r="I26" s="91"/>
      <c r="J26" s="231"/>
    </row>
    <row r="27" spans="1:10" ht="12.75">
      <c r="A27" s="90">
        <v>40816</v>
      </c>
      <c r="B27" s="215">
        <f t="shared" si="0"/>
        <v>92</v>
      </c>
      <c r="C27" s="41">
        <f t="shared" si="1"/>
        <v>3202205882</v>
      </c>
      <c r="D27" s="41">
        <v>47794118</v>
      </c>
      <c r="E27" s="302">
        <f t="shared" si="2"/>
        <v>0.06397</v>
      </c>
      <c r="F27" s="41">
        <f>((C27+D27)*E27/360*B27)</f>
        <v>53130638.888888896</v>
      </c>
      <c r="G27" s="41">
        <f t="shared" si="4"/>
        <v>48799</v>
      </c>
      <c r="H27" s="91"/>
      <c r="I27" s="91"/>
      <c r="J27" s="231"/>
    </row>
    <row r="28" spans="1:10" ht="12.75">
      <c r="A28" s="97">
        <v>40908</v>
      </c>
      <c r="B28" s="187">
        <f t="shared" si="0"/>
        <v>92</v>
      </c>
      <c r="C28" s="99">
        <f t="shared" si="1"/>
        <v>3154411764</v>
      </c>
      <c r="D28" s="99">
        <f aca="true" t="shared" si="5" ref="D28:E78">D27</f>
        <v>47794118</v>
      </c>
      <c r="E28" s="303">
        <f t="shared" si="2"/>
        <v>0.06397</v>
      </c>
      <c r="F28" s="99">
        <f>((C28+D28)*E28/360*B28)</f>
        <v>52349305.95828244</v>
      </c>
      <c r="G28" s="99">
        <f t="shared" si="4"/>
        <v>48799</v>
      </c>
      <c r="H28" s="300">
        <f>SUM(F25:G28)</f>
        <v>210203897.79161578</v>
      </c>
      <c r="I28" s="300">
        <f>SUM(D25:D28)</f>
        <v>95588236</v>
      </c>
      <c r="J28" s="301">
        <f>SUM(H28:I28)</f>
        <v>305792133.7916158</v>
      </c>
    </row>
    <row r="29" spans="1:10" ht="12.75">
      <c r="A29" s="103">
        <v>40999</v>
      </c>
      <c r="B29" s="435">
        <f t="shared" si="0"/>
        <v>91</v>
      </c>
      <c r="C29" s="42">
        <f t="shared" si="1"/>
        <v>3106617646</v>
      </c>
      <c r="D29" s="42">
        <f t="shared" si="5"/>
        <v>47794118</v>
      </c>
      <c r="E29" s="304">
        <f t="shared" si="2"/>
        <v>0.06397</v>
      </c>
      <c r="F29" s="42">
        <f t="shared" si="3"/>
        <v>51007451.581723</v>
      </c>
      <c r="G29" s="42">
        <f t="shared" si="4"/>
        <v>48799</v>
      </c>
      <c r="H29" s="104"/>
      <c r="I29" s="104"/>
      <c r="J29" s="242"/>
    </row>
    <row r="30" spans="1:10" ht="12.75">
      <c r="A30" s="90">
        <v>41090</v>
      </c>
      <c r="B30" s="215">
        <f t="shared" si="0"/>
        <v>91</v>
      </c>
      <c r="C30" s="41">
        <f t="shared" si="1"/>
        <v>3058823528</v>
      </c>
      <c r="D30" s="41">
        <f t="shared" si="5"/>
        <v>47794118</v>
      </c>
      <c r="E30" s="302">
        <f t="shared" si="2"/>
        <v>0.06397</v>
      </c>
      <c r="F30" s="41">
        <f t="shared" si="3"/>
        <v>50234611.400362276</v>
      </c>
      <c r="G30" s="41">
        <f t="shared" si="4"/>
        <v>48799</v>
      </c>
      <c r="H30" s="91"/>
      <c r="I30" s="91"/>
      <c r="J30" s="231"/>
    </row>
    <row r="31" spans="1:10" ht="12.75">
      <c r="A31" s="90">
        <v>41182</v>
      </c>
      <c r="B31" s="215">
        <f t="shared" si="0"/>
        <v>92</v>
      </c>
      <c r="C31" s="41">
        <f t="shared" si="1"/>
        <v>3011029410</v>
      </c>
      <c r="D31" s="41">
        <f t="shared" si="5"/>
        <v>47794118</v>
      </c>
      <c r="E31" s="302">
        <f t="shared" si="2"/>
        <v>0.06397</v>
      </c>
      <c r="F31" s="41">
        <f t="shared" si="3"/>
        <v>50005307.166463114</v>
      </c>
      <c r="G31" s="41">
        <f t="shared" si="4"/>
        <v>48799</v>
      </c>
      <c r="H31" s="91"/>
      <c r="I31" s="91"/>
      <c r="J31" s="231"/>
    </row>
    <row r="32" spans="1:10" ht="12.75">
      <c r="A32" s="97">
        <v>41274</v>
      </c>
      <c r="B32" s="187">
        <f t="shared" si="0"/>
        <v>92</v>
      </c>
      <c r="C32" s="99">
        <f t="shared" si="1"/>
        <v>2963235292</v>
      </c>
      <c r="D32" s="99">
        <f t="shared" si="5"/>
        <v>47794118</v>
      </c>
      <c r="E32" s="303">
        <f t="shared" si="2"/>
        <v>0.06397</v>
      </c>
      <c r="F32" s="99">
        <f t="shared" si="3"/>
        <v>49223974.23585666</v>
      </c>
      <c r="G32" s="99">
        <f t="shared" si="4"/>
        <v>48799</v>
      </c>
      <c r="H32" s="300">
        <f>SUM(F29:G32)</f>
        <v>200666540.38440505</v>
      </c>
      <c r="I32" s="300">
        <f>SUM(D29:D32)</f>
        <v>191176472</v>
      </c>
      <c r="J32" s="301">
        <f>SUM(H32:I32)</f>
        <v>391843012.384405</v>
      </c>
    </row>
    <row r="33" spans="1:10" ht="12.75">
      <c r="A33" s="103">
        <v>41364</v>
      </c>
      <c r="B33" s="435">
        <f t="shared" si="0"/>
        <v>90</v>
      </c>
      <c r="C33" s="42">
        <f t="shared" si="1"/>
        <v>2915441174</v>
      </c>
      <c r="D33" s="42">
        <f t="shared" si="5"/>
        <v>47794118</v>
      </c>
      <c r="E33" s="304">
        <f t="shared" si="2"/>
        <v>0.06397</v>
      </c>
      <c r="F33" s="42">
        <f t="shared" si="3"/>
        <v>47389540.407309994</v>
      </c>
      <c r="G33" s="42">
        <f t="shared" si="4"/>
        <v>48799</v>
      </c>
      <c r="H33" s="104"/>
      <c r="I33" s="104"/>
      <c r="J33" s="242"/>
    </row>
    <row r="34" spans="1:10" ht="12.75">
      <c r="A34" s="90">
        <v>41455</v>
      </c>
      <c r="B34" s="215">
        <f t="shared" si="0"/>
        <v>91</v>
      </c>
      <c r="C34" s="41">
        <f t="shared" si="1"/>
        <v>2867647056</v>
      </c>
      <c r="D34" s="41">
        <f t="shared" si="5"/>
        <v>47794118</v>
      </c>
      <c r="E34" s="302">
        <f t="shared" si="2"/>
        <v>0.06397</v>
      </c>
      <c r="F34" s="41">
        <f t="shared" si="3"/>
        <v>47143250.67491939</v>
      </c>
      <c r="G34" s="41">
        <f t="shared" si="4"/>
        <v>48799</v>
      </c>
      <c r="H34" s="91"/>
      <c r="I34" s="91"/>
      <c r="J34" s="231"/>
    </row>
    <row r="35" spans="1:10" ht="12.75">
      <c r="A35" s="90">
        <v>41547</v>
      </c>
      <c r="B35" s="215">
        <f t="shared" si="0"/>
        <v>92</v>
      </c>
      <c r="C35" s="41">
        <f t="shared" si="1"/>
        <v>2819852938</v>
      </c>
      <c r="D35" s="41">
        <f t="shared" si="5"/>
        <v>47794118</v>
      </c>
      <c r="E35" s="302">
        <f t="shared" si="2"/>
        <v>0.06397</v>
      </c>
      <c r="F35" s="41">
        <f t="shared" si="3"/>
        <v>46879975.44403733</v>
      </c>
      <c r="G35" s="41">
        <f t="shared" si="4"/>
        <v>48799</v>
      </c>
      <c r="H35" s="91"/>
      <c r="I35" s="91"/>
      <c r="J35" s="231"/>
    </row>
    <row r="36" spans="1:10" ht="12.75">
      <c r="A36" s="97">
        <v>41639</v>
      </c>
      <c r="B36" s="187">
        <f t="shared" si="0"/>
        <v>92</v>
      </c>
      <c r="C36" s="99">
        <f t="shared" si="1"/>
        <v>2772058820</v>
      </c>
      <c r="D36" s="99">
        <f t="shared" si="5"/>
        <v>47794118</v>
      </c>
      <c r="E36" s="303">
        <f t="shared" si="2"/>
        <v>0.06397</v>
      </c>
      <c r="F36" s="99">
        <f t="shared" si="3"/>
        <v>46098642.513430886</v>
      </c>
      <c r="G36" s="99">
        <f t="shared" si="4"/>
        <v>48799</v>
      </c>
      <c r="H36" s="300">
        <f>SUM(F33:G36)</f>
        <v>187706605.0396976</v>
      </c>
      <c r="I36" s="300">
        <f>SUM(D33:D36)</f>
        <v>191176472</v>
      </c>
      <c r="J36" s="301">
        <f>SUM(H36:I36)</f>
        <v>378883077.0396976</v>
      </c>
    </row>
    <row r="37" spans="1:10" ht="12.75">
      <c r="A37" s="103">
        <v>41729</v>
      </c>
      <c r="B37" s="435">
        <f t="shared" si="0"/>
        <v>90</v>
      </c>
      <c r="C37" s="42">
        <f t="shared" si="1"/>
        <v>2724264702</v>
      </c>
      <c r="D37" s="42">
        <f t="shared" si="5"/>
        <v>47794118</v>
      </c>
      <c r="E37" s="304">
        <f t="shared" si="2"/>
        <v>0.06397</v>
      </c>
      <c r="F37" s="42">
        <f t="shared" si="3"/>
        <v>44332150.67885</v>
      </c>
      <c r="G37" s="42">
        <f t="shared" si="4"/>
        <v>48799</v>
      </c>
      <c r="H37" s="104"/>
      <c r="I37" s="104"/>
      <c r="J37" s="242"/>
    </row>
    <row r="38" spans="1:10" ht="12.75">
      <c r="A38" s="90">
        <v>41820</v>
      </c>
      <c r="B38" s="215">
        <f t="shared" si="0"/>
        <v>91</v>
      </c>
      <c r="C38" s="41">
        <f t="shared" si="1"/>
        <v>2676470584</v>
      </c>
      <c r="D38" s="41">
        <f t="shared" si="5"/>
        <v>47794118</v>
      </c>
      <c r="E38" s="302">
        <f t="shared" si="2"/>
        <v>0.06397</v>
      </c>
      <c r="F38" s="41">
        <f t="shared" si="3"/>
        <v>44051889.949476495</v>
      </c>
      <c r="G38" s="41">
        <f t="shared" si="4"/>
        <v>48799</v>
      </c>
      <c r="H38" s="91"/>
      <c r="I38" s="91"/>
      <c r="J38" s="231"/>
    </row>
    <row r="39" spans="1:10" ht="12.75">
      <c r="A39" s="90">
        <v>41912</v>
      </c>
      <c r="B39" s="215">
        <f t="shared" si="0"/>
        <v>92</v>
      </c>
      <c r="C39" s="41">
        <f t="shared" si="1"/>
        <v>2628676466</v>
      </c>
      <c r="D39" s="41">
        <f t="shared" si="5"/>
        <v>47794118</v>
      </c>
      <c r="E39" s="302">
        <f t="shared" si="2"/>
        <v>0.06397</v>
      </c>
      <c r="F39" s="41">
        <f t="shared" si="3"/>
        <v>43754643.72161156</v>
      </c>
      <c r="G39" s="41">
        <f t="shared" si="4"/>
        <v>48799</v>
      </c>
      <c r="H39" s="91"/>
      <c r="I39" s="91"/>
      <c r="J39" s="231"/>
    </row>
    <row r="40" spans="1:10" ht="12.75">
      <c r="A40" s="97">
        <v>42004</v>
      </c>
      <c r="B40" s="187">
        <f t="shared" si="0"/>
        <v>92</v>
      </c>
      <c r="C40" s="99">
        <f t="shared" si="1"/>
        <v>2580882348</v>
      </c>
      <c r="D40" s="99">
        <f t="shared" si="5"/>
        <v>47794118</v>
      </c>
      <c r="E40" s="303">
        <f t="shared" si="2"/>
        <v>0.06397</v>
      </c>
      <c r="F40" s="99">
        <f t="shared" si="3"/>
        <v>42973310.79100511</v>
      </c>
      <c r="G40" s="99">
        <f t="shared" si="4"/>
        <v>48799</v>
      </c>
      <c r="H40" s="300">
        <f>SUM(F37:G40)</f>
        <v>175307191.14094317</v>
      </c>
      <c r="I40" s="300">
        <f>SUM(D37:D40)</f>
        <v>191176472</v>
      </c>
      <c r="J40" s="301">
        <f>SUM(H40:I40)</f>
        <v>366483663.14094317</v>
      </c>
    </row>
    <row r="41" spans="1:10" ht="12.75">
      <c r="A41" s="103">
        <v>42094</v>
      </c>
      <c r="B41" s="435">
        <f t="shared" si="0"/>
        <v>90</v>
      </c>
      <c r="C41" s="42">
        <f t="shared" si="1"/>
        <v>2533088230</v>
      </c>
      <c r="D41" s="42">
        <f t="shared" si="5"/>
        <v>47794118</v>
      </c>
      <c r="E41" s="304">
        <f t="shared" si="2"/>
        <v>0.06397</v>
      </c>
      <c r="F41" s="42">
        <f t="shared" si="3"/>
        <v>41274760.950389996</v>
      </c>
      <c r="G41" s="42">
        <f t="shared" si="4"/>
        <v>48799</v>
      </c>
      <c r="H41" s="104"/>
      <c r="I41" s="104"/>
      <c r="J41" s="242"/>
    </row>
    <row r="42" spans="1:10" ht="12.75">
      <c r="A42" s="90">
        <v>42185</v>
      </c>
      <c r="B42" s="215">
        <f t="shared" si="0"/>
        <v>91</v>
      </c>
      <c r="C42" s="41">
        <f t="shared" si="1"/>
        <v>2485294112</v>
      </c>
      <c r="D42" s="41">
        <f t="shared" si="5"/>
        <v>47794118</v>
      </c>
      <c r="E42" s="302">
        <f t="shared" si="2"/>
        <v>0.06397</v>
      </c>
      <c r="F42" s="41">
        <f t="shared" si="3"/>
        <v>40960529.22403361</v>
      </c>
      <c r="G42" s="41">
        <f t="shared" si="4"/>
        <v>48799</v>
      </c>
      <c r="H42" s="91"/>
      <c r="I42" s="91"/>
      <c r="J42" s="231"/>
    </row>
    <row r="43" spans="1:10" ht="12.75">
      <c r="A43" s="90">
        <v>42277</v>
      </c>
      <c r="B43" s="215">
        <f t="shared" si="0"/>
        <v>92</v>
      </c>
      <c r="C43" s="41">
        <f t="shared" si="1"/>
        <v>2437499994</v>
      </c>
      <c r="D43" s="41">
        <f t="shared" si="5"/>
        <v>47794118</v>
      </c>
      <c r="E43" s="302">
        <f t="shared" si="2"/>
        <v>0.06397</v>
      </c>
      <c r="F43" s="41">
        <f t="shared" si="3"/>
        <v>40629311.99918577</v>
      </c>
      <c r="G43" s="41">
        <f t="shared" si="4"/>
        <v>48799</v>
      </c>
      <c r="H43" s="91"/>
      <c r="I43" s="91"/>
      <c r="J43" s="231"/>
    </row>
    <row r="44" spans="1:10" ht="12.75">
      <c r="A44" s="97">
        <v>42369</v>
      </c>
      <c r="B44" s="187">
        <f t="shared" si="0"/>
        <v>92</v>
      </c>
      <c r="C44" s="99">
        <f t="shared" si="1"/>
        <v>2389705876</v>
      </c>
      <c r="D44" s="99">
        <f t="shared" si="5"/>
        <v>47794118</v>
      </c>
      <c r="E44" s="303">
        <f t="shared" si="2"/>
        <v>0.06397</v>
      </c>
      <c r="F44" s="99">
        <f t="shared" si="3"/>
        <v>39847979.06857934</v>
      </c>
      <c r="G44" s="99">
        <f t="shared" si="4"/>
        <v>48799</v>
      </c>
      <c r="H44" s="300">
        <f>SUM(F41:G44)</f>
        <v>162907777.24218872</v>
      </c>
      <c r="I44" s="300">
        <f>SUM(D41:D44)</f>
        <v>191176472</v>
      </c>
      <c r="J44" s="301">
        <f>SUM(H44:I44)</f>
        <v>354084249.2421887</v>
      </c>
    </row>
    <row r="45" spans="1:10" ht="12.75">
      <c r="A45" s="103">
        <v>42460</v>
      </c>
      <c r="B45" s="435">
        <f t="shared" si="0"/>
        <v>91</v>
      </c>
      <c r="C45" s="42">
        <f t="shared" si="1"/>
        <v>2341911758</v>
      </c>
      <c r="D45" s="42">
        <f t="shared" si="5"/>
        <v>47794118</v>
      </c>
      <c r="E45" s="304">
        <f t="shared" si="2"/>
        <v>0.06397</v>
      </c>
      <c r="F45" s="42">
        <f t="shared" si="3"/>
        <v>38642008.67995144</v>
      </c>
      <c r="G45" s="42">
        <f t="shared" si="4"/>
        <v>48799</v>
      </c>
      <c r="H45" s="104"/>
      <c r="I45" s="104"/>
      <c r="J45" s="242"/>
    </row>
    <row r="46" spans="1:10" ht="12.75">
      <c r="A46" s="90">
        <v>42551</v>
      </c>
      <c r="B46" s="215">
        <f t="shared" si="0"/>
        <v>91</v>
      </c>
      <c r="C46" s="41">
        <f t="shared" si="1"/>
        <v>2294117640</v>
      </c>
      <c r="D46" s="41">
        <f t="shared" si="5"/>
        <v>47794118</v>
      </c>
      <c r="E46" s="302">
        <f t="shared" si="2"/>
        <v>0.06397</v>
      </c>
      <c r="F46" s="41">
        <f t="shared" si="3"/>
        <v>37869168.49859072</v>
      </c>
      <c r="G46" s="41">
        <f t="shared" si="4"/>
        <v>48799</v>
      </c>
      <c r="H46" s="91"/>
      <c r="I46" s="91"/>
      <c r="J46" s="231"/>
    </row>
    <row r="47" spans="1:10" ht="12.75">
      <c r="A47" s="90">
        <v>42643</v>
      </c>
      <c r="B47" s="215">
        <f t="shared" si="0"/>
        <v>92</v>
      </c>
      <c r="C47" s="41">
        <f t="shared" si="1"/>
        <v>2246323522</v>
      </c>
      <c r="D47" s="41">
        <f t="shared" si="5"/>
        <v>47794118</v>
      </c>
      <c r="E47" s="302">
        <f t="shared" si="2"/>
        <v>0.06397</v>
      </c>
      <c r="F47" s="41">
        <f t="shared" si="3"/>
        <v>37503980.27676</v>
      </c>
      <c r="G47" s="41">
        <f t="shared" si="4"/>
        <v>48799</v>
      </c>
      <c r="H47" s="91"/>
      <c r="I47" s="91"/>
      <c r="J47" s="231"/>
    </row>
    <row r="48" spans="1:10" ht="12.75">
      <c r="A48" s="97">
        <v>42735</v>
      </c>
      <c r="B48" s="187">
        <f t="shared" si="0"/>
        <v>92</v>
      </c>
      <c r="C48" s="99">
        <f t="shared" si="1"/>
        <v>2198529404</v>
      </c>
      <c r="D48" s="99">
        <f t="shared" si="5"/>
        <v>47794118</v>
      </c>
      <c r="E48" s="303">
        <f t="shared" si="2"/>
        <v>0.06397</v>
      </c>
      <c r="F48" s="99">
        <f t="shared" si="3"/>
        <v>36722647.34615356</v>
      </c>
      <c r="G48" s="99">
        <f t="shared" si="4"/>
        <v>48799</v>
      </c>
      <c r="H48" s="300">
        <f>SUM(F45:G48)</f>
        <v>150933000.80145574</v>
      </c>
      <c r="I48" s="300">
        <f>SUM(D45:D48)</f>
        <v>191176472</v>
      </c>
      <c r="J48" s="301">
        <f>SUM(H48:I48)</f>
        <v>342109472.80145574</v>
      </c>
    </row>
    <row r="49" spans="1:10" ht="12.75">
      <c r="A49" s="103">
        <v>42825</v>
      </c>
      <c r="B49" s="435">
        <f t="shared" si="0"/>
        <v>90</v>
      </c>
      <c r="C49" s="42">
        <f t="shared" si="1"/>
        <v>2150735286</v>
      </c>
      <c r="D49" s="42">
        <f t="shared" si="5"/>
        <v>47794118</v>
      </c>
      <c r="E49" s="304">
        <f t="shared" si="2"/>
        <v>0.06397</v>
      </c>
      <c r="F49" s="42">
        <f t="shared" si="3"/>
        <v>35159981.49347</v>
      </c>
      <c r="G49" s="42">
        <f t="shared" si="4"/>
        <v>48799</v>
      </c>
      <c r="H49" s="104"/>
      <c r="I49" s="104"/>
      <c r="J49" s="242"/>
    </row>
    <row r="50" spans="1:10" ht="12.75">
      <c r="A50" s="90">
        <v>42916</v>
      </c>
      <c r="B50" s="215">
        <f t="shared" si="0"/>
        <v>91</v>
      </c>
      <c r="C50" s="41">
        <f t="shared" si="1"/>
        <v>2102941168</v>
      </c>
      <c r="D50" s="41">
        <f t="shared" si="5"/>
        <v>47794118</v>
      </c>
      <c r="E50" s="302">
        <f t="shared" si="2"/>
        <v>0.06397</v>
      </c>
      <c r="F50" s="41">
        <f t="shared" si="3"/>
        <v>34777807.77314784</v>
      </c>
      <c r="G50" s="41">
        <f t="shared" si="4"/>
        <v>48799</v>
      </c>
      <c r="H50" s="91"/>
      <c r="I50" s="91"/>
      <c r="J50" s="231"/>
    </row>
    <row r="51" spans="1:10" ht="12.75">
      <c r="A51" s="90">
        <v>43008</v>
      </c>
      <c r="B51" s="215">
        <f t="shared" si="0"/>
        <v>92</v>
      </c>
      <c r="C51" s="41">
        <f t="shared" si="1"/>
        <v>2055147050</v>
      </c>
      <c r="D51" s="41">
        <f t="shared" si="5"/>
        <v>47794118</v>
      </c>
      <c r="E51" s="302">
        <f t="shared" si="2"/>
        <v>0.06397</v>
      </c>
      <c r="F51" s="41">
        <f t="shared" si="3"/>
        <v>34378648.55433422</v>
      </c>
      <c r="G51" s="41">
        <f t="shared" si="4"/>
        <v>48799</v>
      </c>
      <c r="H51" s="91"/>
      <c r="I51" s="91"/>
      <c r="J51" s="231"/>
    </row>
    <row r="52" spans="1:10" ht="12.75">
      <c r="A52" s="97">
        <v>43100</v>
      </c>
      <c r="B52" s="187">
        <f t="shared" si="0"/>
        <v>92</v>
      </c>
      <c r="C52" s="99">
        <f t="shared" si="1"/>
        <v>2007352932</v>
      </c>
      <c r="D52" s="99">
        <f t="shared" si="5"/>
        <v>47794118</v>
      </c>
      <c r="E52" s="303">
        <f t="shared" si="2"/>
        <v>0.06397</v>
      </c>
      <c r="F52" s="99">
        <f t="shared" si="3"/>
        <v>33597315.623727776</v>
      </c>
      <c r="G52" s="99">
        <f t="shared" si="4"/>
        <v>48799</v>
      </c>
      <c r="H52" s="300">
        <f>SUM(F49:G52)</f>
        <v>138108949.44467983</v>
      </c>
      <c r="I52" s="300">
        <f>SUM(D49:D52)</f>
        <v>191176472</v>
      </c>
      <c r="J52" s="301">
        <f>SUM(H52:I52)</f>
        <v>329285421.44467986</v>
      </c>
    </row>
    <row r="53" spans="1:10" ht="12.75">
      <c r="A53" s="103">
        <v>43190</v>
      </c>
      <c r="B53" s="435">
        <f t="shared" si="0"/>
        <v>90</v>
      </c>
      <c r="C53" s="42">
        <f t="shared" si="1"/>
        <v>1959558814</v>
      </c>
      <c r="D53" s="42">
        <f t="shared" si="5"/>
        <v>47794118</v>
      </c>
      <c r="E53" s="304">
        <f t="shared" si="2"/>
        <v>0.06397</v>
      </c>
      <c r="F53" s="42">
        <f t="shared" si="3"/>
        <v>32102591.76501</v>
      </c>
      <c r="G53" s="42">
        <f t="shared" si="4"/>
        <v>48799</v>
      </c>
      <c r="H53" s="104"/>
      <c r="I53" s="104"/>
      <c r="J53" s="242"/>
    </row>
    <row r="54" spans="1:10" ht="12.75">
      <c r="A54" s="90">
        <v>43281</v>
      </c>
      <c r="B54" s="215">
        <f t="shared" si="0"/>
        <v>91</v>
      </c>
      <c r="C54" s="41">
        <f t="shared" si="1"/>
        <v>1911764696</v>
      </c>
      <c r="D54" s="41">
        <f t="shared" si="5"/>
        <v>47794118</v>
      </c>
      <c r="E54" s="302">
        <f t="shared" si="2"/>
        <v>0.06397</v>
      </c>
      <c r="F54" s="41">
        <f t="shared" si="3"/>
        <v>31686447.047704946</v>
      </c>
      <c r="G54" s="41">
        <f t="shared" si="4"/>
        <v>48799</v>
      </c>
      <c r="H54" s="91"/>
      <c r="I54" s="91"/>
      <c r="J54" s="231"/>
    </row>
    <row r="55" spans="1:10" ht="12.75">
      <c r="A55" s="90">
        <v>43373</v>
      </c>
      <c r="B55" s="215">
        <f t="shared" si="0"/>
        <v>92</v>
      </c>
      <c r="C55" s="41">
        <f t="shared" si="1"/>
        <v>1863970578</v>
      </c>
      <c r="D55" s="41">
        <f t="shared" si="5"/>
        <v>47794118</v>
      </c>
      <c r="E55" s="302">
        <f t="shared" si="2"/>
        <v>0.06397</v>
      </c>
      <c r="F55" s="41">
        <f t="shared" si="3"/>
        <v>31253316.831908442</v>
      </c>
      <c r="G55" s="41">
        <f t="shared" si="4"/>
        <v>48799</v>
      </c>
      <c r="H55" s="91"/>
      <c r="I55" s="91"/>
      <c r="J55" s="231"/>
    </row>
    <row r="56" spans="1:10" ht="12.75">
      <c r="A56" s="97">
        <v>43465</v>
      </c>
      <c r="B56" s="187">
        <f t="shared" si="0"/>
        <v>92</v>
      </c>
      <c r="C56" s="99">
        <f t="shared" si="1"/>
        <v>1816176460</v>
      </c>
      <c r="D56" s="99">
        <f t="shared" si="5"/>
        <v>47794118</v>
      </c>
      <c r="E56" s="303">
        <f t="shared" si="2"/>
        <v>0.06397</v>
      </c>
      <c r="F56" s="99">
        <f t="shared" si="3"/>
        <v>30471983.901302</v>
      </c>
      <c r="G56" s="99">
        <f t="shared" si="4"/>
        <v>48799</v>
      </c>
      <c r="H56" s="300">
        <f>SUM(F53:G56)</f>
        <v>125709535.5459254</v>
      </c>
      <c r="I56" s="300">
        <f>SUM(D53:D56)</f>
        <v>191176472</v>
      </c>
      <c r="J56" s="301">
        <f>SUM(H56:I56)</f>
        <v>316886007.5459254</v>
      </c>
    </row>
    <row r="57" spans="1:10" ht="12.75">
      <c r="A57" s="103">
        <v>43555</v>
      </c>
      <c r="B57" s="435">
        <f t="shared" si="0"/>
        <v>90</v>
      </c>
      <c r="C57" s="42">
        <f t="shared" si="1"/>
        <v>1768382342</v>
      </c>
      <c r="D57" s="42">
        <f t="shared" si="5"/>
        <v>47794118</v>
      </c>
      <c r="E57" s="304">
        <f t="shared" si="2"/>
        <v>0.06397</v>
      </c>
      <c r="F57" s="42">
        <f t="shared" si="3"/>
        <v>29045202.03655</v>
      </c>
      <c r="G57" s="42">
        <f t="shared" si="4"/>
        <v>48799</v>
      </c>
      <c r="H57" s="104"/>
      <c r="I57" s="104"/>
      <c r="J57" s="242"/>
    </row>
    <row r="58" spans="1:10" ht="12.75">
      <c r="A58" s="90">
        <v>43646</v>
      </c>
      <c r="B58" s="215">
        <f t="shared" si="0"/>
        <v>91</v>
      </c>
      <c r="C58" s="41">
        <f t="shared" si="1"/>
        <v>1720588224</v>
      </c>
      <c r="D58" s="41">
        <f t="shared" si="5"/>
        <v>47794118</v>
      </c>
      <c r="E58" s="302">
        <f t="shared" si="2"/>
        <v>0.06397</v>
      </c>
      <c r="F58" s="41">
        <f t="shared" si="3"/>
        <v>28595086.322262056</v>
      </c>
      <c r="G58" s="41">
        <f t="shared" si="4"/>
        <v>48799</v>
      </c>
      <c r="H58" s="91"/>
      <c r="I58" s="91"/>
      <c r="J58" s="231"/>
    </row>
    <row r="59" spans="1:10" ht="12.75">
      <c r="A59" s="90">
        <v>43738</v>
      </c>
      <c r="B59" s="215">
        <f t="shared" si="0"/>
        <v>92</v>
      </c>
      <c r="C59" s="41">
        <f t="shared" si="1"/>
        <v>1672794106</v>
      </c>
      <c r="D59" s="41">
        <f t="shared" si="5"/>
        <v>47794118</v>
      </c>
      <c r="E59" s="302">
        <f t="shared" si="2"/>
        <v>0.06397</v>
      </c>
      <c r="F59" s="41">
        <f t="shared" si="3"/>
        <v>28127985.10948267</v>
      </c>
      <c r="G59" s="41">
        <f t="shared" si="4"/>
        <v>48799</v>
      </c>
      <c r="H59" s="91"/>
      <c r="I59" s="91"/>
      <c r="J59" s="231"/>
    </row>
    <row r="60" spans="1:10" ht="12.75">
      <c r="A60" s="97">
        <v>43830</v>
      </c>
      <c r="B60" s="187">
        <f t="shared" si="0"/>
        <v>92</v>
      </c>
      <c r="C60" s="99">
        <f t="shared" si="1"/>
        <v>1624999988</v>
      </c>
      <c r="D60" s="99">
        <f t="shared" si="5"/>
        <v>47794118</v>
      </c>
      <c r="E60" s="303">
        <f t="shared" si="2"/>
        <v>0.06397</v>
      </c>
      <c r="F60" s="99">
        <f t="shared" si="3"/>
        <v>27346652.17887622</v>
      </c>
      <c r="G60" s="99">
        <f t="shared" si="4"/>
        <v>48799</v>
      </c>
      <c r="H60" s="300">
        <f>SUM(F57:G60)</f>
        <v>113310121.64717095</v>
      </c>
      <c r="I60" s="300">
        <f>SUM(D57:D60)</f>
        <v>191176472</v>
      </c>
      <c r="J60" s="301">
        <f>SUM(H60:I60)</f>
        <v>304486593.64717096</v>
      </c>
    </row>
    <row r="61" spans="1:10" ht="12.75">
      <c r="A61" s="103">
        <v>43921</v>
      </c>
      <c r="B61" s="435">
        <f t="shared" si="0"/>
        <v>91</v>
      </c>
      <c r="C61" s="42">
        <f t="shared" si="1"/>
        <v>1577205870</v>
      </c>
      <c r="D61" s="42">
        <f t="shared" si="5"/>
        <v>47794118</v>
      </c>
      <c r="E61" s="304">
        <f t="shared" si="2"/>
        <v>0.06397</v>
      </c>
      <c r="F61" s="42">
        <f t="shared" si="3"/>
        <v>26276565.77817989</v>
      </c>
      <c r="G61" s="42">
        <f t="shared" si="4"/>
        <v>48799</v>
      </c>
      <c r="H61" s="104"/>
      <c r="I61" s="104"/>
      <c r="J61" s="242"/>
    </row>
    <row r="62" spans="1:10" ht="12.75">
      <c r="A62" s="90">
        <v>44012</v>
      </c>
      <c r="B62" s="215">
        <f t="shared" si="0"/>
        <v>91</v>
      </c>
      <c r="C62" s="41">
        <f t="shared" si="1"/>
        <v>1529411752</v>
      </c>
      <c r="D62" s="41">
        <f t="shared" si="5"/>
        <v>47794118</v>
      </c>
      <c r="E62" s="302">
        <f t="shared" si="2"/>
        <v>0.06397</v>
      </c>
      <c r="F62" s="41">
        <f t="shared" si="3"/>
        <v>25503725.596819166</v>
      </c>
      <c r="G62" s="41">
        <f t="shared" si="4"/>
        <v>48799</v>
      </c>
      <c r="H62" s="91"/>
      <c r="I62" s="91"/>
      <c r="J62" s="231"/>
    </row>
    <row r="63" spans="1:10" ht="12.75">
      <c r="A63" s="90">
        <v>44104</v>
      </c>
      <c r="B63" s="215">
        <f t="shared" si="0"/>
        <v>92</v>
      </c>
      <c r="C63" s="41">
        <f t="shared" si="1"/>
        <v>1481617634</v>
      </c>
      <c r="D63" s="41">
        <f t="shared" si="5"/>
        <v>47794118</v>
      </c>
      <c r="E63" s="302">
        <f t="shared" si="2"/>
        <v>0.06397</v>
      </c>
      <c r="F63" s="41">
        <f t="shared" si="3"/>
        <v>25002653.38705689</v>
      </c>
      <c r="G63" s="41">
        <f t="shared" si="4"/>
        <v>48799</v>
      </c>
      <c r="H63" s="91"/>
      <c r="I63" s="91"/>
      <c r="J63" s="231"/>
    </row>
    <row r="64" spans="1:10" ht="12.75">
      <c r="A64" s="97">
        <v>44196</v>
      </c>
      <c r="B64" s="187">
        <f t="shared" si="0"/>
        <v>92</v>
      </c>
      <c r="C64" s="99">
        <f t="shared" si="1"/>
        <v>1433823516</v>
      </c>
      <c r="D64" s="99">
        <f t="shared" si="5"/>
        <v>47794118</v>
      </c>
      <c r="E64" s="303">
        <f t="shared" si="2"/>
        <v>0.06397</v>
      </c>
      <c r="F64" s="99">
        <f t="shared" si="3"/>
        <v>24221320.45645044</v>
      </c>
      <c r="G64" s="99">
        <f t="shared" si="4"/>
        <v>48799</v>
      </c>
      <c r="H64" s="300">
        <f>SUM(F61:G64)</f>
        <v>101199461.2185064</v>
      </c>
      <c r="I64" s="300">
        <f>SUM(D61:D64)</f>
        <v>191176472</v>
      </c>
      <c r="J64" s="301">
        <f>SUM(H64:I64)</f>
        <v>292375933.2185064</v>
      </c>
    </row>
    <row r="65" spans="1:10" ht="12.75">
      <c r="A65" s="103">
        <v>44286</v>
      </c>
      <c r="B65" s="435">
        <f t="shared" si="0"/>
        <v>90</v>
      </c>
      <c r="C65" s="42">
        <f t="shared" si="1"/>
        <v>1386029398</v>
      </c>
      <c r="D65" s="42">
        <f t="shared" si="5"/>
        <v>47794118</v>
      </c>
      <c r="E65" s="304">
        <f t="shared" si="2"/>
        <v>0.06397</v>
      </c>
      <c r="F65" s="42">
        <f t="shared" si="3"/>
        <v>22930422.57963</v>
      </c>
      <c r="G65" s="42">
        <f t="shared" si="4"/>
        <v>48799</v>
      </c>
      <c r="H65" s="104"/>
      <c r="I65" s="104"/>
      <c r="J65" s="242"/>
    </row>
    <row r="66" spans="1:10" ht="12.75">
      <c r="A66" s="90">
        <v>44377</v>
      </c>
      <c r="B66" s="215">
        <f t="shared" si="0"/>
        <v>91</v>
      </c>
      <c r="C66" s="41">
        <f t="shared" si="1"/>
        <v>1338235280</v>
      </c>
      <c r="D66" s="41">
        <f t="shared" si="5"/>
        <v>47794118</v>
      </c>
      <c r="E66" s="302">
        <f t="shared" si="2"/>
        <v>0.06397</v>
      </c>
      <c r="F66" s="41">
        <f t="shared" si="3"/>
        <v>22412364.871376276</v>
      </c>
      <c r="G66" s="41">
        <f t="shared" si="4"/>
        <v>48799</v>
      </c>
      <c r="H66" s="91"/>
      <c r="I66" s="91"/>
      <c r="J66" s="231"/>
    </row>
    <row r="67" spans="1:10" ht="12.75">
      <c r="A67" s="90">
        <v>44469</v>
      </c>
      <c r="B67" s="215">
        <f t="shared" si="0"/>
        <v>92</v>
      </c>
      <c r="C67" s="41">
        <f t="shared" si="1"/>
        <v>1290441162</v>
      </c>
      <c r="D67" s="41">
        <f t="shared" si="5"/>
        <v>47794118</v>
      </c>
      <c r="E67" s="302">
        <f t="shared" si="2"/>
        <v>0.06397</v>
      </c>
      <c r="F67" s="41">
        <f t="shared" si="3"/>
        <v>21877321.66463111</v>
      </c>
      <c r="G67" s="41">
        <f t="shared" si="4"/>
        <v>48799</v>
      </c>
      <c r="H67" s="91"/>
      <c r="I67" s="91"/>
      <c r="J67" s="231"/>
    </row>
    <row r="68" spans="1:10" ht="12.75">
      <c r="A68" s="97">
        <v>44561</v>
      </c>
      <c r="B68" s="187">
        <f t="shared" si="0"/>
        <v>92</v>
      </c>
      <c r="C68" s="99">
        <f t="shared" si="1"/>
        <v>1242647044</v>
      </c>
      <c r="D68" s="99">
        <f t="shared" si="5"/>
        <v>47794118</v>
      </c>
      <c r="E68" s="303">
        <f t="shared" si="2"/>
        <v>0.06397</v>
      </c>
      <c r="F68" s="99">
        <f t="shared" si="3"/>
        <v>21095988.734024666</v>
      </c>
      <c r="G68" s="99">
        <f t="shared" si="4"/>
        <v>48799</v>
      </c>
      <c r="H68" s="300">
        <f>SUM(F65:G68)</f>
        <v>88511293.84966207</v>
      </c>
      <c r="I68" s="300">
        <f>SUM(D65:D68)</f>
        <v>191176472</v>
      </c>
      <c r="J68" s="301">
        <f>SUM(H68:I68)</f>
        <v>279687765.84966207</v>
      </c>
    </row>
    <row r="69" spans="1:10" ht="12.75">
      <c r="A69" s="103">
        <v>44651</v>
      </c>
      <c r="B69" s="435">
        <f t="shared" si="0"/>
        <v>90</v>
      </c>
      <c r="C69" s="42">
        <f t="shared" si="1"/>
        <v>1194852926</v>
      </c>
      <c r="D69" s="42">
        <f t="shared" si="5"/>
        <v>47794118</v>
      </c>
      <c r="E69" s="304">
        <f t="shared" si="2"/>
        <v>0.06397</v>
      </c>
      <c r="F69" s="42">
        <f t="shared" si="3"/>
        <v>19873032.85117</v>
      </c>
      <c r="G69" s="42">
        <f t="shared" si="4"/>
        <v>48799</v>
      </c>
      <c r="H69" s="104"/>
      <c r="I69" s="104"/>
      <c r="J69" s="242"/>
    </row>
    <row r="70" spans="1:10" ht="12.75">
      <c r="A70" s="90">
        <v>44742</v>
      </c>
      <c r="B70" s="215">
        <f t="shared" si="0"/>
        <v>91</v>
      </c>
      <c r="C70" s="41">
        <f t="shared" si="1"/>
        <v>1147058808</v>
      </c>
      <c r="D70" s="41">
        <f t="shared" si="5"/>
        <v>47794118</v>
      </c>
      <c r="E70" s="302">
        <f t="shared" si="2"/>
        <v>0.06397</v>
      </c>
      <c r="F70" s="41">
        <f t="shared" si="3"/>
        <v>19321004.14593339</v>
      </c>
      <c r="G70" s="41">
        <f t="shared" si="4"/>
        <v>48799</v>
      </c>
      <c r="H70" s="91"/>
      <c r="I70" s="91"/>
      <c r="J70" s="231"/>
    </row>
    <row r="71" spans="1:10" ht="12.75">
      <c r="A71" s="90">
        <v>44834</v>
      </c>
      <c r="B71" s="215">
        <f t="shared" si="0"/>
        <v>92</v>
      </c>
      <c r="C71" s="41">
        <f t="shared" si="1"/>
        <v>1099264690</v>
      </c>
      <c r="D71" s="41">
        <f t="shared" si="5"/>
        <v>47794118</v>
      </c>
      <c r="E71" s="302">
        <f t="shared" si="2"/>
        <v>0.06397</v>
      </c>
      <c r="F71" s="41">
        <f t="shared" si="3"/>
        <v>18751989.942205336</v>
      </c>
      <c r="G71" s="41">
        <f t="shared" si="4"/>
        <v>48799</v>
      </c>
      <c r="H71" s="91"/>
      <c r="I71" s="91"/>
      <c r="J71" s="231"/>
    </row>
    <row r="72" spans="1:10" ht="12.75">
      <c r="A72" s="97">
        <v>44926</v>
      </c>
      <c r="B72" s="187">
        <f t="shared" si="0"/>
        <v>92</v>
      </c>
      <c r="C72" s="99">
        <f t="shared" si="1"/>
        <v>1051470572</v>
      </c>
      <c r="D72" s="99">
        <f t="shared" si="5"/>
        <v>47794118</v>
      </c>
      <c r="E72" s="303">
        <f t="shared" si="2"/>
        <v>0.06397</v>
      </c>
      <c r="F72" s="99">
        <f t="shared" si="3"/>
        <v>17970657.01159889</v>
      </c>
      <c r="G72" s="99">
        <f t="shared" si="4"/>
        <v>48799</v>
      </c>
      <c r="H72" s="300">
        <f>SUM(F69:G72)</f>
        <v>76111879.95090762</v>
      </c>
      <c r="I72" s="300">
        <f>SUM(D69:D72)</f>
        <v>191176472</v>
      </c>
      <c r="J72" s="301">
        <f>SUM(H72:I72)</f>
        <v>267288351.95090762</v>
      </c>
    </row>
    <row r="73" spans="1:10" ht="12.75">
      <c r="A73" s="103">
        <v>45016</v>
      </c>
      <c r="B73" s="435">
        <f t="shared" si="0"/>
        <v>90</v>
      </c>
      <c r="C73" s="42">
        <f t="shared" si="1"/>
        <v>1003676454</v>
      </c>
      <c r="D73" s="42">
        <f t="shared" si="5"/>
        <v>47794118</v>
      </c>
      <c r="E73" s="304">
        <f t="shared" si="2"/>
        <v>0.06397</v>
      </c>
      <c r="F73" s="42">
        <f t="shared" si="3"/>
        <v>16815643.12271</v>
      </c>
      <c r="G73" s="42">
        <f t="shared" si="4"/>
        <v>48799</v>
      </c>
      <c r="H73" s="104"/>
      <c r="I73" s="104"/>
      <c r="J73" s="242"/>
    </row>
    <row r="74" spans="1:10" ht="12.75">
      <c r="A74" s="90">
        <v>45107</v>
      </c>
      <c r="B74" s="215">
        <f t="shared" si="0"/>
        <v>91</v>
      </c>
      <c r="C74" s="41">
        <f t="shared" si="1"/>
        <v>955882336</v>
      </c>
      <c r="D74" s="41">
        <f t="shared" si="5"/>
        <v>47794118</v>
      </c>
      <c r="E74" s="302">
        <f t="shared" si="2"/>
        <v>0.06397</v>
      </c>
      <c r="F74" s="41">
        <f t="shared" si="3"/>
        <v>16229643.4204905</v>
      </c>
      <c r="G74" s="41">
        <f t="shared" si="4"/>
        <v>48799</v>
      </c>
      <c r="H74" s="91"/>
      <c r="I74" s="91"/>
      <c r="J74" s="231"/>
    </row>
    <row r="75" spans="1:10" ht="12.75">
      <c r="A75" s="90">
        <v>45199</v>
      </c>
      <c r="B75" s="215">
        <f t="shared" si="0"/>
        <v>92</v>
      </c>
      <c r="C75" s="41">
        <f t="shared" si="1"/>
        <v>908088218</v>
      </c>
      <c r="D75" s="41">
        <f t="shared" si="5"/>
        <v>47794118</v>
      </c>
      <c r="E75" s="302">
        <f t="shared" si="2"/>
        <v>0.06397</v>
      </c>
      <c r="F75" s="41">
        <f t="shared" si="3"/>
        <v>15626658.219779555</v>
      </c>
      <c r="G75" s="41">
        <f t="shared" si="4"/>
        <v>48799</v>
      </c>
      <c r="H75" s="91"/>
      <c r="I75" s="91"/>
      <c r="J75" s="231"/>
    </row>
    <row r="76" spans="1:10" ht="12.75">
      <c r="A76" s="97">
        <v>45291</v>
      </c>
      <c r="B76" s="187">
        <f t="shared" si="0"/>
        <v>92</v>
      </c>
      <c r="C76" s="99">
        <f t="shared" si="1"/>
        <v>860294100</v>
      </c>
      <c r="D76" s="99">
        <f t="shared" si="5"/>
        <v>47794118</v>
      </c>
      <c r="E76" s="303">
        <f t="shared" si="2"/>
        <v>0.06397</v>
      </c>
      <c r="F76" s="99">
        <f t="shared" si="3"/>
        <v>14845325.289173111</v>
      </c>
      <c r="G76" s="99">
        <f t="shared" si="4"/>
        <v>48799</v>
      </c>
      <c r="H76" s="300">
        <f>SUM(F73:G76)</f>
        <v>63712466.05215317</v>
      </c>
      <c r="I76" s="300">
        <f>SUM(D73:D76)</f>
        <v>191176472</v>
      </c>
      <c r="J76" s="301">
        <f>SUM(H76:I76)</f>
        <v>254888938.05215317</v>
      </c>
    </row>
    <row r="77" spans="1:10" ht="12.75">
      <c r="A77" s="103">
        <v>45382</v>
      </c>
      <c r="B77" s="435">
        <f t="shared" si="0"/>
        <v>91</v>
      </c>
      <c r="C77" s="42">
        <f t="shared" si="1"/>
        <v>812499982</v>
      </c>
      <c r="D77" s="42">
        <f t="shared" si="5"/>
        <v>47794118</v>
      </c>
      <c r="E77" s="304">
        <f t="shared" si="2"/>
        <v>0.06397</v>
      </c>
      <c r="F77" s="42">
        <f t="shared" si="3"/>
        <v>13911122.876408333</v>
      </c>
      <c r="G77" s="42">
        <f t="shared" si="4"/>
        <v>48799</v>
      </c>
      <c r="H77" s="104"/>
      <c r="I77" s="104"/>
      <c r="J77" s="242"/>
    </row>
    <row r="78" spans="1:10" ht="12.75">
      <c r="A78" s="90">
        <v>45473</v>
      </c>
      <c r="B78" s="215">
        <f aca="true" t="shared" si="6" ref="B78:B94">A78-A77</f>
        <v>91</v>
      </c>
      <c r="C78" s="41">
        <f aca="true" t="shared" si="7" ref="C78:C94">C77-D78</f>
        <v>764705864</v>
      </c>
      <c r="D78" s="41">
        <f t="shared" si="5"/>
        <v>47794118</v>
      </c>
      <c r="E78" s="302">
        <f t="shared" si="5"/>
        <v>0.06397</v>
      </c>
      <c r="F78" s="41">
        <f t="shared" si="3"/>
        <v>13138282.69504761</v>
      </c>
      <c r="G78" s="41">
        <f t="shared" si="4"/>
        <v>48799</v>
      </c>
      <c r="H78" s="91"/>
      <c r="I78" s="91"/>
      <c r="J78" s="231"/>
    </row>
    <row r="79" spans="1:10" ht="12.75">
      <c r="A79" s="90">
        <v>45565</v>
      </c>
      <c r="B79" s="215">
        <f t="shared" si="6"/>
        <v>92</v>
      </c>
      <c r="C79" s="41">
        <f t="shared" si="7"/>
        <v>716911746</v>
      </c>
      <c r="D79" s="41">
        <f aca="true" t="shared" si="8" ref="D79:E91">D78</f>
        <v>47794118</v>
      </c>
      <c r="E79" s="302">
        <f t="shared" si="8"/>
        <v>0.06397</v>
      </c>
      <c r="F79" s="41">
        <f t="shared" si="3"/>
        <v>12501326.49735378</v>
      </c>
      <c r="G79" s="41">
        <f t="shared" si="4"/>
        <v>48799</v>
      </c>
      <c r="H79" s="91"/>
      <c r="I79" s="91"/>
      <c r="J79" s="231"/>
    </row>
    <row r="80" spans="1:10" ht="12.75">
      <c r="A80" s="97">
        <v>45657</v>
      </c>
      <c r="B80" s="187">
        <f t="shared" si="6"/>
        <v>92</v>
      </c>
      <c r="C80" s="99">
        <f t="shared" si="7"/>
        <v>669117628</v>
      </c>
      <c r="D80" s="99">
        <f t="shared" si="8"/>
        <v>47794118</v>
      </c>
      <c r="E80" s="303">
        <f t="shared" si="8"/>
        <v>0.06397</v>
      </c>
      <c r="F80" s="99">
        <f t="shared" si="3"/>
        <v>11719993.566747334</v>
      </c>
      <c r="G80" s="99">
        <f t="shared" si="4"/>
        <v>48799</v>
      </c>
      <c r="H80" s="300">
        <f>SUM(F77:G80)</f>
        <v>51465921.635557055</v>
      </c>
      <c r="I80" s="300">
        <f>SUM(D77:D80)</f>
        <v>191176472</v>
      </c>
      <c r="J80" s="301">
        <f>SUM(H80:I80)</f>
        <v>242642393.63555706</v>
      </c>
    </row>
    <row r="81" spans="1:10" ht="12.75">
      <c r="A81" s="103">
        <v>45747</v>
      </c>
      <c r="B81" s="435">
        <f t="shared" si="6"/>
        <v>90</v>
      </c>
      <c r="C81" s="42">
        <f t="shared" si="7"/>
        <v>621323510</v>
      </c>
      <c r="D81" s="42">
        <f t="shared" si="8"/>
        <v>47794118</v>
      </c>
      <c r="E81" s="304">
        <f t="shared" si="8"/>
        <v>0.06397</v>
      </c>
      <c r="F81" s="42">
        <f t="shared" si="3"/>
        <v>10700863.665789999</v>
      </c>
      <c r="G81" s="42">
        <f t="shared" si="4"/>
        <v>48799</v>
      </c>
      <c r="H81" s="104"/>
      <c r="I81" s="104"/>
      <c r="J81" s="242"/>
    </row>
    <row r="82" spans="1:10" ht="12.75">
      <c r="A82" s="90">
        <v>45838</v>
      </c>
      <c r="B82" s="215">
        <f t="shared" si="6"/>
        <v>91</v>
      </c>
      <c r="C82" s="41">
        <f t="shared" si="7"/>
        <v>573529392</v>
      </c>
      <c r="D82" s="41">
        <f t="shared" si="8"/>
        <v>47794118</v>
      </c>
      <c r="E82" s="302">
        <f t="shared" si="8"/>
        <v>0.06397</v>
      </c>
      <c r="F82" s="41">
        <f t="shared" si="3"/>
        <v>10046921.969604721</v>
      </c>
      <c r="G82" s="41">
        <f t="shared" si="4"/>
        <v>48799</v>
      </c>
      <c r="H82" s="91"/>
      <c r="I82" s="91"/>
      <c r="J82" s="231"/>
    </row>
    <row r="83" spans="1:10" ht="12.75">
      <c r="A83" s="90">
        <v>45930</v>
      </c>
      <c r="B83" s="215">
        <f t="shared" si="6"/>
        <v>92</v>
      </c>
      <c r="C83" s="41">
        <f t="shared" si="7"/>
        <v>525735274</v>
      </c>
      <c r="D83" s="41">
        <f t="shared" si="8"/>
        <v>47794118</v>
      </c>
      <c r="E83" s="302">
        <f t="shared" si="8"/>
        <v>0.06397</v>
      </c>
      <c r="F83" s="41">
        <f t="shared" si="3"/>
        <v>9375994.774928</v>
      </c>
      <c r="G83" s="41">
        <f t="shared" si="4"/>
        <v>48799</v>
      </c>
      <c r="H83" s="91"/>
      <c r="I83" s="91"/>
      <c r="J83" s="231"/>
    </row>
    <row r="84" spans="1:10" ht="12.75">
      <c r="A84" s="97">
        <v>46022</v>
      </c>
      <c r="B84" s="187">
        <f t="shared" si="6"/>
        <v>92</v>
      </c>
      <c r="C84" s="99">
        <f t="shared" si="7"/>
        <v>477941156</v>
      </c>
      <c r="D84" s="99">
        <f t="shared" si="8"/>
        <v>47794118</v>
      </c>
      <c r="E84" s="303">
        <f t="shared" si="8"/>
        <v>0.06397</v>
      </c>
      <c r="F84" s="99">
        <f t="shared" si="3"/>
        <v>8594661.844321556</v>
      </c>
      <c r="G84" s="99">
        <f t="shared" si="4"/>
        <v>48799</v>
      </c>
      <c r="H84" s="300">
        <f>SUM(F81:G84)</f>
        <v>38913638.254644275</v>
      </c>
      <c r="I84" s="300">
        <f>SUM(D81:D84)</f>
        <v>191176472</v>
      </c>
      <c r="J84" s="301">
        <f>SUM(H84:I84)</f>
        <v>230090110.25464427</v>
      </c>
    </row>
    <row r="85" spans="1:10" ht="12.75">
      <c r="A85" s="103">
        <v>46112</v>
      </c>
      <c r="B85" s="435">
        <f t="shared" si="6"/>
        <v>90</v>
      </c>
      <c r="C85" s="42">
        <f t="shared" si="7"/>
        <v>430147038</v>
      </c>
      <c r="D85" s="42">
        <f t="shared" si="8"/>
        <v>47794118</v>
      </c>
      <c r="E85" s="304">
        <f t="shared" si="8"/>
        <v>0.06397</v>
      </c>
      <c r="F85" s="42">
        <f t="shared" si="3"/>
        <v>7643473.93733</v>
      </c>
      <c r="G85" s="42">
        <f t="shared" si="4"/>
        <v>48799</v>
      </c>
      <c r="H85" s="104"/>
      <c r="I85" s="104"/>
      <c r="J85" s="242"/>
    </row>
    <row r="86" spans="1:10" ht="12.75">
      <c r="A86" s="90">
        <v>46203</v>
      </c>
      <c r="B86" s="215">
        <f t="shared" si="6"/>
        <v>91</v>
      </c>
      <c r="C86" s="41">
        <f t="shared" si="7"/>
        <v>382352920</v>
      </c>
      <c r="D86" s="41">
        <f t="shared" si="8"/>
        <v>47794118</v>
      </c>
      <c r="E86" s="302">
        <f t="shared" si="8"/>
        <v>0.06397</v>
      </c>
      <c r="F86" s="41">
        <f t="shared" si="3"/>
        <v>6955561.244161834</v>
      </c>
      <c r="G86" s="41">
        <f t="shared" si="4"/>
        <v>48799</v>
      </c>
      <c r="H86" s="91"/>
      <c r="I86" s="91"/>
      <c r="J86" s="231"/>
    </row>
    <row r="87" spans="1:10" ht="12.75">
      <c r="A87" s="90">
        <v>46295</v>
      </c>
      <c r="B87" s="215">
        <f t="shared" si="6"/>
        <v>92</v>
      </c>
      <c r="C87" s="41">
        <f t="shared" si="7"/>
        <v>334558802</v>
      </c>
      <c r="D87" s="41">
        <f t="shared" si="8"/>
        <v>47794118</v>
      </c>
      <c r="E87" s="302">
        <f t="shared" si="8"/>
        <v>0.06397</v>
      </c>
      <c r="F87" s="41">
        <f t="shared" si="3"/>
        <v>6250663.052502221</v>
      </c>
      <c r="G87" s="41">
        <f t="shared" si="4"/>
        <v>48799</v>
      </c>
      <c r="H87" s="91"/>
      <c r="I87" s="91"/>
      <c r="J87" s="231"/>
    </row>
    <row r="88" spans="1:10" ht="12.75">
      <c r="A88" s="97">
        <v>46387</v>
      </c>
      <c r="B88" s="187">
        <f t="shared" si="6"/>
        <v>92</v>
      </c>
      <c r="C88" s="99">
        <f t="shared" si="7"/>
        <v>286764684</v>
      </c>
      <c r="D88" s="99">
        <f t="shared" si="8"/>
        <v>47794118</v>
      </c>
      <c r="E88" s="303">
        <f t="shared" si="8"/>
        <v>0.06397</v>
      </c>
      <c r="F88" s="99">
        <f t="shared" si="3"/>
        <v>5469330.121895778</v>
      </c>
      <c r="G88" s="99">
        <f aca="true" t="shared" si="9" ref="G88:G93">G87</f>
        <v>48799</v>
      </c>
      <c r="H88" s="300">
        <f>SUM(F85:G88)</f>
        <v>26514224.355889834</v>
      </c>
      <c r="I88" s="300">
        <f>SUM(D85:D88)</f>
        <v>191176472</v>
      </c>
      <c r="J88" s="301">
        <f>SUM(H88:I88)</f>
        <v>217690696.35588983</v>
      </c>
    </row>
    <row r="89" spans="1:10" ht="12.75">
      <c r="A89" s="103">
        <v>46477</v>
      </c>
      <c r="B89" s="435">
        <f t="shared" si="6"/>
        <v>90</v>
      </c>
      <c r="C89" s="42">
        <f t="shared" si="7"/>
        <v>238970566</v>
      </c>
      <c r="D89" s="42">
        <f t="shared" si="8"/>
        <v>47794118</v>
      </c>
      <c r="E89" s="304">
        <f t="shared" si="8"/>
        <v>0.06397</v>
      </c>
      <c r="F89" s="42">
        <f aca="true" t="shared" si="10" ref="F89:F94">((C89+D89)*E89/360*B89)</f>
        <v>4586084.20887</v>
      </c>
      <c r="G89" s="42">
        <f t="shared" si="9"/>
        <v>48799</v>
      </c>
      <c r="H89" s="104"/>
      <c r="I89" s="104"/>
      <c r="J89" s="242"/>
    </row>
    <row r="90" spans="1:10" ht="12.75">
      <c r="A90" s="90">
        <v>46568</v>
      </c>
      <c r="B90" s="215">
        <f t="shared" si="6"/>
        <v>91</v>
      </c>
      <c r="C90" s="41">
        <f t="shared" si="7"/>
        <v>191176448</v>
      </c>
      <c r="D90" s="41">
        <f t="shared" si="8"/>
        <v>47794118</v>
      </c>
      <c r="E90" s="302">
        <f t="shared" si="8"/>
        <v>0.06397</v>
      </c>
      <c r="F90" s="41">
        <f t="shared" si="10"/>
        <v>3864200.5187189444</v>
      </c>
      <c r="G90" s="41">
        <f t="shared" si="9"/>
        <v>48799</v>
      </c>
      <c r="H90" s="91"/>
      <c r="I90" s="91"/>
      <c r="J90" s="231"/>
    </row>
    <row r="91" spans="1:10" ht="12.75">
      <c r="A91" s="90">
        <v>46660</v>
      </c>
      <c r="B91" s="215">
        <f t="shared" si="6"/>
        <v>92</v>
      </c>
      <c r="C91" s="41">
        <f t="shared" si="7"/>
        <v>143382330</v>
      </c>
      <c r="D91" s="41">
        <f t="shared" si="8"/>
        <v>47794118</v>
      </c>
      <c r="E91" s="302">
        <f t="shared" si="8"/>
        <v>0.06397</v>
      </c>
      <c r="F91" s="41">
        <f t="shared" si="10"/>
        <v>3125331.330076444</v>
      </c>
      <c r="G91" s="41">
        <f t="shared" si="9"/>
        <v>48799</v>
      </c>
      <c r="H91" s="91"/>
      <c r="I91" s="91"/>
      <c r="J91" s="231"/>
    </row>
    <row r="92" spans="1:10" ht="12.75">
      <c r="A92" s="97">
        <v>46752</v>
      </c>
      <c r="B92" s="187">
        <f t="shared" si="6"/>
        <v>92</v>
      </c>
      <c r="C92" s="99">
        <f t="shared" si="7"/>
        <v>95588212</v>
      </c>
      <c r="D92" s="99">
        <f>D91</f>
        <v>47794118</v>
      </c>
      <c r="E92" s="303">
        <f>E91</f>
        <v>0.06397</v>
      </c>
      <c r="F92" s="99">
        <f t="shared" si="10"/>
        <v>2343998.39947</v>
      </c>
      <c r="G92" s="99">
        <f t="shared" si="9"/>
        <v>48799</v>
      </c>
      <c r="H92" s="300">
        <f>SUM(F89:G92)</f>
        <v>14114810.457135389</v>
      </c>
      <c r="I92" s="300">
        <f>SUM(D89:D92)</f>
        <v>191176472</v>
      </c>
      <c r="J92" s="301">
        <f>SUM(H92:I92)</f>
        <v>205291282.45713538</v>
      </c>
    </row>
    <row r="93" spans="1:10" ht="12.75">
      <c r="A93" s="103">
        <v>46843</v>
      </c>
      <c r="B93" s="435">
        <f t="shared" si="6"/>
        <v>91</v>
      </c>
      <c r="C93" s="42">
        <f t="shared" si="7"/>
        <v>47794094</v>
      </c>
      <c r="D93" s="42">
        <f>D92</f>
        <v>47794118</v>
      </c>
      <c r="E93" s="304">
        <f>E92</f>
        <v>0.06397</v>
      </c>
      <c r="F93" s="42">
        <f t="shared" si="10"/>
        <v>1545679.9746367778</v>
      </c>
      <c r="G93" s="42">
        <f t="shared" si="9"/>
        <v>48799</v>
      </c>
      <c r="H93" s="104"/>
      <c r="I93" s="104"/>
      <c r="J93" s="242"/>
    </row>
    <row r="94" spans="1:10" ht="13.5" thickBot="1">
      <c r="A94" s="90">
        <v>46934</v>
      </c>
      <c r="B94" s="215">
        <f t="shared" si="6"/>
        <v>91</v>
      </c>
      <c r="C94" s="41">
        <f t="shared" si="7"/>
        <v>0</v>
      </c>
      <c r="D94" s="41">
        <f>D1-SUM(D27:D93)</f>
        <v>47794094</v>
      </c>
      <c r="E94" s="302">
        <f>E93</f>
        <v>0.06397</v>
      </c>
      <c r="F94" s="41">
        <f t="shared" si="10"/>
        <v>772839.7932760555</v>
      </c>
      <c r="G94" s="41">
        <f>D3-SUM(G17:G93)</f>
        <v>48785</v>
      </c>
      <c r="H94" s="300">
        <f>SUM(F93:G94)</f>
        <v>2416103.767912833</v>
      </c>
      <c r="I94" s="300">
        <f>SUM(D93:D94)</f>
        <v>95588212</v>
      </c>
      <c r="J94" s="301">
        <f>SUM(H94:I94)</f>
        <v>98004315.76791283</v>
      </c>
    </row>
    <row r="95" spans="1:10" ht="13.5" thickTop="1">
      <c r="A95" s="567" t="s">
        <v>14</v>
      </c>
      <c r="B95" s="568"/>
      <c r="C95" s="569"/>
      <c r="D95" s="117">
        <f>SUM(D9:D94)</f>
        <v>3250000000</v>
      </c>
      <c r="E95" s="118"/>
      <c r="F95" s="117">
        <f>SUM(F9:F94)</f>
        <v>2056531091.46934</v>
      </c>
      <c r="G95" s="117">
        <f>SUM(G9:G94)</f>
        <v>3611112</v>
      </c>
      <c r="H95" s="117">
        <f>SUM(H9:H94)</f>
        <v>2060142203.46934</v>
      </c>
      <c r="I95" s="117">
        <f>SUM(I9:I94)</f>
        <v>3250000000</v>
      </c>
      <c r="J95" s="119">
        <f>SUM(J9:J94)</f>
        <v>5310142203.469341</v>
      </c>
    </row>
    <row r="96" spans="1:10" ht="12.75">
      <c r="A96" s="120"/>
      <c r="E96" s="122"/>
      <c r="H96" s="121"/>
      <c r="J96" s="121"/>
    </row>
    <row r="97" spans="1:10" ht="12.75">
      <c r="A97" s="120"/>
      <c r="E97" s="122"/>
      <c r="G97" s="121"/>
      <c r="H97" s="121"/>
      <c r="J97" s="121"/>
    </row>
    <row r="98" spans="3:4" ht="12.75">
      <c r="C98" s="58"/>
      <c r="D98" s="58"/>
    </row>
    <row r="99" spans="1:8" ht="12.75">
      <c r="A99" s="121"/>
      <c r="C99" s="58"/>
      <c r="D99" s="316" t="s">
        <v>3</v>
      </c>
      <c r="E99" s="316"/>
      <c r="F99" s="316" t="s">
        <v>106</v>
      </c>
      <c r="G99" s="316" t="s">
        <v>137</v>
      </c>
      <c r="H99" s="316" t="s">
        <v>138</v>
      </c>
    </row>
    <row r="100" spans="1:8" ht="12.75">
      <c r="A100" s="261"/>
      <c r="B100" s="498"/>
      <c r="C100" s="337"/>
      <c r="D100" s="337"/>
      <c r="E100" s="338"/>
      <c r="F100" s="338" t="s">
        <v>135</v>
      </c>
      <c r="G100" s="338" t="s">
        <v>136</v>
      </c>
      <c r="H100" s="338" t="s">
        <v>139</v>
      </c>
    </row>
    <row r="101" spans="1:8" ht="12.75">
      <c r="A101" s="121" t="s">
        <v>278</v>
      </c>
      <c r="C101" s="58"/>
      <c r="D101" s="332">
        <v>40086</v>
      </c>
      <c r="E101" s="316"/>
      <c r="F101" s="121">
        <v>540000000</v>
      </c>
      <c r="G101" s="121">
        <f>F101</f>
        <v>540000000</v>
      </c>
      <c r="H101" s="121">
        <f aca="true" t="shared" si="11" ref="H101:H106">D$1-G101</f>
        <v>2710000000</v>
      </c>
    </row>
    <row r="102" spans="1:8" ht="12.75">
      <c r="A102" s="121" t="s">
        <v>170</v>
      </c>
      <c r="C102" s="58"/>
      <c r="D102" s="332">
        <v>40176</v>
      </c>
      <c r="E102" s="316"/>
      <c r="F102" s="121">
        <v>540000000</v>
      </c>
      <c r="G102" s="121">
        <f>F102+G101</f>
        <v>1080000000</v>
      </c>
      <c r="H102" s="121">
        <f t="shared" si="11"/>
        <v>2170000000</v>
      </c>
    </row>
    <row r="103" spans="1:8" ht="12.75">
      <c r="A103" s="121" t="s">
        <v>277</v>
      </c>
      <c r="C103" s="58"/>
      <c r="D103" s="332">
        <v>40268</v>
      </c>
      <c r="E103" s="316"/>
      <c r="F103" s="121">
        <v>540000000</v>
      </c>
      <c r="G103" s="121">
        <f>F103+G102</f>
        <v>1620000000</v>
      </c>
      <c r="H103" s="121">
        <f t="shared" si="11"/>
        <v>1630000000</v>
      </c>
    </row>
    <row r="104" spans="1:8" ht="12.75">
      <c r="A104" s="121" t="s">
        <v>322</v>
      </c>
      <c r="C104" s="58"/>
      <c r="D104" s="332">
        <v>40359</v>
      </c>
      <c r="E104" s="316"/>
      <c r="F104" s="121">
        <v>540000000</v>
      </c>
      <c r="G104" s="121">
        <f>F104+G103</f>
        <v>2160000000</v>
      </c>
      <c r="H104" s="121">
        <f t="shared" si="11"/>
        <v>1090000000</v>
      </c>
    </row>
    <row r="105" spans="1:8" ht="12.75">
      <c r="A105" s="121" t="s">
        <v>323</v>
      </c>
      <c r="C105" s="58"/>
      <c r="D105" s="332">
        <v>40451</v>
      </c>
      <c r="E105" s="316"/>
      <c r="F105" s="121">
        <v>540000000</v>
      </c>
      <c r="G105" s="121">
        <f>F105+G104</f>
        <v>2700000000</v>
      </c>
      <c r="H105" s="121">
        <f t="shared" si="11"/>
        <v>550000000</v>
      </c>
    </row>
    <row r="106" spans="1:8" ht="13.5" thickBot="1">
      <c r="A106" s="121" t="s">
        <v>324</v>
      </c>
      <c r="C106" s="58"/>
      <c r="D106" s="332">
        <v>40541</v>
      </c>
      <c r="E106" s="316"/>
      <c r="F106" s="121">
        <v>550000000</v>
      </c>
      <c r="G106" s="121">
        <f>F106+G105</f>
        <v>3250000000</v>
      </c>
      <c r="H106" s="121">
        <f t="shared" si="11"/>
        <v>0</v>
      </c>
    </row>
    <row r="107" spans="1:6" ht="13.5" thickTop="1">
      <c r="A107" s="126" t="s">
        <v>14</v>
      </c>
      <c r="B107" s="499"/>
      <c r="C107" s="124"/>
      <c r="D107" s="124"/>
      <c r="E107" s="333"/>
      <c r="F107" s="500">
        <f>SUM(F101:F106)</f>
        <v>3250000000</v>
      </c>
    </row>
  </sheetData>
  <sheetProtection/>
  <mergeCells count="1">
    <mergeCell ref="A95:C95"/>
  </mergeCells>
  <printOptions horizontalCentered="1"/>
  <pageMargins left="0.3937007874015748" right="0.3937007874015748" top="0.984251968503937" bottom="0.3937007874015748" header="0.3937007874015748" footer="0.11811023622047245"/>
  <pageSetup blackAndWhite="1" horizontalDpi="300" verticalDpi="300" orientation="portrait" paperSize="9" scale="80" r:id="rId1"/>
  <headerFooter alignWithMargins="0">
    <oddHeader>&amp;C&amp;"Times New Roman CE,Félkövér dőlt"&amp;12Adósságszolgálat számítása 
2008-2009-2010. években felvételre tervezett 3,25 mrd Ft hitel
(Infrastruktúra Fejlesztési Hitelprogram 8. hitelcél)</oddHeader>
    <oddFooter>&amp;L&amp;8&amp;D&amp;C&amp;8C:\Andi\adósságszolgálat2007\&amp;F\&amp;A    Oláhné P. Andrea&amp;R&amp;8&amp;P/&amp;N</oddFooter>
  </headerFooter>
  <rowBreaks count="1" manualBreakCount="1">
    <brk id="7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7"/>
  <sheetViews>
    <sheetView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11.375" style="58" customWidth="1"/>
    <col min="2" max="2" width="5.625" style="434" customWidth="1"/>
    <col min="3" max="3" width="15.375" style="121" customWidth="1"/>
    <col min="4" max="4" width="15.50390625" style="121" bestFit="1" customWidth="1"/>
    <col min="5" max="5" width="8.625" style="58" customWidth="1"/>
    <col min="6" max="6" width="14.375" style="58" customWidth="1"/>
    <col min="7" max="7" width="13.875" style="58" customWidth="1"/>
    <col min="8" max="8" width="14.625" style="58" bestFit="1" customWidth="1"/>
    <col min="9" max="9" width="15.625" style="58" customWidth="1"/>
    <col min="10" max="10" width="16.00390625" style="58" customWidth="1"/>
    <col min="11" max="11" width="2.125" style="58" customWidth="1"/>
    <col min="12" max="16384" width="9.375" style="58" customWidth="1"/>
  </cols>
  <sheetData>
    <row r="1" spans="1:7" ht="12.75">
      <c r="A1" s="162" t="s">
        <v>204</v>
      </c>
      <c r="B1" s="429"/>
      <c r="C1" s="163"/>
      <c r="D1" s="163">
        <v>1350000000</v>
      </c>
      <c r="E1" s="162" t="s">
        <v>205</v>
      </c>
      <c r="F1" s="162" t="s">
        <v>279</v>
      </c>
      <c r="G1" s="162"/>
    </row>
    <row r="2" spans="1:7" ht="12.75">
      <c r="A2" s="162" t="s">
        <v>206</v>
      </c>
      <c r="B2" s="429"/>
      <c r="C2" s="163"/>
      <c r="D2" s="163">
        <v>17</v>
      </c>
      <c r="E2" s="162" t="s">
        <v>207</v>
      </c>
      <c r="F2" s="162"/>
      <c r="G2" s="162"/>
    </row>
    <row r="3" spans="1:7" ht="12.75">
      <c r="A3" s="162" t="s">
        <v>226</v>
      </c>
      <c r="B3" s="429"/>
      <c r="C3" s="163"/>
      <c r="D3" s="163">
        <v>1500000</v>
      </c>
      <c r="E3" s="162" t="s">
        <v>205</v>
      </c>
      <c r="F3" s="556">
        <f>D3/D1</f>
        <v>0.0011111111111111111</v>
      </c>
      <c r="G3" s="162"/>
    </row>
    <row r="4" spans="1:7" ht="12.75">
      <c r="A4" s="163" t="s">
        <v>228</v>
      </c>
      <c r="B4" s="429"/>
      <c r="C4" s="163"/>
      <c r="D4" s="163">
        <v>3</v>
      </c>
      <c r="E4" s="162" t="s">
        <v>207</v>
      </c>
      <c r="F4" s="162"/>
      <c r="G4" s="162"/>
    </row>
    <row r="5" spans="1:10" ht="12.75">
      <c r="A5" s="163" t="s">
        <v>281</v>
      </c>
      <c r="B5" s="162"/>
      <c r="C5" s="163"/>
      <c r="D5" s="398"/>
      <c r="E5" s="399"/>
      <c r="F5" s="163"/>
      <c r="G5" s="446">
        <v>0.06215</v>
      </c>
      <c r="I5" s="132"/>
      <c r="J5" s="132"/>
    </row>
    <row r="6" spans="1:10" ht="12.75">
      <c r="A6" s="66" t="s">
        <v>3</v>
      </c>
      <c r="B6" s="430" t="s">
        <v>4</v>
      </c>
      <c r="C6" s="68" t="s">
        <v>5</v>
      </c>
      <c r="D6" s="68" t="s">
        <v>21</v>
      </c>
      <c r="E6" s="68" t="s">
        <v>18</v>
      </c>
      <c r="F6" s="69" t="s">
        <v>20</v>
      </c>
      <c r="G6" s="69" t="s">
        <v>120</v>
      </c>
      <c r="H6" s="70" t="s">
        <v>6</v>
      </c>
      <c r="I6" s="70" t="s">
        <v>6</v>
      </c>
      <c r="J6" s="71" t="s">
        <v>6</v>
      </c>
    </row>
    <row r="7" spans="1:10" ht="12.75">
      <c r="A7" s="72"/>
      <c r="B7" s="431" t="s">
        <v>7</v>
      </c>
      <c r="C7" s="74" t="s">
        <v>8</v>
      </c>
      <c r="D7" s="74" t="s">
        <v>13</v>
      </c>
      <c r="E7" s="74" t="s">
        <v>19</v>
      </c>
      <c r="F7" s="75" t="s">
        <v>13</v>
      </c>
      <c r="G7" s="75" t="s">
        <v>121</v>
      </c>
      <c r="H7" s="76" t="s">
        <v>9</v>
      </c>
      <c r="I7" s="76" t="s">
        <v>11</v>
      </c>
      <c r="J7" s="77" t="s">
        <v>10</v>
      </c>
    </row>
    <row r="8" spans="1:10" ht="12.75">
      <c r="A8" s="78"/>
      <c r="B8" s="432"/>
      <c r="C8" s="80"/>
      <c r="D8" s="80"/>
      <c r="E8" s="80"/>
      <c r="F8" s="81"/>
      <c r="G8" s="136" t="s">
        <v>229</v>
      </c>
      <c r="H8" s="136" t="s">
        <v>123</v>
      </c>
      <c r="I8" s="82" t="s">
        <v>13</v>
      </c>
      <c r="J8" s="83" t="s">
        <v>12</v>
      </c>
    </row>
    <row r="9" spans="1:10" s="162" customFormat="1" ht="12.75" hidden="1">
      <c r="A9" s="493">
        <v>39753</v>
      </c>
      <c r="B9" s="494"/>
      <c r="C9" s="495"/>
      <c r="D9" s="325"/>
      <c r="E9" s="325"/>
      <c r="F9" s="325"/>
      <c r="G9" s="325"/>
      <c r="H9" s="325"/>
      <c r="I9" s="325"/>
      <c r="J9" s="496"/>
    </row>
    <row r="10" spans="1:10" ht="12.75" hidden="1">
      <c r="A10" s="97">
        <v>39813</v>
      </c>
      <c r="B10" s="187">
        <f aca="true" t="shared" si="0" ref="B10:B77">A10-A9</f>
        <v>60</v>
      </c>
      <c r="C10" s="99">
        <f aca="true" t="shared" si="1" ref="C10:C77">C9-D10</f>
        <v>0</v>
      </c>
      <c r="D10" s="99"/>
      <c r="E10" s="303">
        <v>0.06397</v>
      </c>
      <c r="F10" s="99">
        <f>((C10+D10)*E10/360*B10)</f>
        <v>0</v>
      </c>
      <c r="G10" s="99"/>
      <c r="H10" s="300">
        <f>SUM(F10:G10)</f>
        <v>0</v>
      </c>
      <c r="I10" s="300">
        <f>SUM(D10:D10)</f>
        <v>0</v>
      </c>
      <c r="J10" s="301">
        <f>SUM(H10:I10)</f>
        <v>0</v>
      </c>
    </row>
    <row r="11" spans="1:10" ht="12.75" hidden="1">
      <c r="A11" s="84">
        <v>39903</v>
      </c>
      <c r="B11" s="521">
        <f t="shared" si="0"/>
        <v>90</v>
      </c>
      <c r="C11" s="86">
        <f t="shared" si="1"/>
        <v>0</v>
      </c>
      <c r="D11" s="86"/>
      <c r="E11" s="304">
        <f aca="true" t="shared" si="2" ref="E11:E77">E10</f>
        <v>0.06397</v>
      </c>
      <c r="F11" s="42">
        <f>((C11+D11)*E11/360*B11)</f>
        <v>0</v>
      </c>
      <c r="G11" s="42"/>
      <c r="H11" s="104"/>
      <c r="I11" s="104"/>
      <c r="J11" s="242"/>
    </row>
    <row r="12" spans="1:10" ht="12.75">
      <c r="A12" s="553">
        <v>39903</v>
      </c>
      <c r="B12" s="554"/>
      <c r="C12" s="88">
        <v>240000000</v>
      </c>
      <c r="D12" s="86"/>
      <c r="E12" s="522"/>
      <c r="F12" s="86"/>
      <c r="G12" s="86"/>
      <c r="H12" s="85"/>
      <c r="I12" s="85"/>
      <c r="J12" s="240"/>
    </row>
    <row r="13" spans="1:10" ht="12.75">
      <c r="A13" s="90">
        <v>39994</v>
      </c>
      <c r="B13" s="215">
        <f>A13-A11</f>
        <v>91</v>
      </c>
      <c r="C13" s="41">
        <f>C12-D13</f>
        <v>240000000</v>
      </c>
      <c r="D13" s="41"/>
      <c r="E13" s="302">
        <f>E11</f>
        <v>0.06397</v>
      </c>
      <c r="F13" s="41">
        <f>((C13+D13)*E13/360*B13)</f>
        <v>3880846.6666666665</v>
      </c>
      <c r="G13" s="41"/>
      <c r="H13" s="91"/>
      <c r="I13" s="91"/>
      <c r="J13" s="231"/>
    </row>
    <row r="14" spans="1:10" ht="12.75">
      <c r="A14" s="414">
        <v>39994</v>
      </c>
      <c r="B14" s="215">
        <f>A14-A13</f>
        <v>0</v>
      </c>
      <c r="C14" s="497">
        <v>480000000</v>
      </c>
      <c r="D14" s="41"/>
      <c r="E14" s="302"/>
      <c r="F14" s="41"/>
      <c r="G14" s="41"/>
      <c r="H14" s="91"/>
      <c r="I14" s="91"/>
      <c r="J14" s="231"/>
    </row>
    <row r="15" spans="1:10" ht="12.75">
      <c r="A15" s="90">
        <v>40086</v>
      </c>
      <c r="B15" s="215">
        <f>A15-A14</f>
        <v>92</v>
      </c>
      <c r="C15" s="41">
        <f>C14-D15</f>
        <v>480000000</v>
      </c>
      <c r="D15" s="41"/>
      <c r="E15" s="302">
        <f>E13</f>
        <v>0.06397</v>
      </c>
      <c r="F15" s="41">
        <f>((C14+D14)*E15/360*B15)</f>
        <v>7846986.666666666</v>
      </c>
      <c r="G15" s="41"/>
      <c r="H15" s="91"/>
      <c r="I15" s="91"/>
      <c r="J15" s="231"/>
    </row>
    <row r="16" spans="1:10" ht="12.75">
      <c r="A16" s="528">
        <v>40086</v>
      </c>
      <c r="B16" s="215">
        <f>A16-A15</f>
        <v>0</v>
      </c>
      <c r="C16" s="245">
        <v>720000000</v>
      </c>
      <c r="D16" s="107"/>
      <c r="E16" s="305"/>
      <c r="F16" s="107"/>
      <c r="G16" s="107"/>
      <c r="H16" s="108"/>
      <c r="I16" s="108"/>
      <c r="J16" s="251"/>
    </row>
    <row r="17" spans="1:10" ht="12.75">
      <c r="A17" s="528">
        <v>40176</v>
      </c>
      <c r="B17" s="215">
        <f>A17-A16</f>
        <v>90</v>
      </c>
      <c r="C17" s="245">
        <v>970000000</v>
      </c>
      <c r="D17" s="107"/>
      <c r="E17" s="305"/>
      <c r="F17" s="107"/>
      <c r="G17" s="107"/>
      <c r="H17" s="108"/>
      <c r="I17" s="108"/>
      <c r="J17" s="251"/>
    </row>
    <row r="18" spans="1:10" ht="12.75">
      <c r="A18" s="97">
        <v>40178</v>
      </c>
      <c r="B18" s="187">
        <f>A18-A17</f>
        <v>2</v>
      </c>
      <c r="C18" s="99">
        <f>C17-D18</f>
        <v>970000000</v>
      </c>
      <c r="D18" s="99"/>
      <c r="E18" s="303">
        <f>E15</f>
        <v>0.06397</v>
      </c>
      <c r="F18" s="99">
        <f>((C16+D16)*E18/360*B17)+((C17+D17)*E18/360*B18)</f>
        <v>11859327.222222222</v>
      </c>
      <c r="G18" s="99"/>
      <c r="H18" s="300">
        <f>SUM(F11:G18)</f>
        <v>23587160.555555552</v>
      </c>
      <c r="I18" s="300">
        <f>SUM(D11:D18)</f>
        <v>0</v>
      </c>
      <c r="J18" s="301">
        <f>SUM(H18:I18)</f>
        <v>23587160.555555552</v>
      </c>
    </row>
    <row r="19" spans="1:10" ht="12.75">
      <c r="A19" s="103">
        <v>40268</v>
      </c>
      <c r="B19" s="435">
        <f t="shared" si="0"/>
        <v>90</v>
      </c>
      <c r="C19" s="42">
        <f t="shared" si="1"/>
        <v>970000000</v>
      </c>
      <c r="D19" s="42"/>
      <c r="E19" s="304">
        <f t="shared" si="2"/>
        <v>0.06397</v>
      </c>
      <c r="F19" s="42">
        <f>((C19+D19)*E19/360*B19)</f>
        <v>15512725.000000002</v>
      </c>
      <c r="G19" s="41">
        <f>ROUND(D3/(((D2+D4)*4)-6),0)</f>
        <v>20270</v>
      </c>
      <c r="H19" s="104"/>
      <c r="I19" s="104"/>
      <c r="J19" s="242"/>
    </row>
    <row r="20" spans="1:10" ht="12.75">
      <c r="A20" s="547">
        <v>40268</v>
      </c>
      <c r="B20" s="215">
        <f t="shared" si="0"/>
        <v>0</v>
      </c>
      <c r="C20" s="93">
        <v>1220000000</v>
      </c>
      <c r="D20" s="41"/>
      <c r="E20" s="522"/>
      <c r="F20" s="86"/>
      <c r="G20" s="41"/>
      <c r="H20" s="85"/>
      <c r="I20" s="85"/>
      <c r="J20" s="240"/>
    </row>
    <row r="21" spans="1:10" ht="12.75">
      <c r="A21" s="90">
        <v>40359</v>
      </c>
      <c r="B21" s="215">
        <f>A21-A20</f>
        <v>91</v>
      </c>
      <c r="C21" s="41">
        <f>C20-D21</f>
        <v>1220000000</v>
      </c>
      <c r="D21" s="41"/>
      <c r="E21" s="302">
        <f>E19</f>
        <v>0.06397</v>
      </c>
      <c r="F21" s="41">
        <f>((C21+D21)*E21/360*B21)</f>
        <v>19727637.22222222</v>
      </c>
      <c r="G21" s="41">
        <f>G19</f>
        <v>20270</v>
      </c>
      <c r="H21" s="91"/>
      <c r="I21" s="91"/>
      <c r="J21" s="231"/>
    </row>
    <row r="22" spans="1:10" s="162" customFormat="1" ht="12.75">
      <c r="A22" s="294">
        <v>40359</v>
      </c>
      <c r="B22" s="215">
        <f t="shared" si="0"/>
        <v>0</v>
      </c>
      <c r="C22" s="93">
        <v>1350000000</v>
      </c>
      <c r="D22" s="281"/>
      <c r="E22" s="395"/>
      <c r="F22" s="281"/>
      <c r="G22" s="281"/>
      <c r="H22" s="396"/>
      <c r="I22" s="396"/>
      <c r="J22" s="397"/>
    </row>
    <row r="23" spans="1:10" ht="12.75">
      <c r="A23" s="90">
        <v>40451</v>
      </c>
      <c r="B23" s="215">
        <f t="shared" si="0"/>
        <v>92</v>
      </c>
      <c r="C23" s="41">
        <f t="shared" si="1"/>
        <v>1350000000</v>
      </c>
      <c r="D23" s="41"/>
      <c r="E23" s="302">
        <f>E21</f>
        <v>0.06397</v>
      </c>
      <c r="F23" s="41">
        <f>((C22+D22)*E23/360*B23)</f>
        <v>22069650</v>
      </c>
      <c r="G23" s="41">
        <f>G21</f>
        <v>20270</v>
      </c>
      <c r="H23" s="91"/>
      <c r="I23" s="91"/>
      <c r="J23" s="231"/>
    </row>
    <row r="24" spans="1:10" ht="12.75">
      <c r="A24" s="97">
        <v>40543</v>
      </c>
      <c r="B24" s="187">
        <f t="shared" si="0"/>
        <v>92</v>
      </c>
      <c r="C24" s="99">
        <f t="shared" si="1"/>
        <v>1350000000</v>
      </c>
      <c r="D24" s="99"/>
      <c r="E24" s="303">
        <f t="shared" si="2"/>
        <v>0.06397</v>
      </c>
      <c r="F24" s="99">
        <f>((C24+D24)*E24/360*B24)</f>
        <v>22069650</v>
      </c>
      <c r="G24" s="99">
        <f aca="true" t="shared" si="3" ref="G24:G87">G23</f>
        <v>20270</v>
      </c>
      <c r="H24" s="300">
        <f>SUM(F19:G24)</f>
        <v>79460742.22222222</v>
      </c>
      <c r="I24" s="300">
        <f>SUM(D19:D24)</f>
        <v>0</v>
      </c>
      <c r="J24" s="301">
        <f>SUM(H24:I24)</f>
        <v>79460742.22222222</v>
      </c>
    </row>
    <row r="25" spans="1:10" ht="12.75">
      <c r="A25" s="103">
        <v>40633</v>
      </c>
      <c r="B25" s="435">
        <f t="shared" si="0"/>
        <v>90</v>
      </c>
      <c r="C25" s="42">
        <f t="shared" si="1"/>
        <v>1350000000</v>
      </c>
      <c r="D25" s="42"/>
      <c r="E25" s="304">
        <f t="shared" si="2"/>
        <v>0.06397</v>
      </c>
      <c r="F25" s="42">
        <f aca="true" t="shared" si="4" ref="F25:F88">((C25+D25)*E25/360*B25)</f>
        <v>21589875</v>
      </c>
      <c r="G25" s="42">
        <f t="shared" si="3"/>
        <v>20270</v>
      </c>
      <c r="H25" s="104"/>
      <c r="I25" s="104"/>
      <c r="J25" s="242"/>
    </row>
    <row r="26" spans="1:10" ht="12.75">
      <c r="A26" s="90">
        <v>40724</v>
      </c>
      <c r="B26" s="215">
        <f t="shared" si="0"/>
        <v>91</v>
      </c>
      <c r="C26" s="41">
        <f t="shared" si="1"/>
        <v>1350000000</v>
      </c>
      <c r="D26" s="41"/>
      <c r="E26" s="302">
        <f t="shared" si="2"/>
        <v>0.06397</v>
      </c>
      <c r="F26" s="41">
        <f t="shared" si="4"/>
        <v>21829762.5</v>
      </c>
      <c r="G26" s="41">
        <f t="shared" si="3"/>
        <v>20270</v>
      </c>
      <c r="H26" s="91"/>
      <c r="I26" s="91"/>
      <c r="J26" s="231"/>
    </row>
    <row r="27" spans="1:10" ht="12.75">
      <c r="A27" s="90">
        <v>40816</v>
      </c>
      <c r="B27" s="215">
        <f t="shared" si="0"/>
        <v>92</v>
      </c>
      <c r="C27" s="41">
        <f t="shared" si="1"/>
        <v>1330147059</v>
      </c>
      <c r="D27" s="41">
        <v>19852941</v>
      </c>
      <c r="E27" s="302">
        <f t="shared" si="2"/>
        <v>0.06397</v>
      </c>
      <c r="F27" s="41">
        <f>((C27+D27)*E27/360*B27)</f>
        <v>22069650</v>
      </c>
      <c r="G27" s="41">
        <f t="shared" si="3"/>
        <v>20270</v>
      </c>
      <c r="H27" s="91"/>
      <c r="I27" s="91"/>
      <c r="J27" s="231"/>
    </row>
    <row r="28" spans="1:10" ht="12.75">
      <c r="A28" s="97">
        <v>40908</v>
      </c>
      <c r="B28" s="187">
        <f t="shared" si="0"/>
        <v>92</v>
      </c>
      <c r="C28" s="99">
        <f t="shared" si="1"/>
        <v>1310294118</v>
      </c>
      <c r="D28" s="99">
        <f aca="true" t="shared" si="5" ref="D28:D43">D27</f>
        <v>19852941</v>
      </c>
      <c r="E28" s="303">
        <f t="shared" si="2"/>
        <v>0.06397</v>
      </c>
      <c r="F28" s="99">
        <f>((C28+D28)*E28/360*B28)</f>
        <v>21745096.32641433</v>
      </c>
      <c r="G28" s="99">
        <f t="shared" si="3"/>
        <v>20270</v>
      </c>
      <c r="H28" s="300">
        <f>SUM(F25:G28)</f>
        <v>87315463.82641433</v>
      </c>
      <c r="I28" s="300">
        <f>SUM(D25:D28)</f>
        <v>39705882</v>
      </c>
      <c r="J28" s="301">
        <f>SUM(H28:I28)</f>
        <v>127021345.82641433</v>
      </c>
    </row>
    <row r="29" spans="1:10" ht="12.75">
      <c r="A29" s="103">
        <v>40999</v>
      </c>
      <c r="B29" s="435">
        <f t="shared" si="0"/>
        <v>91</v>
      </c>
      <c r="C29" s="42">
        <f t="shared" si="1"/>
        <v>1290441177</v>
      </c>
      <c r="D29" s="42">
        <f t="shared" si="5"/>
        <v>19852941</v>
      </c>
      <c r="E29" s="304">
        <f t="shared" si="2"/>
        <v>0.06397</v>
      </c>
      <c r="F29" s="42">
        <f t="shared" si="4"/>
        <v>21187710.667471834</v>
      </c>
      <c r="G29" s="42">
        <f t="shared" si="3"/>
        <v>20270</v>
      </c>
      <c r="H29" s="104"/>
      <c r="I29" s="104"/>
      <c r="J29" s="242"/>
    </row>
    <row r="30" spans="1:10" ht="12.75">
      <c r="A30" s="90">
        <v>41090</v>
      </c>
      <c r="B30" s="215">
        <f t="shared" si="0"/>
        <v>91</v>
      </c>
      <c r="C30" s="41">
        <f t="shared" si="1"/>
        <v>1270588236</v>
      </c>
      <c r="D30" s="41">
        <f t="shared" si="5"/>
        <v>19852941</v>
      </c>
      <c r="E30" s="302">
        <f t="shared" si="2"/>
        <v>0.06397</v>
      </c>
      <c r="F30" s="41">
        <f t="shared" si="4"/>
        <v>20866684.75120775</v>
      </c>
      <c r="G30" s="41">
        <f t="shared" si="3"/>
        <v>20270</v>
      </c>
      <c r="H30" s="91"/>
      <c r="I30" s="91"/>
      <c r="J30" s="231"/>
    </row>
    <row r="31" spans="1:10" ht="12.75">
      <c r="A31" s="90">
        <v>41182</v>
      </c>
      <c r="B31" s="215">
        <f t="shared" si="0"/>
        <v>92</v>
      </c>
      <c r="C31" s="41">
        <f t="shared" si="1"/>
        <v>1250735295</v>
      </c>
      <c r="D31" s="41">
        <f t="shared" si="5"/>
        <v>19852941</v>
      </c>
      <c r="E31" s="302">
        <f t="shared" si="2"/>
        <v>0.06397</v>
      </c>
      <c r="F31" s="41">
        <f t="shared" si="4"/>
        <v>20771435.305657335</v>
      </c>
      <c r="G31" s="41">
        <f t="shared" si="3"/>
        <v>20270</v>
      </c>
      <c r="H31" s="91"/>
      <c r="I31" s="91"/>
      <c r="J31" s="231"/>
    </row>
    <row r="32" spans="1:10" ht="12.75">
      <c r="A32" s="97">
        <v>41274</v>
      </c>
      <c r="B32" s="187">
        <f t="shared" si="0"/>
        <v>92</v>
      </c>
      <c r="C32" s="99">
        <f t="shared" si="1"/>
        <v>1230882354</v>
      </c>
      <c r="D32" s="99">
        <f t="shared" si="5"/>
        <v>19852941</v>
      </c>
      <c r="E32" s="303">
        <f t="shared" si="2"/>
        <v>0.06397</v>
      </c>
      <c r="F32" s="99">
        <f t="shared" si="4"/>
        <v>20446881.63207167</v>
      </c>
      <c r="G32" s="99">
        <f t="shared" si="3"/>
        <v>20270</v>
      </c>
      <c r="H32" s="300">
        <f>SUM(F29:G32)</f>
        <v>83353792.35640858</v>
      </c>
      <c r="I32" s="300">
        <f>SUM(D29:D32)</f>
        <v>79411764</v>
      </c>
      <c r="J32" s="301">
        <f>SUM(H32:I32)</f>
        <v>162765556.3564086</v>
      </c>
    </row>
    <row r="33" spans="1:10" ht="12.75">
      <c r="A33" s="103">
        <v>41364</v>
      </c>
      <c r="B33" s="435">
        <f t="shared" si="0"/>
        <v>90</v>
      </c>
      <c r="C33" s="42">
        <f t="shared" si="1"/>
        <v>1211029413</v>
      </c>
      <c r="D33" s="42">
        <f t="shared" si="5"/>
        <v>19852941</v>
      </c>
      <c r="E33" s="304">
        <f t="shared" si="2"/>
        <v>0.06397</v>
      </c>
      <c r="F33" s="42">
        <f t="shared" si="4"/>
        <v>19684886.046345</v>
      </c>
      <c r="G33" s="42">
        <f t="shared" si="3"/>
        <v>20270</v>
      </c>
      <c r="H33" s="104"/>
      <c r="I33" s="104"/>
      <c r="J33" s="242"/>
    </row>
    <row r="34" spans="1:10" ht="12.75">
      <c r="A34" s="90">
        <v>41455</v>
      </c>
      <c r="B34" s="215">
        <f t="shared" si="0"/>
        <v>91</v>
      </c>
      <c r="C34" s="41">
        <f t="shared" si="1"/>
        <v>1191176472</v>
      </c>
      <c r="D34" s="41">
        <f t="shared" si="5"/>
        <v>19852941</v>
      </c>
      <c r="E34" s="302">
        <f t="shared" si="2"/>
        <v>0.06397</v>
      </c>
      <c r="F34" s="41">
        <f t="shared" si="4"/>
        <v>19582581.086151417</v>
      </c>
      <c r="G34" s="41">
        <f t="shared" si="3"/>
        <v>20270</v>
      </c>
      <c r="H34" s="91"/>
      <c r="I34" s="91"/>
      <c r="J34" s="231"/>
    </row>
    <row r="35" spans="1:10" ht="12.75">
      <c r="A35" s="90">
        <v>41547</v>
      </c>
      <c r="B35" s="215">
        <f t="shared" si="0"/>
        <v>92</v>
      </c>
      <c r="C35" s="41">
        <f t="shared" si="1"/>
        <v>1171323531</v>
      </c>
      <c r="D35" s="41">
        <f t="shared" si="5"/>
        <v>19852941</v>
      </c>
      <c r="E35" s="302">
        <f t="shared" si="2"/>
        <v>0.06397</v>
      </c>
      <c r="F35" s="41">
        <f t="shared" si="4"/>
        <v>19473220.611314666</v>
      </c>
      <c r="G35" s="41">
        <f t="shared" si="3"/>
        <v>20270</v>
      </c>
      <c r="H35" s="91"/>
      <c r="I35" s="91"/>
      <c r="J35" s="231"/>
    </row>
    <row r="36" spans="1:10" ht="12.75">
      <c r="A36" s="97">
        <v>41639</v>
      </c>
      <c r="B36" s="187">
        <f t="shared" si="0"/>
        <v>92</v>
      </c>
      <c r="C36" s="99">
        <f t="shared" si="1"/>
        <v>1151470590</v>
      </c>
      <c r="D36" s="99">
        <f t="shared" si="5"/>
        <v>19852941</v>
      </c>
      <c r="E36" s="303">
        <f t="shared" si="2"/>
        <v>0.06397</v>
      </c>
      <c r="F36" s="99">
        <f t="shared" si="4"/>
        <v>19148666.937729</v>
      </c>
      <c r="G36" s="99">
        <f t="shared" si="3"/>
        <v>20270</v>
      </c>
      <c r="H36" s="300">
        <f>SUM(F33:G36)</f>
        <v>77970434.68154009</v>
      </c>
      <c r="I36" s="300">
        <f>SUM(D33:D36)</f>
        <v>79411764</v>
      </c>
      <c r="J36" s="301">
        <f>SUM(H36:I36)</f>
        <v>157382198.68154007</v>
      </c>
    </row>
    <row r="37" spans="1:10" ht="12.75">
      <c r="A37" s="103">
        <v>41729</v>
      </c>
      <c r="B37" s="435">
        <f t="shared" si="0"/>
        <v>90</v>
      </c>
      <c r="C37" s="42">
        <f t="shared" si="1"/>
        <v>1131617649</v>
      </c>
      <c r="D37" s="42">
        <f t="shared" si="5"/>
        <v>19852941</v>
      </c>
      <c r="E37" s="304">
        <f t="shared" si="2"/>
        <v>0.06397</v>
      </c>
      <c r="F37" s="42">
        <f t="shared" si="4"/>
        <v>18414893.410575</v>
      </c>
      <c r="G37" s="42">
        <f t="shared" si="3"/>
        <v>20270</v>
      </c>
      <c r="H37" s="104"/>
      <c r="I37" s="104"/>
      <c r="J37" s="242"/>
    </row>
    <row r="38" spans="1:10" ht="12.75">
      <c r="A38" s="90">
        <v>41820</v>
      </c>
      <c r="B38" s="215">
        <f t="shared" si="0"/>
        <v>91</v>
      </c>
      <c r="C38" s="41">
        <f t="shared" si="1"/>
        <v>1111764708</v>
      </c>
      <c r="D38" s="41">
        <f t="shared" si="5"/>
        <v>19852941</v>
      </c>
      <c r="E38" s="302">
        <f t="shared" si="2"/>
        <v>0.06397</v>
      </c>
      <c r="F38" s="41">
        <f t="shared" si="4"/>
        <v>18298477.421095084</v>
      </c>
      <c r="G38" s="41">
        <f t="shared" si="3"/>
        <v>20270</v>
      </c>
      <c r="H38" s="91"/>
      <c r="I38" s="91"/>
      <c r="J38" s="231"/>
    </row>
    <row r="39" spans="1:10" ht="12.75">
      <c r="A39" s="90">
        <v>41912</v>
      </c>
      <c r="B39" s="215">
        <f t="shared" si="0"/>
        <v>92</v>
      </c>
      <c r="C39" s="41">
        <f t="shared" si="1"/>
        <v>1091911767</v>
      </c>
      <c r="D39" s="41">
        <f t="shared" si="5"/>
        <v>19852941</v>
      </c>
      <c r="E39" s="302">
        <f t="shared" si="2"/>
        <v>0.06397</v>
      </c>
      <c r="F39" s="41">
        <f t="shared" si="4"/>
        <v>18175005.916971996</v>
      </c>
      <c r="G39" s="41">
        <f t="shared" si="3"/>
        <v>20270</v>
      </c>
      <c r="H39" s="91"/>
      <c r="I39" s="91"/>
      <c r="J39" s="231"/>
    </row>
    <row r="40" spans="1:10" ht="12.75">
      <c r="A40" s="97">
        <v>42004</v>
      </c>
      <c r="B40" s="187">
        <f t="shared" si="0"/>
        <v>92</v>
      </c>
      <c r="C40" s="99">
        <f t="shared" si="1"/>
        <v>1072058826</v>
      </c>
      <c r="D40" s="99">
        <f t="shared" si="5"/>
        <v>19852941</v>
      </c>
      <c r="E40" s="303">
        <f t="shared" si="2"/>
        <v>0.06397</v>
      </c>
      <c r="F40" s="99">
        <f t="shared" si="4"/>
        <v>17850452.243386332</v>
      </c>
      <c r="G40" s="99">
        <f t="shared" si="3"/>
        <v>20270</v>
      </c>
      <c r="H40" s="300">
        <f>SUM(F37:G40)</f>
        <v>72819908.99202842</v>
      </c>
      <c r="I40" s="300">
        <f>SUM(D37:D40)</f>
        <v>79411764</v>
      </c>
      <c r="J40" s="301">
        <f>SUM(H40:I40)</f>
        <v>152231672.99202842</v>
      </c>
    </row>
    <row r="41" spans="1:10" ht="12.75">
      <c r="A41" s="103">
        <v>42094</v>
      </c>
      <c r="B41" s="435">
        <f t="shared" si="0"/>
        <v>90</v>
      </c>
      <c r="C41" s="42">
        <f t="shared" si="1"/>
        <v>1052205885</v>
      </c>
      <c r="D41" s="42">
        <f t="shared" si="5"/>
        <v>19852941</v>
      </c>
      <c r="E41" s="304">
        <f t="shared" si="2"/>
        <v>0.06397</v>
      </c>
      <c r="F41" s="42">
        <f t="shared" si="4"/>
        <v>17144900.774805</v>
      </c>
      <c r="G41" s="42">
        <f t="shared" si="3"/>
        <v>20270</v>
      </c>
      <c r="H41" s="104"/>
      <c r="I41" s="104"/>
      <c r="J41" s="242"/>
    </row>
    <row r="42" spans="1:10" ht="12.75">
      <c r="A42" s="90">
        <v>42185</v>
      </c>
      <c r="B42" s="215">
        <f t="shared" si="0"/>
        <v>91</v>
      </c>
      <c r="C42" s="41">
        <f t="shared" si="1"/>
        <v>1032352944</v>
      </c>
      <c r="D42" s="41">
        <f t="shared" si="5"/>
        <v>19852941</v>
      </c>
      <c r="E42" s="302">
        <f t="shared" si="2"/>
        <v>0.06397</v>
      </c>
      <c r="F42" s="41">
        <f t="shared" si="4"/>
        <v>17014373.756038748</v>
      </c>
      <c r="G42" s="41">
        <f t="shared" si="3"/>
        <v>20270</v>
      </c>
      <c r="H42" s="91"/>
      <c r="I42" s="91"/>
      <c r="J42" s="231"/>
    </row>
    <row r="43" spans="1:10" ht="12.75">
      <c r="A43" s="90">
        <v>42277</v>
      </c>
      <c r="B43" s="215">
        <f t="shared" si="0"/>
        <v>92</v>
      </c>
      <c r="C43" s="41">
        <f t="shared" si="1"/>
        <v>1012500003</v>
      </c>
      <c r="D43" s="41">
        <f t="shared" si="5"/>
        <v>19852941</v>
      </c>
      <c r="E43" s="302">
        <f t="shared" si="2"/>
        <v>0.06397</v>
      </c>
      <c r="F43" s="41">
        <f t="shared" si="4"/>
        <v>16876791.222629335</v>
      </c>
      <c r="G43" s="41">
        <f t="shared" si="3"/>
        <v>20270</v>
      </c>
      <c r="H43" s="91"/>
      <c r="I43" s="91"/>
      <c r="J43" s="231"/>
    </row>
    <row r="44" spans="1:10" ht="12.75">
      <c r="A44" s="97">
        <v>42369</v>
      </c>
      <c r="B44" s="187">
        <f t="shared" si="0"/>
        <v>92</v>
      </c>
      <c r="C44" s="99">
        <f t="shared" si="1"/>
        <v>992647062</v>
      </c>
      <c r="D44" s="99">
        <f aca="true" t="shared" si="6" ref="D44:D59">D43</f>
        <v>19852941</v>
      </c>
      <c r="E44" s="303">
        <f t="shared" si="2"/>
        <v>0.06397</v>
      </c>
      <c r="F44" s="99">
        <f t="shared" si="4"/>
        <v>16552237.549043667</v>
      </c>
      <c r="G44" s="99">
        <f t="shared" si="3"/>
        <v>20270</v>
      </c>
      <c r="H44" s="300">
        <f>SUM(F41:G44)</f>
        <v>67669383.30251676</v>
      </c>
      <c r="I44" s="300">
        <f>SUM(D41:D44)</f>
        <v>79411764</v>
      </c>
      <c r="J44" s="301">
        <f>SUM(H44:I44)</f>
        <v>147081147.30251676</v>
      </c>
    </row>
    <row r="45" spans="1:10" ht="12.75">
      <c r="A45" s="103">
        <v>42460</v>
      </c>
      <c r="B45" s="435">
        <f t="shared" si="0"/>
        <v>91</v>
      </c>
      <c r="C45" s="42">
        <f t="shared" si="1"/>
        <v>972794121</v>
      </c>
      <c r="D45" s="42">
        <f t="shared" si="6"/>
        <v>19852941</v>
      </c>
      <c r="E45" s="304">
        <f t="shared" si="2"/>
        <v>0.06397</v>
      </c>
      <c r="F45" s="42">
        <f t="shared" si="4"/>
        <v>16051296.0072465</v>
      </c>
      <c r="G45" s="42">
        <f t="shared" si="3"/>
        <v>20270</v>
      </c>
      <c r="H45" s="104"/>
      <c r="I45" s="104"/>
      <c r="J45" s="242"/>
    </row>
    <row r="46" spans="1:10" ht="12.75">
      <c r="A46" s="90">
        <v>42551</v>
      </c>
      <c r="B46" s="215">
        <f t="shared" si="0"/>
        <v>91</v>
      </c>
      <c r="C46" s="41">
        <f t="shared" si="1"/>
        <v>952941180</v>
      </c>
      <c r="D46" s="41">
        <f t="shared" si="6"/>
        <v>19852941</v>
      </c>
      <c r="E46" s="302">
        <f t="shared" si="2"/>
        <v>0.06397</v>
      </c>
      <c r="F46" s="41">
        <f t="shared" si="4"/>
        <v>15730270.090982417</v>
      </c>
      <c r="G46" s="41">
        <f t="shared" si="3"/>
        <v>20270</v>
      </c>
      <c r="H46" s="91"/>
      <c r="I46" s="91"/>
      <c r="J46" s="231"/>
    </row>
    <row r="47" spans="1:10" ht="12.75">
      <c r="A47" s="90">
        <v>42643</v>
      </c>
      <c r="B47" s="215">
        <f t="shared" si="0"/>
        <v>92</v>
      </c>
      <c r="C47" s="41">
        <f t="shared" si="1"/>
        <v>933088239</v>
      </c>
      <c r="D47" s="41">
        <f t="shared" si="6"/>
        <v>19852941</v>
      </c>
      <c r="E47" s="302">
        <f t="shared" si="2"/>
        <v>0.06397</v>
      </c>
      <c r="F47" s="41">
        <f t="shared" si="4"/>
        <v>15578576.528286666</v>
      </c>
      <c r="G47" s="41">
        <f t="shared" si="3"/>
        <v>20270</v>
      </c>
      <c r="H47" s="91"/>
      <c r="I47" s="91"/>
      <c r="J47" s="231"/>
    </row>
    <row r="48" spans="1:10" ht="12.75">
      <c r="A48" s="97">
        <v>42735</v>
      </c>
      <c r="B48" s="187">
        <f t="shared" si="0"/>
        <v>92</v>
      </c>
      <c r="C48" s="99">
        <f t="shared" si="1"/>
        <v>913235298</v>
      </c>
      <c r="D48" s="99">
        <f t="shared" si="6"/>
        <v>19852941</v>
      </c>
      <c r="E48" s="303">
        <f t="shared" si="2"/>
        <v>0.06397</v>
      </c>
      <c r="F48" s="99">
        <f t="shared" si="4"/>
        <v>15254022.854700997</v>
      </c>
      <c r="G48" s="99">
        <f t="shared" si="3"/>
        <v>20270</v>
      </c>
      <c r="H48" s="300">
        <f>SUM(F45:G48)</f>
        <v>62695245.48121658</v>
      </c>
      <c r="I48" s="300">
        <f>SUM(D45:D48)</f>
        <v>79411764</v>
      </c>
      <c r="J48" s="301">
        <f>SUM(H48:I48)</f>
        <v>142107009.48121658</v>
      </c>
    </row>
    <row r="49" spans="1:10" ht="12.75">
      <c r="A49" s="103">
        <v>42825</v>
      </c>
      <c r="B49" s="435">
        <f t="shared" si="0"/>
        <v>90</v>
      </c>
      <c r="C49" s="42">
        <f t="shared" si="1"/>
        <v>893382357</v>
      </c>
      <c r="D49" s="42">
        <f t="shared" si="6"/>
        <v>19852941</v>
      </c>
      <c r="E49" s="304">
        <f t="shared" si="2"/>
        <v>0.06397</v>
      </c>
      <c r="F49" s="42">
        <f t="shared" si="4"/>
        <v>14604915.503265</v>
      </c>
      <c r="G49" s="42">
        <f t="shared" si="3"/>
        <v>20270</v>
      </c>
      <c r="H49" s="104"/>
      <c r="I49" s="104"/>
      <c r="J49" s="242"/>
    </row>
    <row r="50" spans="1:10" ht="12.75">
      <c r="A50" s="90">
        <v>42916</v>
      </c>
      <c r="B50" s="215">
        <f t="shared" si="0"/>
        <v>91</v>
      </c>
      <c r="C50" s="41">
        <f t="shared" si="1"/>
        <v>873529416</v>
      </c>
      <c r="D50" s="41">
        <f t="shared" si="6"/>
        <v>19852941</v>
      </c>
      <c r="E50" s="302">
        <f t="shared" si="2"/>
        <v>0.06397</v>
      </c>
      <c r="F50" s="41">
        <f t="shared" si="4"/>
        <v>14446166.425926082</v>
      </c>
      <c r="G50" s="41">
        <f t="shared" si="3"/>
        <v>20270</v>
      </c>
      <c r="H50" s="91"/>
      <c r="I50" s="91"/>
      <c r="J50" s="231"/>
    </row>
    <row r="51" spans="1:10" ht="12.75">
      <c r="A51" s="90">
        <v>43008</v>
      </c>
      <c r="B51" s="215">
        <f t="shared" si="0"/>
        <v>92</v>
      </c>
      <c r="C51" s="41">
        <f t="shared" si="1"/>
        <v>853676475</v>
      </c>
      <c r="D51" s="41">
        <f t="shared" si="6"/>
        <v>19852941</v>
      </c>
      <c r="E51" s="302">
        <f t="shared" si="2"/>
        <v>0.06397</v>
      </c>
      <c r="F51" s="41">
        <f t="shared" si="4"/>
        <v>14280361.833944002</v>
      </c>
      <c r="G51" s="41">
        <f t="shared" si="3"/>
        <v>20270</v>
      </c>
      <c r="H51" s="91"/>
      <c r="I51" s="91"/>
      <c r="J51" s="231"/>
    </row>
    <row r="52" spans="1:10" ht="12.75">
      <c r="A52" s="97">
        <v>43100</v>
      </c>
      <c r="B52" s="187">
        <f t="shared" si="0"/>
        <v>92</v>
      </c>
      <c r="C52" s="99">
        <f t="shared" si="1"/>
        <v>833823534</v>
      </c>
      <c r="D52" s="99">
        <f t="shared" si="6"/>
        <v>19852941</v>
      </c>
      <c r="E52" s="303">
        <f t="shared" si="2"/>
        <v>0.06397</v>
      </c>
      <c r="F52" s="99">
        <f t="shared" si="4"/>
        <v>13955808.160358334</v>
      </c>
      <c r="G52" s="99">
        <f t="shared" si="3"/>
        <v>20270</v>
      </c>
      <c r="H52" s="300">
        <f>SUM(F49:G52)</f>
        <v>57368331.923493415</v>
      </c>
      <c r="I52" s="300">
        <f>SUM(D49:D52)</f>
        <v>79411764</v>
      </c>
      <c r="J52" s="301">
        <f>SUM(H52:I52)</f>
        <v>136780095.92349342</v>
      </c>
    </row>
    <row r="53" spans="1:10" ht="12.75">
      <c r="A53" s="103">
        <v>43190</v>
      </c>
      <c r="B53" s="435">
        <f t="shared" si="0"/>
        <v>90</v>
      </c>
      <c r="C53" s="42">
        <f t="shared" si="1"/>
        <v>813970593</v>
      </c>
      <c r="D53" s="42">
        <f t="shared" si="6"/>
        <v>19852941</v>
      </c>
      <c r="E53" s="304">
        <f t="shared" si="2"/>
        <v>0.06397</v>
      </c>
      <c r="F53" s="42">
        <f t="shared" si="4"/>
        <v>13334922.867495</v>
      </c>
      <c r="G53" s="42">
        <f t="shared" si="3"/>
        <v>20270</v>
      </c>
      <c r="H53" s="104"/>
      <c r="I53" s="104"/>
      <c r="J53" s="242"/>
    </row>
    <row r="54" spans="1:10" ht="12.75">
      <c r="A54" s="90">
        <v>43281</v>
      </c>
      <c r="B54" s="215">
        <f t="shared" si="0"/>
        <v>91</v>
      </c>
      <c r="C54" s="41">
        <f t="shared" si="1"/>
        <v>794117652</v>
      </c>
      <c r="D54" s="41">
        <f t="shared" si="6"/>
        <v>19852941</v>
      </c>
      <c r="E54" s="302">
        <f t="shared" si="2"/>
        <v>0.06397</v>
      </c>
      <c r="F54" s="41">
        <f t="shared" si="4"/>
        <v>13162062.760869749</v>
      </c>
      <c r="G54" s="41">
        <f t="shared" si="3"/>
        <v>20270</v>
      </c>
      <c r="H54" s="91"/>
      <c r="I54" s="91"/>
      <c r="J54" s="231"/>
    </row>
    <row r="55" spans="1:10" ht="12.75">
      <c r="A55" s="90">
        <v>43373</v>
      </c>
      <c r="B55" s="215">
        <f t="shared" si="0"/>
        <v>92</v>
      </c>
      <c r="C55" s="41">
        <f t="shared" si="1"/>
        <v>774264711</v>
      </c>
      <c r="D55" s="41">
        <f t="shared" si="6"/>
        <v>19852941</v>
      </c>
      <c r="E55" s="302">
        <f t="shared" si="2"/>
        <v>0.06397</v>
      </c>
      <c r="F55" s="41">
        <f t="shared" si="4"/>
        <v>12982147.139601333</v>
      </c>
      <c r="G55" s="41">
        <f t="shared" si="3"/>
        <v>20270</v>
      </c>
      <c r="H55" s="91"/>
      <c r="I55" s="91"/>
      <c r="J55" s="231"/>
    </row>
    <row r="56" spans="1:10" ht="12.75">
      <c r="A56" s="97">
        <v>43465</v>
      </c>
      <c r="B56" s="187">
        <f t="shared" si="0"/>
        <v>92</v>
      </c>
      <c r="C56" s="99">
        <f t="shared" si="1"/>
        <v>754411770</v>
      </c>
      <c r="D56" s="99">
        <f t="shared" si="6"/>
        <v>19852941</v>
      </c>
      <c r="E56" s="303">
        <f t="shared" si="2"/>
        <v>0.06397</v>
      </c>
      <c r="F56" s="99">
        <f t="shared" si="4"/>
        <v>12657593.466015669</v>
      </c>
      <c r="G56" s="99">
        <f t="shared" si="3"/>
        <v>20270</v>
      </c>
      <c r="H56" s="300">
        <f>SUM(F53:G56)</f>
        <v>52217806.23398175</v>
      </c>
      <c r="I56" s="300">
        <f>SUM(D53:D56)</f>
        <v>79411764</v>
      </c>
      <c r="J56" s="301">
        <f>SUM(H56:I56)</f>
        <v>131629570.23398176</v>
      </c>
    </row>
    <row r="57" spans="1:10" ht="12.75">
      <c r="A57" s="103">
        <v>43555</v>
      </c>
      <c r="B57" s="435">
        <f t="shared" si="0"/>
        <v>90</v>
      </c>
      <c r="C57" s="42">
        <f t="shared" si="1"/>
        <v>734558829</v>
      </c>
      <c r="D57" s="42">
        <f t="shared" si="6"/>
        <v>19852941</v>
      </c>
      <c r="E57" s="304">
        <f t="shared" si="2"/>
        <v>0.06397</v>
      </c>
      <c r="F57" s="42">
        <f t="shared" si="4"/>
        <v>12064930.231725</v>
      </c>
      <c r="G57" s="42">
        <f t="shared" si="3"/>
        <v>20270</v>
      </c>
      <c r="H57" s="104"/>
      <c r="I57" s="104"/>
      <c r="J57" s="242"/>
    </row>
    <row r="58" spans="1:10" ht="12.75">
      <c r="A58" s="90">
        <v>43646</v>
      </c>
      <c r="B58" s="215">
        <f t="shared" si="0"/>
        <v>91</v>
      </c>
      <c r="C58" s="41">
        <f t="shared" si="1"/>
        <v>714705888</v>
      </c>
      <c r="D58" s="41">
        <f t="shared" si="6"/>
        <v>19852941</v>
      </c>
      <c r="E58" s="302">
        <f t="shared" si="2"/>
        <v>0.06397</v>
      </c>
      <c r="F58" s="41">
        <f t="shared" si="4"/>
        <v>11877959.095813416</v>
      </c>
      <c r="G58" s="41">
        <f t="shared" si="3"/>
        <v>20270</v>
      </c>
      <c r="H58" s="91"/>
      <c r="I58" s="91"/>
      <c r="J58" s="231"/>
    </row>
    <row r="59" spans="1:10" ht="12.75">
      <c r="A59" s="90">
        <v>43738</v>
      </c>
      <c r="B59" s="215">
        <f t="shared" si="0"/>
        <v>92</v>
      </c>
      <c r="C59" s="41">
        <f t="shared" si="1"/>
        <v>694852947</v>
      </c>
      <c r="D59" s="41">
        <f t="shared" si="6"/>
        <v>19852941</v>
      </c>
      <c r="E59" s="302">
        <f t="shared" si="2"/>
        <v>0.06397</v>
      </c>
      <c r="F59" s="41">
        <f t="shared" si="4"/>
        <v>11683932.445258666</v>
      </c>
      <c r="G59" s="41">
        <f t="shared" si="3"/>
        <v>20270</v>
      </c>
      <c r="H59" s="91"/>
      <c r="I59" s="91"/>
      <c r="J59" s="231"/>
    </row>
    <row r="60" spans="1:10" ht="12.75">
      <c r="A60" s="97">
        <v>43830</v>
      </c>
      <c r="B60" s="187">
        <f t="shared" si="0"/>
        <v>92</v>
      </c>
      <c r="C60" s="99">
        <f t="shared" si="1"/>
        <v>675000006</v>
      </c>
      <c r="D60" s="99">
        <f aca="true" t="shared" si="7" ref="D60:D75">D59</f>
        <v>19852941</v>
      </c>
      <c r="E60" s="303">
        <f t="shared" si="2"/>
        <v>0.06397</v>
      </c>
      <c r="F60" s="99">
        <f t="shared" si="4"/>
        <v>11359378.771673</v>
      </c>
      <c r="G60" s="99">
        <f t="shared" si="3"/>
        <v>20270</v>
      </c>
      <c r="H60" s="300">
        <f>SUM(F57:G60)</f>
        <v>47067280.54447008</v>
      </c>
      <c r="I60" s="300">
        <f>SUM(D57:D60)</f>
        <v>79411764</v>
      </c>
      <c r="J60" s="301">
        <f>SUM(H60:I60)</f>
        <v>126479044.54447007</v>
      </c>
    </row>
    <row r="61" spans="1:10" ht="12.75">
      <c r="A61" s="103">
        <v>43921</v>
      </c>
      <c r="B61" s="435">
        <f t="shared" si="0"/>
        <v>91</v>
      </c>
      <c r="C61" s="42">
        <f t="shared" si="1"/>
        <v>655147065</v>
      </c>
      <c r="D61" s="42">
        <f t="shared" si="7"/>
        <v>19852941</v>
      </c>
      <c r="E61" s="304">
        <f t="shared" si="2"/>
        <v>0.06397</v>
      </c>
      <c r="F61" s="42">
        <f t="shared" si="4"/>
        <v>10914881.347021166</v>
      </c>
      <c r="G61" s="42">
        <f t="shared" si="3"/>
        <v>20270</v>
      </c>
      <c r="H61" s="104"/>
      <c r="I61" s="104"/>
      <c r="J61" s="242"/>
    </row>
    <row r="62" spans="1:10" ht="12.75">
      <c r="A62" s="90">
        <v>44012</v>
      </c>
      <c r="B62" s="215">
        <f t="shared" si="0"/>
        <v>91</v>
      </c>
      <c r="C62" s="41">
        <f t="shared" si="1"/>
        <v>635294124</v>
      </c>
      <c r="D62" s="41">
        <f t="shared" si="7"/>
        <v>19852941</v>
      </c>
      <c r="E62" s="302">
        <f t="shared" si="2"/>
        <v>0.06397</v>
      </c>
      <c r="F62" s="41">
        <f t="shared" si="4"/>
        <v>10593855.430757083</v>
      </c>
      <c r="G62" s="41">
        <f t="shared" si="3"/>
        <v>20270</v>
      </c>
      <c r="H62" s="91"/>
      <c r="I62" s="91"/>
      <c r="J62" s="231"/>
    </row>
    <row r="63" spans="1:10" ht="12.75">
      <c r="A63" s="90">
        <v>44104</v>
      </c>
      <c r="B63" s="215">
        <f t="shared" si="0"/>
        <v>92</v>
      </c>
      <c r="C63" s="41">
        <f t="shared" si="1"/>
        <v>615441183</v>
      </c>
      <c r="D63" s="41">
        <f t="shared" si="7"/>
        <v>19852941</v>
      </c>
      <c r="E63" s="302">
        <f t="shared" si="2"/>
        <v>0.06397</v>
      </c>
      <c r="F63" s="41">
        <f t="shared" si="4"/>
        <v>10385717.750916</v>
      </c>
      <c r="G63" s="41">
        <f t="shared" si="3"/>
        <v>20270</v>
      </c>
      <c r="H63" s="91"/>
      <c r="I63" s="91"/>
      <c r="J63" s="231"/>
    </row>
    <row r="64" spans="1:10" ht="12.75">
      <c r="A64" s="97">
        <v>44196</v>
      </c>
      <c r="B64" s="187">
        <f t="shared" si="0"/>
        <v>92</v>
      </c>
      <c r="C64" s="99">
        <f t="shared" si="1"/>
        <v>595588242</v>
      </c>
      <c r="D64" s="99">
        <f t="shared" si="7"/>
        <v>19852941</v>
      </c>
      <c r="E64" s="303">
        <f t="shared" si="2"/>
        <v>0.06397</v>
      </c>
      <c r="F64" s="99">
        <f t="shared" si="4"/>
        <v>10061164.077330332</v>
      </c>
      <c r="G64" s="99">
        <f t="shared" si="3"/>
        <v>20270</v>
      </c>
      <c r="H64" s="300">
        <f>SUM(F61:G64)</f>
        <v>42036698.60602458</v>
      </c>
      <c r="I64" s="300">
        <f>SUM(D61:D64)</f>
        <v>79411764</v>
      </c>
      <c r="J64" s="301">
        <f>SUM(H64:I64)</f>
        <v>121448462.60602458</v>
      </c>
    </row>
    <row r="65" spans="1:10" ht="12.75">
      <c r="A65" s="103">
        <v>44286</v>
      </c>
      <c r="B65" s="435">
        <f t="shared" si="0"/>
        <v>90</v>
      </c>
      <c r="C65" s="42">
        <f t="shared" si="1"/>
        <v>575735301</v>
      </c>
      <c r="D65" s="42">
        <f t="shared" si="7"/>
        <v>19852941</v>
      </c>
      <c r="E65" s="304">
        <f t="shared" si="2"/>
        <v>0.06397</v>
      </c>
      <c r="F65" s="42">
        <f t="shared" si="4"/>
        <v>9524944.960185</v>
      </c>
      <c r="G65" s="42">
        <f t="shared" si="3"/>
        <v>20270</v>
      </c>
      <c r="H65" s="104"/>
      <c r="I65" s="104"/>
      <c r="J65" s="242"/>
    </row>
    <row r="66" spans="1:10" ht="12.75">
      <c r="A66" s="90">
        <v>44377</v>
      </c>
      <c r="B66" s="215">
        <f t="shared" si="0"/>
        <v>91</v>
      </c>
      <c r="C66" s="41">
        <f t="shared" si="1"/>
        <v>555882360</v>
      </c>
      <c r="D66" s="41">
        <f t="shared" si="7"/>
        <v>19852941</v>
      </c>
      <c r="E66" s="302">
        <f t="shared" si="2"/>
        <v>0.06397</v>
      </c>
      <c r="F66" s="41">
        <f t="shared" si="4"/>
        <v>9309751.76570075</v>
      </c>
      <c r="G66" s="41">
        <f t="shared" si="3"/>
        <v>20270</v>
      </c>
      <c r="H66" s="91"/>
      <c r="I66" s="91"/>
      <c r="J66" s="231"/>
    </row>
    <row r="67" spans="1:10" ht="12.75">
      <c r="A67" s="90">
        <v>44469</v>
      </c>
      <c r="B67" s="215">
        <f t="shared" si="0"/>
        <v>92</v>
      </c>
      <c r="C67" s="41">
        <f t="shared" si="1"/>
        <v>536029419</v>
      </c>
      <c r="D67" s="41">
        <f t="shared" si="7"/>
        <v>19852941</v>
      </c>
      <c r="E67" s="302">
        <f t="shared" si="2"/>
        <v>0.06397</v>
      </c>
      <c r="F67" s="41">
        <f t="shared" si="4"/>
        <v>9087503.056573333</v>
      </c>
      <c r="G67" s="41">
        <f t="shared" si="3"/>
        <v>20270</v>
      </c>
      <c r="H67" s="91"/>
      <c r="I67" s="91"/>
      <c r="J67" s="231"/>
    </row>
    <row r="68" spans="1:10" ht="12.75">
      <c r="A68" s="97">
        <v>44561</v>
      </c>
      <c r="B68" s="187">
        <f t="shared" si="0"/>
        <v>92</v>
      </c>
      <c r="C68" s="99">
        <f t="shared" si="1"/>
        <v>516176478</v>
      </c>
      <c r="D68" s="99">
        <f t="shared" si="7"/>
        <v>19852941</v>
      </c>
      <c r="E68" s="303">
        <f t="shared" si="2"/>
        <v>0.06397</v>
      </c>
      <c r="F68" s="99">
        <f t="shared" si="4"/>
        <v>8762949.382987667</v>
      </c>
      <c r="G68" s="99">
        <f t="shared" si="3"/>
        <v>20270</v>
      </c>
      <c r="H68" s="300">
        <f>SUM(F65:G68)</f>
        <v>36766229.16544674</v>
      </c>
      <c r="I68" s="300">
        <f>SUM(D65:D68)</f>
        <v>79411764</v>
      </c>
      <c r="J68" s="301">
        <f>SUM(H68:I68)</f>
        <v>116177993.16544674</v>
      </c>
    </row>
    <row r="69" spans="1:10" ht="12.75">
      <c r="A69" s="103">
        <v>44651</v>
      </c>
      <c r="B69" s="435">
        <f t="shared" si="0"/>
        <v>90</v>
      </c>
      <c r="C69" s="42">
        <f t="shared" si="1"/>
        <v>496323537</v>
      </c>
      <c r="D69" s="42">
        <f t="shared" si="7"/>
        <v>19852941</v>
      </c>
      <c r="E69" s="304">
        <f t="shared" si="2"/>
        <v>0.06397</v>
      </c>
      <c r="F69" s="42">
        <f t="shared" si="4"/>
        <v>8254952.324415</v>
      </c>
      <c r="G69" s="42">
        <f t="shared" si="3"/>
        <v>20270</v>
      </c>
      <c r="H69" s="104"/>
      <c r="I69" s="104"/>
      <c r="J69" s="242"/>
    </row>
    <row r="70" spans="1:10" ht="12.75">
      <c r="A70" s="90">
        <v>44742</v>
      </c>
      <c r="B70" s="215">
        <f t="shared" si="0"/>
        <v>91</v>
      </c>
      <c r="C70" s="41">
        <f t="shared" si="1"/>
        <v>476470596</v>
      </c>
      <c r="D70" s="41">
        <f t="shared" si="7"/>
        <v>19852941</v>
      </c>
      <c r="E70" s="302">
        <f t="shared" si="2"/>
        <v>0.06397</v>
      </c>
      <c r="F70" s="41">
        <f t="shared" si="4"/>
        <v>8025648.100644417</v>
      </c>
      <c r="G70" s="41">
        <f t="shared" si="3"/>
        <v>20270</v>
      </c>
      <c r="H70" s="91"/>
      <c r="I70" s="91"/>
      <c r="J70" s="231"/>
    </row>
    <row r="71" spans="1:10" ht="12.75">
      <c r="A71" s="90">
        <v>44834</v>
      </c>
      <c r="B71" s="215">
        <f t="shared" si="0"/>
        <v>92</v>
      </c>
      <c r="C71" s="41">
        <f t="shared" si="1"/>
        <v>456617655</v>
      </c>
      <c r="D71" s="41">
        <f t="shared" si="7"/>
        <v>19852941</v>
      </c>
      <c r="E71" s="302">
        <f t="shared" si="2"/>
        <v>0.06397</v>
      </c>
      <c r="F71" s="41">
        <f t="shared" si="4"/>
        <v>7789288.362230667</v>
      </c>
      <c r="G71" s="41">
        <f t="shared" si="3"/>
        <v>20270</v>
      </c>
      <c r="H71" s="91"/>
      <c r="I71" s="91"/>
      <c r="J71" s="231"/>
    </row>
    <row r="72" spans="1:10" ht="12.75">
      <c r="A72" s="97">
        <v>44926</v>
      </c>
      <c r="B72" s="187">
        <f t="shared" si="0"/>
        <v>92</v>
      </c>
      <c r="C72" s="99">
        <f t="shared" si="1"/>
        <v>436764714</v>
      </c>
      <c r="D72" s="99">
        <f t="shared" si="7"/>
        <v>19852941</v>
      </c>
      <c r="E72" s="303">
        <f t="shared" si="2"/>
        <v>0.06397</v>
      </c>
      <c r="F72" s="99">
        <f t="shared" si="4"/>
        <v>7464734.688645</v>
      </c>
      <c r="G72" s="99">
        <f t="shared" si="3"/>
        <v>20270</v>
      </c>
      <c r="H72" s="300">
        <f>SUM(F69:G72)</f>
        <v>31615703.475935087</v>
      </c>
      <c r="I72" s="300">
        <f>SUM(D69:D72)</f>
        <v>79411764</v>
      </c>
      <c r="J72" s="301">
        <f>SUM(H72:I72)</f>
        <v>111027467.47593509</v>
      </c>
    </row>
    <row r="73" spans="1:10" ht="12.75">
      <c r="A73" s="103">
        <v>45016</v>
      </c>
      <c r="B73" s="435">
        <f t="shared" si="0"/>
        <v>90</v>
      </c>
      <c r="C73" s="42">
        <f t="shared" si="1"/>
        <v>416911773</v>
      </c>
      <c r="D73" s="42">
        <f t="shared" si="7"/>
        <v>19852941</v>
      </c>
      <c r="E73" s="304">
        <f t="shared" si="2"/>
        <v>0.06397</v>
      </c>
      <c r="F73" s="42">
        <f t="shared" si="4"/>
        <v>6984959.688645001</v>
      </c>
      <c r="G73" s="42">
        <f t="shared" si="3"/>
        <v>20270</v>
      </c>
      <c r="H73" s="104"/>
      <c r="I73" s="104"/>
      <c r="J73" s="242"/>
    </row>
    <row r="74" spans="1:10" ht="12.75">
      <c r="A74" s="90">
        <v>45107</v>
      </c>
      <c r="B74" s="215">
        <f t="shared" si="0"/>
        <v>91</v>
      </c>
      <c r="C74" s="41">
        <f t="shared" si="1"/>
        <v>397058832</v>
      </c>
      <c r="D74" s="41">
        <f t="shared" si="7"/>
        <v>19852941</v>
      </c>
      <c r="E74" s="302">
        <f t="shared" si="2"/>
        <v>0.06397</v>
      </c>
      <c r="F74" s="41">
        <f t="shared" si="4"/>
        <v>6741544.435588083</v>
      </c>
      <c r="G74" s="41">
        <f t="shared" si="3"/>
        <v>20270</v>
      </c>
      <c r="H74" s="91"/>
      <c r="I74" s="91"/>
      <c r="J74" s="231"/>
    </row>
    <row r="75" spans="1:10" ht="12.75">
      <c r="A75" s="90">
        <v>45199</v>
      </c>
      <c r="B75" s="215">
        <f t="shared" si="0"/>
        <v>92</v>
      </c>
      <c r="C75" s="41">
        <f t="shared" si="1"/>
        <v>377205891</v>
      </c>
      <c r="D75" s="41">
        <f t="shared" si="7"/>
        <v>19852941</v>
      </c>
      <c r="E75" s="302">
        <f t="shared" si="2"/>
        <v>0.06397</v>
      </c>
      <c r="F75" s="41">
        <f t="shared" si="4"/>
        <v>6491073.667888001</v>
      </c>
      <c r="G75" s="41">
        <f t="shared" si="3"/>
        <v>20270</v>
      </c>
      <c r="H75" s="91"/>
      <c r="I75" s="91"/>
      <c r="J75" s="231"/>
    </row>
    <row r="76" spans="1:10" ht="12.75">
      <c r="A76" s="97">
        <v>45291</v>
      </c>
      <c r="B76" s="187">
        <f t="shared" si="0"/>
        <v>92</v>
      </c>
      <c r="C76" s="99">
        <f t="shared" si="1"/>
        <v>357352950</v>
      </c>
      <c r="D76" s="99">
        <f aca="true" t="shared" si="8" ref="D76:E91">D75</f>
        <v>19852941</v>
      </c>
      <c r="E76" s="303">
        <f t="shared" si="2"/>
        <v>0.06397</v>
      </c>
      <c r="F76" s="99">
        <f t="shared" si="4"/>
        <v>6166519.994302333</v>
      </c>
      <c r="G76" s="99">
        <f t="shared" si="3"/>
        <v>20270</v>
      </c>
      <c r="H76" s="300">
        <f>SUM(F73:G76)</f>
        <v>26465177.786423415</v>
      </c>
      <c r="I76" s="300">
        <f>SUM(D73:D76)</f>
        <v>79411764</v>
      </c>
      <c r="J76" s="301">
        <f>SUM(H76:I76)</f>
        <v>105876941.78642341</v>
      </c>
    </row>
    <row r="77" spans="1:10" ht="12.75">
      <c r="A77" s="103">
        <v>45382</v>
      </c>
      <c r="B77" s="435">
        <f t="shared" si="0"/>
        <v>91</v>
      </c>
      <c r="C77" s="42">
        <f t="shared" si="1"/>
        <v>337500009</v>
      </c>
      <c r="D77" s="42">
        <f t="shared" si="8"/>
        <v>19852941</v>
      </c>
      <c r="E77" s="304">
        <f t="shared" si="2"/>
        <v>0.06397</v>
      </c>
      <c r="F77" s="42">
        <f t="shared" si="4"/>
        <v>5778466.6867958335</v>
      </c>
      <c r="G77" s="42">
        <f t="shared" si="3"/>
        <v>20270</v>
      </c>
      <c r="H77" s="104"/>
      <c r="I77" s="104"/>
      <c r="J77" s="242"/>
    </row>
    <row r="78" spans="1:10" ht="12.75">
      <c r="A78" s="90">
        <v>45473</v>
      </c>
      <c r="B78" s="215">
        <f aca="true" t="shared" si="9" ref="B78:B94">A78-A77</f>
        <v>91</v>
      </c>
      <c r="C78" s="41">
        <f aca="true" t="shared" si="10" ref="C78:C94">C77-D78</f>
        <v>317647068</v>
      </c>
      <c r="D78" s="41">
        <f t="shared" si="8"/>
        <v>19852941</v>
      </c>
      <c r="E78" s="302">
        <f t="shared" si="8"/>
        <v>0.06397</v>
      </c>
      <c r="F78" s="41">
        <f t="shared" si="4"/>
        <v>5457440.770531749</v>
      </c>
      <c r="G78" s="41">
        <f t="shared" si="3"/>
        <v>20270</v>
      </c>
      <c r="H78" s="91"/>
      <c r="I78" s="91"/>
      <c r="J78" s="231"/>
    </row>
    <row r="79" spans="1:10" ht="12.75">
      <c r="A79" s="90">
        <v>45565</v>
      </c>
      <c r="B79" s="215">
        <f t="shared" si="9"/>
        <v>92</v>
      </c>
      <c r="C79" s="41">
        <f t="shared" si="10"/>
        <v>297794127</v>
      </c>
      <c r="D79" s="41">
        <f t="shared" si="8"/>
        <v>19852941</v>
      </c>
      <c r="E79" s="302">
        <f t="shared" si="8"/>
        <v>0.06397</v>
      </c>
      <c r="F79" s="41">
        <f t="shared" si="4"/>
        <v>5192858.973545333</v>
      </c>
      <c r="G79" s="41">
        <f t="shared" si="3"/>
        <v>20270</v>
      </c>
      <c r="H79" s="91"/>
      <c r="I79" s="91"/>
      <c r="J79" s="231"/>
    </row>
    <row r="80" spans="1:10" ht="12.75">
      <c r="A80" s="97">
        <v>45657</v>
      </c>
      <c r="B80" s="187">
        <f t="shared" si="9"/>
        <v>92</v>
      </c>
      <c r="C80" s="99">
        <f t="shared" si="10"/>
        <v>277941186</v>
      </c>
      <c r="D80" s="99">
        <f t="shared" si="8"/>
        <v>19852941</v>
      </c>
      <c r="E80" s="303">
        <f t="shared" si="8"/>
        <v>0.06397</v>
      </c>
      <c r="F80" s="99">
        <f t="shared" si="4"/>
        <v>4868305.299959667</v>
      </c>
      <c r="G80" s="99">
        <f t="shared" si="3"/>
        <v>20270</v>
      </c>
      <c r="H80" s="300">
        <f>SUM(F77:G80)</f>
        <v>21378151.730832584</v>
      </c>
      <c r="I80" s="300">
        <f>SUM(D77:D80)</f>
        <v>79411764</v>
      </c>
      <c r="J80" s="301">
        <f>SUM(H80:I80)</f>
        <v>100789915.73083258</v>
      </c>
    </row>
    <row r="81" spans="1:10" ht="12.75">
      <c r="A81" s="103">
        <v>45747</v>
      </c>
      <c r="B81" s="435">
        <f t="shared" si="9"/>
        <v>90</v>
      </c>
      <c r="C81" s="42">
        <f t="shared" si="10"/>
        <v>258088245</v>
      </c>
      <c r="D81" s="42">
        <f t="shared" si="8"/>
        <v>19852941</v>
      </c>
      <c r="E81" s="304">
        <f t="shared" si="8"/>
        <v>0.06397</v>
      </c>
      <c r="F81" s="42">
        <f t="shared" si="4"/>
        <v>4444974.417105</v>
      </c>
      <c r="G81" s="42">
        <f t="shared" si="3"/>
        <v>20270</v>
      </c>
      <c r="H81" s="104"/>
      <c r="I81" s="104"/>
      <c r="J81" s="242"/>
    </row>
    <row r="82" spans="1:10" ht="12.75">
      <c r="A82" s="90">
        <v>45838</v>
      </c>
      <c r="B82" s="215">
        <f t="shared" si="9"/>
        <v>91</v>
      </c>
      <c r="C82" s="41">
        <f t="shared" si="10"/>
        <v>238235304</v>
      </c>
      <c r="D82" s="41">
        <f t="shared" si="8"/>
        <v>19852941</v>
      </c>
      <c r="E82" s="302">
        <f t="shared" si="8"/>
        <v>0.06397</v>
      </c>
      <c r="F82" s="41">
        <f t="shared" si="4"/>
        <v>4173337.105475417</v>
      </c>
      <c r="G82" s="41">
        <f t="shared" si="3"/>
        <v>20270</v>
      </c>
      <c r="H82" s="91"/>
      <c r="I82" s="91"/>
      <c r="J82" s="231"/>
    </row>
    <row r="83" spans="1:10" ht="12.75">
      <c r="A83" s="90">
        <v>45930</v>
      </c>
      <c r="B83" s="215">
        <f t="shared" si="9"/>
        <v>92</v>
      </c>
      <c r="C83" s="41">
        <f t="shared" si="10"/>
        <v>218382363</v>
      </c>
      <c r="D83" s="41">
        <f t="shared" si="8"/>
        <v>19852941</v>
      </c>
      <c r="E83" s="302">
        <f t="shared" si="8"/>
        <v>0.06397</v>
      </c>
      <c r="F83" s="41">
        <f t="shared" si="4"/>
        <v>3894644.279202666</v>
      </c>
      <c r="G83" s="41">
        <f t="shared" si="3"/>
        <v>20270</v>
      </c>
      <c r="H83" s="91"/>
      <c r="I83" s="91"/>
      <c r="J83" s="231"/>
    </row>
    <row r="84" spans="1:10" ht="12.75">
      <c r="A84" s="97">
        <v>46022</v>
      </c>
      <c r="B84" s="187">
        <f t="shared" si="9"/>
        <v>92</v>
      </c>
      <c r="C84" s="99">
        <f t="shared" si="10"/>
        <v>198529422</v>
      </c>
      <c r="D84" s="99">
        <f t="shared" si="8"/>
        <v>19852941</v>
      </c>
      <c r="E84" s="303">
        <f t="shared" si="8"/>
        <v>0.06397</v>
      </c>
      <c r="F84" s="99">
        <f t="shared" si="4"/>
        <v>3570090.6056170003</v>
      </c>
      <c r="G84" s="99">
        <f t="shared" si="3"/>
        <v>20270</v>
      </c>
      <c r="H84" s="300">
        <f>SUM(F81:G84)</f>
        <v>16164126.407400083</v>
      </c>
      <c r="I84" s="300">
        <f>SUM(D81:D84)</f>
        <v>79411764</v>
      </c>
      <c r="J84" s="301">
        <f>SUM(H84:I84)</f>
        <v>95575890.40740009</v>
      </c>
    </row>
    <row r="85" spans="1:10" ht="12.75">
      <c r="A85" s="103">
        <v>46112</v>
      </c>
      <c r="B85" s="435">
        <f t="shared" si="9"/>
        <v>90</v>
      </c>
      <c r="C85" s="42">
        <f t="shared" si="10"/>
        <v>178676481</v>
      </c>
      <c r="D85" s="42">
        <f t="shared" si="8"/>
        <v>19852941</v>
      </c>
      <c r="E85" s="304">
        <f t="shared" si="8"/>
        <v>0.06397</v>
      </c>
      <c r="F85" s="42">
        <f t="shared" si="4"/>
        <v>3174981.7813350004</v>
      </c>
      <c r="G85" s="42">
        <f t="shared" si="3"/>
        <v>20270</v>
      </c>
      <c r="H85" s="104"/>
      <c r="I85" s="104"/>
      <c r="J85" s="242"/>
    </row>
    <row r="86" spans="1:10" ht="12.75">
      <c r="A86" s="90">
        <v>46203</v>
      </c>
      <c r="B86" s="215">
        <f t="shared" si="9"/>
        <v>91</v>
      </c>
      <c r="C86" s="41">
        <f t="shared" si="10"/>
        <v>158823540</v>
      </c>
      <c r="D86" s="41">
        <f t="shared" si="8"/>
        <v>19852941</v>
      </c>
      <c r="E86" s="302">
        <f t="shared" si="8"/>
        <v>0.06397</v>
      </c>
      <c r="F86" s="41">
        <f t="shared" si="4"/>
        <v>2889233.4404190835</v>
      </c>
      <c r="G86" s="41">
        <f t="shared" si="3"/>
        <v>20270</v>
      </c>
      <c r="H86" s="91"/>
      <c r="I86" s="91"/>
      <c r="J86" s="231"/>
    </row>
    <row r="87" spans="1:10" ht="12.75">
      <c r="A87" s="90">
        <v>46295</v>
      </c>
      <c r="B87" s="215">
        <f t="shared" si="9"/>
        <v>92</v>
      </c>
      <c r="C87" s="41">
        <f t="shared" si="10"/>
        <v>138970599</v>
      </c>
      <c r="D87" s="41">
        <f t="shared" si="8"/>
        <v>19852941</v>
      </c>
      <c r="E87" s="302">
        <f t="shared" si="8"/>
        <v>0.06397</v>
      </c>
      <c r="F87" s="41">
        <f t="shared" si="4"/>
        <v>2596429.5848600003</v>
      </c>
      <c r="G87" s="41">
        <f t="shared" si="3"/>
        <v>20270</v>
      </c>
      <c r="H87" s="91"/>
      <c r="I87" s="91"/>
      <c r="J87" s="231"/>
    </row>
    <row r="88" spans="1:10" ht="12.75">
      <c r="A88" s="97">
        <v>46387</v>
      </c>
      <c r="B88" s="187">
        <f t="shared" si="9"/>
        <v>92</v>
      </c>
      <c r="C88" s="99">
        <f t="shared" si="10"/>
        <v>119117658</v>
      </c>
      <c r="D88" s="99">
        <f t="shared" si="8"/>
        <v>19852941</v>
      </c>
      <c r="E88" s="303">
        <f t="shared" si="8"/>
        <v>0.06397</v>
      </c>
      <c r="F88" s="99">
        <f t="shared" si="4"/>
        <v>2271875.9112743335</v>
      </c>
      <c r="G88" s="99">
        <f aca="true" t="shared" si="11" ref="G88:G93">G87</f>
        <v>20270</v>
      </c>
      <c r="H88" s="300">
        <f>SUM(F85:G88)</f>
        <v>11013600.717888419</v>
      </c>
      <c r="I88" s="300">
        <f>SUM(D85:D88)</f>
        <v>79411764</v>
      </c>
      <c r="J88" s="301">
        <f>SUM(H88:I88)</f>
        <v>90425364.71788841</v>
      </c>
    </row>
    <row r="89" spans="1:10" ht="12.75">
      <c r="A89" s="103">
        <v>46477</v>
      </c>
      <c r="B89" s="435">
        <f t="shared" si="9"/>
        <v>90</v>
      </c>
      <c r="C89" s="42">
        <f t="shared" si="10"/>
        <v>99264717</v>
      </c>
      <c r="D89" s="42">
        <f t="shared" si="8"/>
        <v>19852941</v>
      </c>
      <c r="E89" s="304">
        <f t="shared" si="8"/>
        <v>0.06397</v>
      </c>
      <c r="F89" s="42">
        <f aca="true" t="shared" si="12" ref="F89:F94">((C89+D89)*E89/360*B89)</f>
        <v>1904989.145565</v>
      </c>
      <c r="G89" s="42">
        <f t="shared" si="11"/>
        <v>20270</v>
      </c>
      <c r="H89" s="104"/>
      <c r="I89" s="104"/>
      <c r="J89" s="242"/>
    </row>
    <row r="90" spans="1:10" ht="12.75">
      <c r="A90" s="90">
        <v>46568</v>
      </c>
      <c r="B90" s="215">
        <f t="shared" si="9"/>
        <v>91</v>
      </c>
      <c r="C90" s="41">
        <f t="shared" si="10"/>
        <v>79411776</v>
      </c>
      <c r="D90" s="41">
        <f t="shared" si="8"/>
        <v>19852941</v>
      </c>
      <c r="E90" s="302">
        <f t="shared" si="8"/>
        <v>0.06397</v>
      </c>
      <c r="F90" s="41">
        <f t="shared" si="12"/>
        <v>1605129.7753627498</v>
      </c>
      <c r="G90" s="41">
        <f t="shared" si="11"/>
        <v>20270</v>
      </c>
      <c r="H90" s="91"/>
      <c r="I90" s="91"/>
      <c r="J90" s="231"/>
    </row>
    <row r="91" spans="1:10" ht="12.75">
      <c r="A91" s="90">
        <v>46660</v>
      </c>
      <c r="B91" s="215">
        <f t="shared" si="9"/>
        <v>92</v>
      </c>
      <c r="C91" s="41">
        <f t="shared" si="10"/>
        <v>59558835</v>
      </c>
      <c r="D91" s="41">
        <f t="shared" si="8"/>
        <v>19852941</v>
      </c>
      <c r="E91" s="302">
        <f t="shared" si="8"/>
        <v>0.06397</v>
      </c>
      <c r="F91" s="41">
        <f t="shared" si="12"/>
        <v>1298214.8905173333</v>
      </c>
      <c r="G91" s="41">
        <f t="shared" si="11"/>
        <v>20270</v>
      </c>
      <c r="H91" s="91"/>
      <c r="I91" s="91"/>
      <c r="J91" s="231"/>
    </row>
    <row r="92" spans="1:10" ht="12.75">
      <c r="A92" s="97">
        <v>46752</v>
      </c>
      <c r="B92" s="187">
        <f t="shared" si="9"/>
        <v>92</v>
      </c>
      <c r="C92" s="99">
        <f t="shared" si="10"/>
        <v>39705894</v>
      </c>
      <c r="D92" s="99">
        <f>D91</f>
        <v>19852941</v>
      </c>
      <c r="E92" s="303">
        <f>E91</f>
        <v>0.06397</v>
      </c>
      <c r="F92" s="99">
        <f t="shared" si="12"/>
        <v>973661.2169316666</v>
      </c>
      <c r="G92" s="99">
        <f t="shared" si="11"/>
        <v>20270</v>
      </c>
      <c r="H92" s="300">
        <f>SUM(F89:G92)</f>
        <v>5863075.02837675</v>
      </c>
      <c r="I92" s="300">
        <f>SUM(D89:D92)</f>
        <v>79411764</v>
      </c>
      <c r="J92" s="301">
        <f>SUM(H92:I92)</f>
        <v>85274839.02837674</v>
      </c>
    </row>
    <row r="93" spans="1:10" ht="12.75">
      <c r="A93" s="103">
        <v>46843</v>
      </c>
      <c r="B93" s="435">
        <f t="shared" si="9"/>
        <v>91</v>
      </c>
      <c r="C93" s="42">
        <f t="shared" si="10"/>
        <v>19852953</v>
      </c>
      <c r="D93" s="42">
        <f>D92</f>
        <v>19852941</v>
      </c>
      <c r="E93" s="304">
        <f>E92</f>
        <v>0.06397</v>
      </c>
      <c r="F93" s="42">
        <f t="shared" si="12"/>
        <v>642052.0265705</v>
      </c>
      <c r="G93" s="42">
        <f t="shared" si="11"/>
        <v>20270</v>
      </c>
      <c r="H93" s="104"/>
      <c r="I93" s="104"/>
      <c r="J93" s="242"/>
    </row>
    <row r="94" spans="1:10" ht="13.5" thickBot="1">
      <c r="A94" s="90">
        <v>46934</v>
      </c>
      <c r="B94" s="215">
        <f t="shared" si="9"/>
        <v>91</v>
      </c>
      <c r="C94" s="41">
        <f t="shared" si="10"/>
        <v>0</v>
      </c>
      <c r="D94" s="41">
        <f>D1-SUM(D27:D93)</f>
        <v>19852953</v>
      </c>
      <c r="E94" s="302">
        <f>E93</f>
        <v>0.06397</v>
      </c>
      <c r="F94" s="41">
        <f t="shared" si="12"/>
        <v>321026.11030641664</v>
      </c>
      <c r="G94" s="41">
        <f>D3-SUM(G19:G93)</f>
        <v>20290</v>
      </c>
      <c r="H94" s="300">
        <f>SUM(F93:G94)</f>
        <v>1003638.1368769166</v>
      </c>
      <c r="I94" s="300">
        <f>SUM(D93:D94)</f>
        <v>39705894</v>
      </c>
      <c r="J94" s="301">
        <f>SUM(H94:I94)</f>
        <v>40709532.13687692</v>
      </c>
    </row>
    <row r="95" spans="1:10" ht="13.5" thickTop="1">
      <c r="A95" s="567" t="s">
        <v>14</v>
      </c>
      <c r="B95" s="568"/>
      <c r="C95" s="569"/>
      <c r="D95" s="117">
        <f>SUM(D9:D94)</f>
        <v>1350000000</v>
      </c>
      <c r="E95" s="118"/>
      <c r="F95" s="117">
        <f>SUM(F9:F94)</f>
        <v>902331951.1750525</v>
      </c>
      <c r="G95" s="117">
        <f>SUM(G9:G94)</f>
        <v>1500000</v>
      </c>
      <c r="H95" s="117">
        <f>SUM(H9:H94)</f>
        <v>903831951.1750524</v>
      </c>
      <c r="I95" s="117">
        <f>SUM(I9:I94)</f>
        <v>1350000000</v>
      </c>
      <c r="J95" s="119">
        <f>SUM(J9:J94)</f>
        <v>2253831951.1750526</v>
      </c>
    </row>
    <row r="96" spans="1:10" ht="12.75">
      <c r="A96" s="120"/>
      <c r="E96" s="122"/>
      <c r="H96" s="121"/>
      <c r="J96" s="121"/>
    </row>
    <row r="97" spans="1:10" ht="12.75">
      <c r="A97" s="120"/>
      <c r="E97" s="122"/>
      <c r="G97" s="121"/>
      <c r="H97" s="121"/>
      <c r="J97" s="121"/>
    </row>
    <row r="98" spans="3:4" ht="12.75">
      <c r="C98" s="58"/>
      <c r="D98" s="58"/>
    </row>
    <row r="99" spans="1:8" ht="12.75">
      <c r="A99" s="121"/>
      <c r="C99" s="58"/>
      <c r="D99" s="316" t="s">
        <v>3</v>
      </c>
      <c r="E99" s="316"/>
      <c r="F99" s="316" t="s">
        <v>106</v>
      </c>
      <c r="G99" s="316" t="s">
        <v>137</v>
      </c>
      <c r="H99" s="316" t="s">
        <v>138</v>
      </c>
    </row>
    <row r="100" spans="1:8" ht="12.75">
      <c r="A100" s="261"/>
      <c r="B100" s="498"/>
      <c r="C100" s="337"/>
      <c r="D100" s="337"/>
      <c r="E100" s="338"/>
      <c r="F100" s="338" t="s">
        <v>135</v>
      </c>
      <c r="G100" s="338" t="s">
        <v>136</v>
      </c>
      <c r="H100" s="338" t="s">
        <v>139</v>
      </c>
    </row>
    <row r="101" spans="1:8" ht="12.75">
      <c r="A101" s="121" t="s">
        <v>278</v>
      </c>
      <c r="C101" s="58"/>
      <c r="D101" s="332">
        <v>39903</v>
      </c>
      <c r="E101" s="316"/>
      <c r="F101" s="121">
        <v>240000000</v>
      </c>
      <c r="G101" s="121">
        <f>F101</f>
        <v>240000000</v>
      </c>
      <c r="H101" s="121">
        <f aca="true" t="shared" si="13" ref="H101:H106">D$1-G101</f>
        <v>1110000000</v>
      </c>
    </row>
    <row r="102" spans="1:8" ht="12.75">
      <c r="A102" s="121" t="s">
        <v>170</v>
      </c>
      <c r="C102" s="58"/>
      <c r="D102" s="332">
        <v>39994</v>
      </c>
      <c r="E102" s="316"/>
      <c r="F102" s="121">
        <v>240000000</v>
      </c>
      <c r="G102" s="121">
        <f>F102+G101</f>
        <v>480000000</v>
      </c>
      <c r="H102" s="121">
        <f t="shared" si="13"/>
        <v>870000000</v>
      </c>
    </row>
    <row r="103" spans="1:8" ht="12.75">
      <c r="A103" s="121" t="s">
        <v>277</v>
      </c>
      <c r="C103" s="58"/>
      <c r="D103" s="332">
        <v>40086</v>
      </c>
      <c r="E103" s="316"/>
      <c r="F103" s="121">
        <v>240000000</v>
      </c>
      <c r="G103" s="121">
        <f>F103+G102</f>
        <v>720000000</v>
      </c>
      <c r="H103" s="121">
        <f t="shared" si="13"/>
        <v>630000000</v>
      </c>
    </row>
    <row r="104" spans="1:8" ht="12.75">
      <c r="A104" s="121" t="s">
        <v>322</v>
      </c>
      <c r="C104" s="58"/>
      <c r="D104" s="332">
        <v>40176</v>
      </c>
      <c r="E104" s="316"/>
      <c r="F104" s="121">
        <v>250000000</v>
      </c>
      <c r="G104" s="121">
        <f>F104+G103</f>
        <v>970000000</v>
      </c>
      <c r="H104" s="121">
        <f t="shared" si="13"/>
        <v>380000000</v>
      </c>
    </row>
    <row r="105" spans="1:8" ht="12.75">
      <c r="A105" s="121" t="s">
        <v>323</v>
      </c>
      <c r="C105" s="58"/>
      <c r="D105" s="332">
        <v>40268</v>
      </c>
      <c r="E105" s="316"/>
      <c r="F105" s="121">
        <v>250000000</v>
      </c>
      <c r="G105" s="121">
        <f>F105+G104</f>
        <v>1220000000</v>
      </c>
      <c r="H105" s="121">
        <f t="shared" si="13"/>
        <v>130000000</v>
      </c>
    </row>
    <row r="106" spans="1:8" ht="13.5" thickBot="1">
      <c r="A106" s="121" t="s">
        <v>324</v>
      </c>
      <c r="C106" s="58"/>
      <c r="D106" s="332">
        <v>40359</v>
      </c>
      <c r="E106" s="316"/>
      <c r="F106" s="121">
        <v>130000000</v>
      </c>
      <c r="G106" s="121">
        <f>F106+G105</f>
        <v>1350000000</v>
      </c>
      <c r="H106" s="121">
        <f t="shared" si="13"/>
        <v>0</v>
      </c>
    </row>
    <row r="107" spans="1:6" ht="13.5" thickTop="1">
      <c r="A107" s="126" t="s">
        <v>14</v>
      </c>
      <c r="B107" s="499"/>
      <c r="C107" s="124"/>
      <c r="D107" s="124"/>
      <c r="E107" s="333"/>
      <c r="F107" s="500">
        <f>SUM(F101:F106)</f>
        <v>1350000000</v>
      </c>
    </row>
  </sheetData>
  <sheetProtection/>
  <mergeCells count="1">
    <mergeCell ref="A95:C95"/>
  </mergeCells>
  <printOptions horizontalCentered="1"/>
  <pageMargins left="0.3937007874015748" right="0.3937007874015748" top="0.984251968503937" bottom="0.3937007874015748" header="0.3937007874015748" footer="0.11811023622047245"/>
  <pageSetup blackAndWhite="1" horizontalDpi="300" verticalDpi="300" orientation="portrait" paperSize="9" scale="80" r:id="rId1"/>
  <headerFooter alignWithMargins="0">
    <oddHeader>&amp;C&amp;"Times New Roman CE,Félkövér dőlt"&amp;12Adósságszolgálat számítása 
2008-2009-2010. években felvételre tervezett 1,35 mrd Ft hitel
("Sikeres Magyarországért" Bérlakás Hitelprogram)</oddHeader>
    <oddFooter>&amp;L&amp;8&amp;D&amp;C&amp;8C:\Andi\adósságszolgálat2007\&amp;F\&amp;A    Oláhné P. Andrea&amp;R&amp;8&amp;P/&amp;N</oddFooter>
  </headerFooter>
  <rowBreaks count="1" manualBreakCount="1">
    <brk id="72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D50"/>
  <sheetViews>
    <sheetView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11.375" style="58" customWidth="1"/>
    <col min="2" max="2" width="5.875" style="434" customWidth="1"/>
    <col min="3" max="3" width="11.50390625" style="121" bestFit="1" customWidth="1"/>
    <col min="4" max="4" width="12.625" style="121" bestFit="1" customWidth="1"/>
    <col min="5" max="5" width="10.00390625" style="58" customWidth="1"/>
    <col min="6" max="6" width="12.50390625" style="58" bestFit="1" customWidth="1"/>
    <col min="7" max="7" width="9.625" style="58" customWidth="1"/>
    <col min="8" max="8" width="11.125" style="58" bestFit="1" customWidth="1"/>
    <col min="9" max="9" width="10.125" style="58" bestFit="1" customWidth="1"/>
    <col min="10" max="12" width="14.50390625" style="58" bestFit="1" customWidth="1"/>
    <col min="13" max="13" width="11.375" style="58" customWidth="1"/>
    <col min="14" max="14" width="5.875" style="434" customWidth="1"/>
    <col min="15" max="16" width="11.50390625" style="121" bestFit="1" customWidth="1"/>
    <col min="17" max="17" width="10.00390625" style="58" customWidth="1"/>
    <col min="18" max="18" width="14.625" style="58" bestFit="1" customWidth="1"/>
    <col min="19" max="19" width="9.625" style="58" customWidth="1"/>
    <col min="20" max="20" width="11.125" style="58" bestFit="1" customWidth="1"/>
    <col min="21" max="21" width="10.125" style="58" bestFit="1" customWidth="1"/>
    <col min="22" max="22" width="12.625" style="58" bestFit="1" customWidth="1"/>
    <col min="23" max="24" width="14.50390625" style="58" bestFit="1" customWidth="1"/>
    <col min="25" max="25" width="11.375" style="58" customWidth="1"/>
    <col min="26" max="26" width="12.50390625" style="58" customWidth="1"/>
    <col min="27" max="27" width="12.875" style="58" customWidth="1"/>
    <col min="28" max="28" width="15.00390625" style="58" customWidth="1"/>
    <col min="29" max="30" width="14.50390625" style="58" bestFit="1" customWidth="1"/>
    <col min="31" max="16384" width="9.375" style="58" customWidth="1"/>
  </cols>
  <sheetData>
    <row r="1" spans="1:29" ht="12.75">
      <c r="A1" s="162" t="s">
        <v>204</v>
      </c>
      <c r="B1" s="429"/>
      <c r="C1" s="163"/>
      <c r="D1" s="163">
        <v>21270199</v>
      </c>
      <c r="E1" s="162" t="s">
        <v>310</v>
      </c>
      <c r="F1" s="162" t="s">
        <v>317</v>
      </c>
      <c r="G1" s="162"/>
      <c r="H1" s="162"/>
      <c r="I1" s="162"/>
      <c r="M1" s="162" t="s">
        <v>204</v>
      </c>
      <c r="N1" s="429"/>
      <c r="O1" s="163"/>
      <c r="P1" s="163">
        <v>13245033</v>
      </c>
      <c r="Q1" s="162" t="s">
        <v>310</v>
      </c>
      <c r="R1" s="162" t="s">
        <v>316</v>
      </c>
      <c r="S1" s="162"/>
      <c r="T1" s="162"/>
      <c r="U1" s="162"/>
      <c r="Y1" s="162" t="s">
        <v>204</v>
      </c>
      <c r="AA1" s="163">
        <f>SUM(D1,P1)</f>
        <v>34515232</v>
      </c>
      <c r="AB1" s="162" t="s">
        <v>310</v>
      </c>
      <c r="AC1" s="162" t="s">
        <v>318</v>
      </c>
    </row>
    <row r="2" spans="1:27" ht="12.75">
      <c r="A2" s="162" t="s">
        <v>206</v>
      </c>
      <c r="B2" s="429"/>
      <c r="C2" s="163"/>
      <c r="D2" s="163">
        <v>16</v>
      </c>
      <c r="E2" s="162" t="s">
        <v>207</v>
      </c>
      <c r="F2" s="162"/>
      <c r="G2" s="162"/>
      <c r="H2" s="162"/>
      <c r="I2" s="162"/>
      <c r="M2" s="162" t="s">
        <v>206</v>
      </c>
      <c r="N2" s="429"/>
      <c r="O2" s="163"/>
      <c r="P2" s="163">
        <v>16</v>
      </c>
      <c r="Q2" s="162" t="s">
        <v>207</v>
      </c>
      <c r="R2" s="162"/>
      <c r="S2" s="162"/>
      <c r="T2" s="162"/>
      <c r="U2" s="162"/>
      <c r="Y2" s="162"/>
      <c r="Z2" s="162"/>
      <c r="AA2" s="162"/>
    </row>
    <row r="3" spans="1:27" ht="12.75">
      <c r="A3" s="163" t="s">
        <v>228</v>
      </c>
      <c r="B3" s="429"/>
      <c r="C3" s="163"/>
      <c r="D3" s="163">
        <v>4</v>
      </c>
      <c r="E3" s="162" t="s">
        <v>207</v>
      </c>
      <c r="F3" s="162"/>
      <c r="G3" s="162"/>
      <c r="H3" s="162"/>
      <c r="I3" s="162"/>
      <c r="M3" s="163" t="s">
        <v>228</v>
      </c>
      <c r="N3" s="429"/>
      <c r="O3" s="163"/>
      <c r="P3" s="163">
        <v>4</v>
      </c>
      <c r="Q3" s="162" t="s">
        <v>207</v>
      </c>
      <c r="R3" s="162"/>
      <c r="S3" s="162"/>
      <c r="T3" s="162"/>
      <c r="U3" s="162"/>
      <c r="Y3" s="163"/>
      <c r="Z3" s="162"/>
      <c r="AA3" s="162"/>
    </row>
    <row r="4" spans="1:30" ht="12.75">
      <c r="A4" s="163" t="s">
        <v>302</v>
      </c>
      <c r="B4" s="429"/>
      <c r="C4" s="163"/>
      <c r="D4" s="398"/>
      <c r="E4" s="399"/>
      <c r="F4" s="163"/>
      <c r="G4" s="163"/>
      <c r="H4" s="163"/>
      <c r="I4" s="163"/>
      <c r="J4" s="132"/>
      <c r="K4" s="132"/>
      <c r="L4" s="132"/>
      <c r="M4" s="163" t="s">
        <v>302</v>
      </c>
      <c r="N4" s="429"/>
      <c r="O4" s="163"/>
      <c r="P4" s="398"/>
      <c r="Q4" s="399"/>
      <c r="R4" s="163"/>
      <c r="S4" s="163"/>
      <c r="T4" s="163"/>
      <c r="U4" s="163"/>
      <c r="V4" s="132"/>
      <c r="W4" s="132"/>
      <c r="X4" s="132"/>
      <c r="Y4" s="163"/>
      <c r="Z4" s="163"/>
      <c r="AA4" s="163"/>
      <c r="AB4" s="132"/>
      <c r="AC4" s="132"/>
      <c r="AD4" s="132"/>
    </row>
    <row r="5" spans="1:30" ht="12.75">
      <c r="A5" s="66" t="s">
        <v>3</v>
      </c>
      <c r="B5" s="430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69" t="s">
        <v>314</v>
      </c>
      <c r="H5" s="68" t="s">
        <v>21</v>
      </c>
      <c r="I5" s="69" t="s">
        <v>20</v>
      </c>
      <c r="J5" s="70" t="s">
        <v>6</v>
      </c>
      <c r="K5" s="68" t="s">
        <v>311</v>
      </c>
      <c r="L5" s="71" t="s">
        <v>312</v>
      </c>
      <c r="M5" s="66" t="s">
        <v>3</v>
      </c>
      <c r="N5" s="430" t="s">
        <v>4</v>
      </c>
      <c r="O5" s="68" t="s">
        <v>5</v>
      </c>
      <c r="P5" s="68" t="s">
        <v>21</v>
      </c>
      <c r="Q5" s="68" t="s">
        <v>18</v>
      </c>
      <c r="R5" s="69" t="s">
        <v>20</v>
      </c>
      <c r="S5" s="69" t="s">
        <v>314</v>
      </c>
      <c r="T5" s="68" t="s">
        <v>21</v>
      </c>
      <c r="U5" s="69" t="s">
        <v>20</v>
      </c>
      <c r="V5" s="70" t="s">
        <v>6</v>
      </c>
      <c r="W5" s="68" t="s">
        <v>311</v>
      </c>
      <c r="X5" s="71" t="s">
        <v>312</v>
      </c>
      <c r="Y5" s="66" t="s">
        <v>3</v>
      </c>
      <c r="Z5" s="68" t="s">
        <v>21</v>
      </c>
      <c r="AA5" s="69" t="s">
        <v>20</v>
      </c>
      <c r="AB5" s="70" t="s">
        <v>6</v>
      </c>
      <c r="AC5" s="68" t="s">
        <v>311</v>
      </c>
      <c r="AD5" s="71" t="s">
        <v>312</v>
      </c>
    </row>
    <row r="6" spans="1:30" ht="12.75">
      <c r="A6" s="72"/>
      <c r="B6" s="431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5"/>
      <c r="H6" s="74" t="s">
        <v>13</v>
      </c>
      <c r="I6" s="75" t="s">
        <v>13</v>
      </c>
      <c r="J6" s="76" t="s">
        <v>9</v>
      </c>
      <c r="K6" s="74" t="s">
        <v>13</v>
      </c>
      <c r="L6" s="77" t="s">
        <v>12</v>
      </c>
      <c r="M6" s="72"/>
      <c r="N6" s="431" t="s">
        <v>7</v>
      </c>
      <c r="O6" s="74" t="s">
        <v>8</v>
      </c>
      <c r="P6" s="74" t="s">
        <v>13</v>
      </c>
      <c r="Q6" s="74" t="s">
        <v>19</v>
      </c>
      <c r="R6" s="75" t="s">
        <v>13</v>
      </c>
      <c r="S6" s="75"/>
      <c r="T6" s="74" t="s">
        <v>13</v>
      </c>
      <c r="U6" s="75" t="s">
        <v>13</v>
      </c>
      <c r="V6" s="76" t="s">
        <v>9</v>
      </c>
      <c r="W6" s="74" t="s">
        <v>13</v>
      </c>
      <c r="X6" s="77" t="s">
        <v>12</v>
      </c>
      <c r="Y6" s="72"/>
      <c r="Z6" s="74" t="s">
        <v>13</v>
      </c>
      <c r="AA6" s="75" t="s">
        <v>13</v>
      </c>
      <c r="AB6" s="76" t="s">
        <v>9</v>
      </c>
      <c r="AC6" s="74" t="s">
        <v>13</v>
      </c>
      <c r="AD6" s="77" t="s">
        <v>12</v>
      </c>
    </row>
    <row r="7" spans="1:30" ht="12.75">
      <c r="A7" s="78"/>
      <c r="B7" s="432"/>
      <c r="C7" s="531" t="s">
        <v>310</v>
      </c>
      <c r="D7" s="531" t="s">
        <v>310</v>
      </c>
      <c r="E7" s="531"/>
      <c r="F7" s="531" t="s">
        <v>310</v>
      </c>
      <c r="G7" s="80" t="s">
        <v>315</v>
      </c>
      <c r="H7" s="531" t="s">
        <v>313</v>
      </c>
      <c r="I7" s="531" t="s">
        <v>313</v>
      </c>
      <c r="J7" s="531" t="s">
        <v>313</v>
      </c>
      <c r="K7" s="531" t="s">
        <v>313</v>
      </c>
      <c r="L7" s="83" t="s">
        <v>313</v>
      </c>
      <c r="M7" s="78"/>
      <c r="N7" s="432"/>
      <c r="O7" s="531" t="s">
        <v>310</v>
      </c>
      <c r="P7" s="531" t="s">
        <v>310</v>
      </c>
      <c r="Q7" s="531"/>
      <c r="R7" s="531" t="s">
        <v>310</v>
      </c>
      <c r="S7" s="80" t="s">
        <v>315</v>
      </c>
      <c r="T7" s="531" t="s">
        <v>313</v>
      </c>
      <c r="U7" s="531" t="s">
        <v>313</v>
      </c>
      <c r="V7" s="531" t="s">
        <v>313</v>
      </c>
      <c r="W7" s="531" t="s">
        <v>313</v>
      </c>
      <c r="X7" s="83" t="s">
        <v>313</v>
      </c>
      <c r="Y7" s="78"/>
      <c r="Z7" s="531" t="s">
        <v>313</v>
      </c>
      <c r="AA7" s="531" t="s">
        <v>313</v>
      </c>
      <c r="AB7" s="531" t="s">
        <v>313</v>
      </c>
      <c r="AC7" s="531" t="s">
        <v>313</v>
      </c>
      <c r="AD7" s="83" t="s">
        <v>313</v>
      </c>
    </row>
    <row r="8" spans="1:30" ht="12.75">
      <c r="A8" s="421">
        <v>39437</v>
      </c>
      <c r="B8" s="433"/>
      <c r="C8" s="422">
        <f>D1</f>
        <v>21270199</v>
      </c>
      <c r="D8" s="423"/>
      <c r="E8" s="424"/>
      <c r="F8" s="425"/>
      <c r="G8" s="530"/>
      <c r="H8" s="530"/>
      <c r="I8" s="530"/>
      <c r="J8" s="426">
        <f>SUM(F8)</f>
        <v>0</v>
      </c>
      <c r="K8" s="427">
        <f>SUM(D8)</f>
        <v>0</v>
      </c>
      <c r="L8" s="428">
        <f>SUM(J8:K8)</f>
        <v>0</v>
      </c>
      <c r="M8" s="421">
        <v>39437</v>
      </c>
      <c r="N8" s="433"/>
      <c r="O8" s="422">
        <f>P1</f>
        <v>13245033</v>
      </c>
      <c r="P8" s="423"/>
      <c r="Q8" s="424"/>
      <c r="R8" s="425"/>
      <c r="S8" s="530"/>
      <c r="T8" s="530"/>
      <c r="U8" s="530"/>
      <c r="V8" s="426">
        <f>SUM(R8)</f>
        <v>0</v>
      </c>
      <c r="W8" s="427">
        <f>SUM(P8)</f>
        <v>0</v>
      </c>
      <c r="X8" s="428">
        <f>SUM(V8:W8)</f>
        <v>0</v>
      </c>
      <c r="Y8" s="421">
        <v>39437</v>
      </c>
      <c r="Z8" s="530">
        <f aca="true" t="shared" si="0" ref="Z8:AA10">SUM(H8,T8)</f>
        <v>0</v>
      </c>
      <c r="AA8" s="530">
        <f t="shared" si="0"/>
        <v>0</v>
      </c>
      <c r="AB8" s="426">
        <f>SUM(AA8)</f>
        <v>0</v>
      </c>
      <c r="AC8" s="427">
        <f>SUM(Z8)</f>
        <v>0</v>
      </c>
      <c r="AD8" s="428">
        <f>SUM(AB8:AC8)</f>
        <v>0</v>
      </c>
    </row>
    <row r="9" spans="1:30" ht="12.75">
      <c r="A9" s="103">
        <v>39553</v>
      </c>
      <c r="B9" s="435">
        <f aca="true" t="shared" si="1" ref="B9:B46">A9-A8</f>
        <v>116</v>
      </c>
      <c r="C9" s="42">
        <f aca="true" t="shared" si="2" ref="C9:C46">C8-D9</f>
        <v>21270199</v>
      </c>
      <c r="D9" s="436"/>
      <c r="E9" s="517">
        <v>0.0381167</v>
      </c>
      <c r="F9" s="532">
        <v>261241.6</v>
      </c>
      <c r="G9" s="306">
        <v>160.77</v>
      </c>
      <c r="H9" s="42"/>
      <c r="I9" s="42">
        <f>ROUND(F9*G9,0)</f>
        <v>41999812</v>
      </c>
      <c r="J9" s="437"/>
      <c r="K9" s="104"/>
      <c r="L9" s="242"/>
      <c r="M9" s="103">
        <v>39553</v>
      </c>
      <c r="N9" s="435">
        <f aca="true" t="shared" si="3" ref="N9:N46">M9-M8</f>
        <v>116</v>
      </c>
      <c r="O9" s="42">
        <f aca="true" t="shared" si="4" ref="O9:O46">O8-P9</f>
        <v>13245033</v>
      </c>
      <c r="P9" s="436"/>
      <c r="Q9" s="517">
        <v>0.0381167</v>
      </c>
      <c r="R9" s="532">
        <v>162676.13</v>
      </c>
      <c r="S9" s="306">
        <v>159.9</v>
      </c>
      <c r="T9" s="42"/>
      <c r="U9" s="42">
        <f>ROUND(R9*S9,0)</f>
        <v>26011913</v>
      </c>
      <c r="V9" s="437"/>
      <c r="W9" s="104"/>
      <c r="X9" s="242"/>
      <c r="Y9" s="103">
        <v>39553</v>
      </c>
      <c r="Z9" s="42">
        <f t="shared" si="0"/>
        <v>0</v>
      </c>
      <c r="AA9" s="139">
        <f t="shared" si="0"/>
        <v>68011725</v>
      </c>
      <c r="AB9" s="437"/>
      <c r="AC9" s="104"/>
      <c r="AD9" s="242"/>
    </row>
    <row r="10" spans="1:30" ht="12.75">
      <c r="A10" s="97">
        <v>39736</v>
      </c>
      <c r="B10" s="187">
        <f t="shared" si="1"/>
        <v>183</v>
      </c>
      <c r="C10" s="99">
        <f t="shared" si="2"/>
        <v>21270199</v>
      </c>
      <c r="D10" s="438"/>
      <c r="E10" s="518">
        <v>0.0387</v>
      </c>
      <c r="F10" s="536">
        <v>418437.99</v>
      </c>
      <c r="G10" s="308">
        <v>165.9</v>
      </c>
      <c r="H10" s="99"/>
      <c r="I10" s="99">
        <f>ROUND(F10*G10,0)</f>
        <v>69418863</v>
      </c>
      <c r="J10" s="300">
        <f>SUM(I9:I10)</f>
        <v>111418675</v>
      </c>
      <c r="K10" s="300">
        <f>SUM(H9:H10)</f>
        <v>0</v>
      </c>
      <c r="L10" s="301">
        <f>SUM(J10:K10)</f>
        <v>111418675</v>
      </c>
      <c r="M10" s="97">
        <v>39736</v>
      </c>
      <c r="N10" s="187">
        <f t="shared" si="3"/>
        <v>183</v>
      </c>
      <c r="O10" s="99">
        <f t="shared" si="4"/>
        <v>13245033</v>
      </c>
      <c r="P10" s="438"/>
      <c r="Q10" s="544">
        <v>0.0386833</v>
      </c>
      <c r="R10" s="536">
        <v>260450.47</v>
      </c>
      <c r="S10" s="308">
        <v>165.9</v>
      </c>
      <c r="T10" s="99"/>
      <c r="U10" s="99">
        <f>ROUND(R10*S10,0)</f>
        <v>43208733</v>
      </c>
      <c r="V10" s="300">
        <f>SUM(U9:U10)</f>
        <v>69220646</v>
      </c>
      <c r="W10" s="300">
        <f>SUM(T9:T10)</f>
        <v>0</v>
      </c>
      <c r="X10" s="301">
        <f>SUM(V10:W10)</f>
        <v>69220646</v>
      </c>
      <c r="Y10" s="97">
        <v>39736</v>
      </c>
      <c r="Z10" s="99">
        <f t="shared" si="0"/>
        <v>0</v>
      </c>
      <c r="AA10" s="144">
        <f t="shared" si="0"/>
        <v>112627596</v>
      </c>
      <c r="AB10" s="300">
        <f>SUM(AA9:AA10)</f>
        <v>180639321</v>
      </c>
      <c r="AC10" s="300">
        <f>SUM(Z9:Z10)</f>
        <v>0</v>
      </c>
      <c r="AD10" s="301">
        <f>SUM(AB10:AC10)</f>
        <v>180639321</v>
      </c>
    </row>
    <row r="11" spans="1:30" ht="12.75">
      <c r="A11" s="103">
        <v>39918</v>
      </c>
      <c r="B11" s="435">
        <f t="shared" si="1"/>
        <v>182</v>
      </c>
      <c r="C11" s="42">
        <f t="shared" si="2"/>
        <v>21270199</v>
      </c>
      <c r="D11" s="436"/>
      <c r="E11" s="299">
        <v>0.0414</v>
      </c>
      <c r="F11" s="532">
        <f aca="true" t="shared" si="5" ref="F11:F46">((C11+D11)*E11/360*B11)</f>
        <v>445185.26507</v>
      </c>
      <c r="G11" s="306">
        <v>170</v>
      </c>
      <c r="H11" s="42"/>
      <c r="I11" s="42">
        <f aca="true" t="shared" si="6" ref="I11:I46">ROUND(F11*G11,0)</f>
        <v>75681495</v>
      </c>
      <c r="J11" s="437"/>
      <c r="K11" s="104"/>
      <c r="L11" s="242"/>
      <c r="M11" s="103">
        <v>39918</v>
      </c>
      <c r="N11" s="435">
        <f t="shared" si="3"/>
        <v>182</v>
      </c>
      <c r="O11" s="42">
        <f t="shared" si="4"/>
        <v>13245033</v>
      </c>
      <c r="P11" s="436"/>
      <c r="Q11" s="517">
        <f aca="true" t="shared" si="7" ref="Q11:Q47">Q10</f>
        <v>0.0386833</v>
      </c>
      <c r="R11" s="532">
        <f aca="true" t="shared" si="8" ref="R11:R46">((O11+P11)*Q11/360*N11)</f>
        <v>259027.24577472167</v>
      </c>
      <c r="S11" s="306">
        <v>170</v>
      </c>
      <c r="T11" s="42"/>
      <c r="U11" s="42">
        <f aca="true" t="shared" si="9" ref="U11:U49">ROUND(R11*S11,0)</f>
        <v>44034632</v>
      </c>
      <c r="V11" s="437"/>
      <c r="W11" s="104"/>
      <c r="X11" s="242"/>
      <c r="Y11" s="103">
        <v>39918</v>
      </c>
      <c r="Z11" s="42">
        <f aca="true" t="shared" si="10" ref="Z11:Z46">SUM(H11,T11)</f>
        <v>0</v>
      </c>
      <c r="AA11" s="139">
        <f aca="true" t="shared" si="11" ref="AA11:AA46">SUM(I11,U11)</f>
        <v>119716127</v>
      </c>
      <c r="AB11" s="437"/>
      <c r="AC11" s="104"/>
      <c r="AD11" s="242"/>
    </row>
    <row r="12" spans="1:30" ht="12.75">
      <c r="A12" s="97">
        <v>40101</v>
      </c>
      <c r="B12" s="187">
        <f t="shared" si="1"/>
        <v>183</v>
      </c>
      <c r="C12" s="99">
        <f t="shared" si="2"/>
        <v>21270199</v>
      </c>
      <c r="D12" s="438"/>
      <c r="E12" s="518">
        <f aca="true" t="shared" si="12" ref="E12:E47">E11</f>
        <v>0.0414</v>
      </c>
      <c r="F12" s="536">
        <f t="shared" si="5"/>
        <v>447631.337955</v>
      </c>
      <c r="G12" s="308">
        <f aca="true" t="shared" si="13" ref="G12:G49">G11</f>
        <v>170</v>
      </c>
      <c r="H12" s="99"/>
      <c r="I12" s="99">
        <f t="shared" si="6"/>
        <v>76097327</v>
      </c>
      <c r="J12" s="300">
        <f>SUM(I11:I12)</f>
        <v>151778822</v>
      </c>
      <c r="K12" s="300">
        <f>SUM(H11:H12)</f>
        <v>0</v>
      </c>
      <c r="L12" s="301">
        <f>SUM(J12:K12)</f>
        <v>151778822</v>
      </c>
      <c r="M12" s="97">
        <v>40101</v>
      </c>
      <c r="N12" s="187">
        <f t="shared" si="3"/>
        <v>183</v>
      </c>
      <c r="O12" s="99">
        <f t="shared" si="4"/>
        <v>13245033</v>
      </c>
      <c r="P12" s="438"/>
      <c r="Q12" s="544">
        <f t="shared" si="7"/>
        <v>0.0386833</v>
      </c>
      <c r="R12" s="536">
        <f t="shared" si="8"/>
        <v>260450.47239985748</v>
      </c>
      <c r="S12" s="308">
        <f aca="true" t="shared" si="14" ref="S12:S49">S11</f>
        <v>170</v>
      </c>
      <c r="T12" s="99"/>
      <c r="U12" s="99">
        <f t="shared" si="9"/>
        <v>44276580</v>
      </c>
      <c r="V12" s="300">
        <f>SUM(U11:U12)</f>
        <v>88311212</v>
      </c>
      <c r="W12" s="300">
        <f>SUM(T11:T12)</f>
        <v>0</v>
      </c>
      <c r="X12" s="301">
        <f>SUM(V12:W12)</f>
        <v>88311212</v>
      </c>
      <c r="Y12" s="97">
        <v>40101</v>
      </c>
      <c r="Z12" s="99">
        <f t="shared" si="10"/>
        <v>0</v>
      </c>
      <c r="AA12" s="144">
        <f t="shared" si="11"/>
        <v>120373907</v>
      </c>
      <c r="AB12" s="300">
        <f>SUM(AA11:AA12)</f>
        <v>240090034</v>
      </c>
      <c r="AC12" s="300">
        <f>SUM(Z11:Z12)</f>
        <v>0</v>
      </c>
      <c r="AD12" s="301">
        <f>SUM(AB12:AC12)</f>
        <v>240090034</v>
      </c>
    </row>
    <row r="13" spans="1:30" ht="12.75">
      <c r="A13" s="103">
        <v>40283</v>
      </c>
      <c r="B13" s="435">
        <f t="shared" si="1"/>
        <v>182</v>
      </c>
      <c r="C13" s="42">
        <f t="shared" si="2"/>
        <v>21270199</v>
      </c>
      <c r="D13" s="436"/>
      <c r="E13" s="299">
        <f t="shared" si="12"/>
        <v>0.0414</v>
      </c>
      <c r="F13" s="532">
        <f t="shared" si="5"/>
        <v>445185.26507</v>
      </c>
      <c r="G13" s="306">
        <f t="shared" si="13"/>
        <v>170</v>
      </c>
      <c r="H13" s="42"/>
      <c r="I13" s="42">
        <f t="shared" si="6"/>
        <v>75681495</v>
      </c>
      <c r="J13" s="437"/>
      <c r="K13" s="104"/>
      <c r="L13" s="242"/>
      <c r="M13" s="103">
        <v>40283</v>
      </c>
      <c r="N13" s="435">
        <f t="shared" si="3"/>
        <v>182</v>
      </c>
      <c r="O13" s="42">
        <f t="shared" si="4"/>
        <v>13245033</v>
      </c>
      <c r="P13" s="436"/>
      <c r="Q13" s="517">
        <f t="shared" si="7"/>
        <v>0.0386833</v>
      </c>
      <c r="R13" s="532">
        <f t="shared" si="8"/>
        <v>259027.24577472167</v>
      </c>
      <c r="S13" s="306">
        <f t="shared" si="14"/>
        <v>170</v>
      </c>
      <c r="T13" s="42"/>
      <c r="U13" s="42">
        <f t="shared" si="9"/>
        <v>44034632</v>
      </c>
      <c r="V13" s="437"/>
      <c r="W13" s="104"/>
      <c r="X13" s="242"/>
      <c r="Y13" s="103">
        <v>40283</v>
      </c>
      <c r="Z13" s="42">
        <f t="shared" si="10"/>
        <v>0</v>
      </c>
      <c r="AA13" s="139">
        <f t="shared" si="11"/>
        <v>119716127</v>
      </c>
      <c r="AB13" s="437"/>
      <c r="AC13" s="104"/>
      <c r="AD13" s="242"/>
    </row>
    <row r="14" spans="1:30" ht="12.75">
      <c r="A14" s="97">
        <v>40466</v>
      </c>
      <c r="B14" s="187">
        <f t="shared" si="1"/>
        <v>183</v>
      </c>
      <c r="C14" s="99">
        <f t="shared" si="2"/>
        <v>21270199</v>
      </c>
      <c r="D14" s="438"/>
      <c r="E14" s="518">
        <f t="shared" si="12"/>
        <v>0.0414</v>
      </c>
      <c r="F14" s="536">
        <f t="shared" si="5"/>
        <v>447631.337955</v>
      </c>
      <c r="G14" s="308">
        <f t="shared" si="13"/>
        <v>170</v>
      </c>
      <c r="H14" s="99"/>
      <c r="I14" s="99">
        <f t="shared" si="6"/>
        <v>76097327</v>
      </c>
      <c r="J14" s="300">
        <f>SUM(I13:I14)</f>
        <v>151778822</v>
      </c>
      <c r="K14" s="300">
        <f>SUM(H13:H14)</f>
        <v>0</v>
      </c>
      <c r="L14" s="301">
        <f>SUM(J14:K14)</f>
        <v>151778822</v>
      </c>
      <c r="M14" s="97">
        <v>40466</v>
      </c>
      <c r="N14" s="187">
        <f t="shared" si="3"/>
        <v>183</v>
      </c>
      <c r="O14" s="99">
        <f t="shared" si="4"/>
        <v>13245033</v>
      </c>
      <c r="P14" s="438"/>
      <c r="Q14" s="544">
        <f t="shared" si="7"/>
        <v>0.0386833</v>
      </c>
      <c r="R14" s="536">
        <f t="shared" si="8"/>
        <v>260450.47239985748</v>
      </c>
      <c r="S14" s="308">
        <f t="shared" si="14"/>
        <v>170</v>
      </c>
      <c r="T14" s="99"/>
      <c r="U14" s="99">
        <f t="shared" si="9"/>
        <v>44276580</v>
      </c>
      <c r="V14" s="300">
        <f>SUM(U13:U14)</f>
        <v>88311212</v>
      </c>
      <c r="W14" s="300">
        <f>SUM(T13:T14)</f>
        <v>0</v>
      </c>
      <c r="X14" s="301">
        <f>SUM(V14:W14)</f>
        <v>88311212</v>
      </c>
      <c r="Y14" s="97">
        <v>40466</v>
      </c>
      <c r="Z14" s="99">
        <f t="shared" si="10"/>
        <v>0</v>
      </c>
      <c r="AA14" s="144">
        <f t="shared" si="11"/>
        <v>120373907</v>
      </c>
      <c r="AB14" s="300">
        <f>SUM(AA13:AA14)</f>
        <v>240090034</v>
      </c>
      <c r="AC14" s="300">
        <f>SUM(Z13:Z14)</f>
        <v>0</v>
      </c>
      <c r="AD14" s="301">
        <f>SUM(AB14:AC14)</f>
        <v>240090034</v>
      </c>
    </row>
    <row r="15" spans="1:30" ht="12.75">
      <c r="A15" s="103">
        <v>40648</v>
      </c>
      <c r="B15" s="435">
        <f t="shared" si="1"/>
        <v>182</v>
      </c>
      <c r="C15" s="42">
        <f t="shared" si="2"/>
        <v>21270199</v>
      </c>
      <c r="D15" s="436"/>
      <c r="E15" s="299">
        <f t="shared" si="12"/>
        <v>0.0414</v>
      </c>
      <c r="F15" s="532">
        <f t="shared" si="5"/>
        <v>445185.26507</v>
      </c>
      <c r="G15" s="306">
        <f t="shared" si="13"/>
        <v>170</v>
      </c>
      <c r="H15" s="42"/>
      <c r="I15" s="42">
        <f t="shared" si="6"/>
        <v>75681495</v>
      </c>
      <c r="J15" s="437"/>
      <c r="K15" s="104"/>
      <c r="L15" s="242"/>
      <c r="M15" s="103">
        <v>40648</v>
      </c>
      <c r="N15" s="435">
        <f t="shared" si="3"/>
        <v>182</v>
      </c>
      <c r="O15" s="42">
        <f t="shared" si="4"/>
        <v>13245033</v>
      </c>
      <c r="P15" s="436"/>
      <c r="Q15" s="517">
        <f t="shared" si="7"/>
        <v>0.0386833</v>
      </c>
      <c r="R15" s="532">
        <f t="shared" si="8"/>
        <v>259027.24577472167</v>
      </c>
      <c r="S15" s="306">
        <f t="shared" si="14"/>
        <v>170</v>
      </c>
      <c r="T15" s="42"/>
      <c r="U15" s="42">
        <f t="shared" si="9"/>
        <v>44034632</v>
      </c>
      <c r="V15" s="437"/>
      <c r="W15" s="104"/>
      <c r="X15" s="242"/>
      <c r="Y15" s="103">
        <v>40648</v>
      </c>
      <c r="Z15" s="42">
        <f t="shared" si="10"/>
        <v>0</v>
      </c>
      <c r="AA15" s="139">
        <f t="shared" si="11"/>
        <v>119716127</v>
      </c>
      <c r="AB15" s="437"/>
      <c r="AC15" s="104"/>
      <c r="AD15" s="242"/>
    </row>
    <row r="16" spans="1:30" ht="12.75">
      <c r="A16" s="97">
        <v>40831</v>
      </c>
      <c r="B16" s="187">
        <f t="shared" si="1"/>
        <v>183</v>
      </c>
      <c r="C16" s="99">
        <f t="shared" si="2"/>
        <v>20036527.458</v>
      </c>
      <c r="D16" s="540">
        <v>1233671.542</v>
      </c>
      <c r="E16" s="518">
        <f t="shared" si="12"/>
        <v>0.0414</v>
      </c>
      <c r="F16" s="536">
        <f t="shared" si="5"/>
        <v>447631.337955</v>
      </c>
      <c r="G16" s="308">
        <f t="shared" si="13"/>
        <v>170</v>
      </c>
      <c r="H16" s="99">
        <f>ROUND(D16*G16,0)</f>
        <v>209724162</v>
      </c>
      <c r="I16" s="99">
        <f t="shared" si="6"/>
        <v>76097327</v>
      </c>
      <c r="J16" s="300">
        <f>SUM(I15:I16)</f>
        <v>151778822</v>
      </c>
      <c r="K16" s="300">
        <f>SUM(H15:H16)</f>
        <v>209724162</v>
      </c>
      <c r="L16" s="301">
        <f>SUM(J16:K16)</f>
        <v>361502984</v>
      </c>
      <c r="M16" s="97">
        <v>40831</v>
      </c>
      <c r="N16" s="187">
        <f t="shared" si="3"/>
        <v>183</v>
      </c>
      <c r="O16" s="99">
        <f t="shared" si="4"/>
        <v>12476821.086</v>
      </c>
      <c r="P16" s="540">
        <v>768211.914</v>
      </c>
      <c r="Q16" s="544">
        <f t="shared" si="7"/>
        <v>0.0386833</v>
      </c>
      <c r="R16" s="536">
        <f t="shared" si="8"/>
        <v>260450.47239985748</v>
      </c>
      <c r="S16" s="308">
        <f t="shared" si="14"/>
        <v>170</v>
      </c>
      <c r="T16" s="99">
        <f>ROUND(P16*S16,0)</f>
        <v>130596025</v>
      </c>
      <c r="U16" s="99">
        <f t="shared" si="9"/>
        <v>44276580</v>
      </c>
      <c r="V16" s="300">
        <f>SUM(U15:U16)</f>
        <v>88311212</v>
      </c>
      <c r="W16" s="300">
        <f>SUM(T15:T16)</f>
        <v>130596025</v>
      </c>
      <c r="X16" s="301">
        <f>SUM(V16:W16)</f>
        <v>218907237</v>
      </c>
      <c r="Y16" s="97">
        <v>40831</v>
      </c>
      <c r="Z16" s="99">
        <f t="shared" si="10"/>
        <v>340320187</v>
      </c>
      <c r="AA16" s="144">
        <f t="shared" si="11"/>
        <v>120373907</v>
      </c>
      <c r="AB16" s="300">
        <f>SUM(AA15:AA16)</f>
        <v>240090034</v>
      </c>
      <c r="AC16" s="300">
        <f>SUM(Z15:Z16)</f>
        <v>340320187</v>
      </c>
      <c r="AD16" s="301">
        <f>SUM(AB16:AC16)</f>
        <v>580410221</v>
      </c>
    </row>
    <row r="17" spans="1:30" ht="12.75">
      <c r="A17" s="103">
        <v>41014</v>
      </c>
      <c r="B17" s="435">
        <f t="shared" si="1"/>
        <v>183</v>
      </c>
      <c r="C17" s="42">
        <f t="shared" si="2"/>
        <v>20036527.458</v>
      </c>
      <c r="D17" s="541"/>
      <c r="E17" s="299">
        <f t="shared" si="12"/>
        <v>0.0414</v>
      </c>
      <c r="F17" s="532">
        <f t="shared" si="5"/>
        <v>421668.72035361</v>
      </c>
      <c r="G17" s="306">
        <f t="shared" si="13"/>
        <v>170</v>
      </c>
      <c r="H17" s="42"/>
      <c r="I17" s="42">
        <f t="shared" si="6"/>
        <v>71683682</v>
      </c>
      <c r="J17" s="437"/>
      <c r="K17" s="104"/>
      <c r="L17" s="242"/>
      <c r="M17" s="103">
        <v>41014</v>
      </c>
      <c r="N17" s="435">
        <f t="shared" si="3"/>
        <v>183</v>
      </c>
      <c r="O17" s="42">
        <f t="shared" si="4"/>
        <v>12476821.086</v>
      </c>
      <c r="P17" s="541"/>
      <c r="Q17" s="517">
        <f t="shared" si="7"/>
        <v>0.0386833</v>
      </c>
      <c r="R17" s="532">
        <f t="shared" si="8"/>
        <v>245344.34500066572</v>
      </c>
      <c r="S17" s="306">
        <f t="shared" si="14"/>
        <v>170</v>
      </c>
      <c r="T17" s="42"/>
      <c r="U17" s="42">
        <f t="shared" si="9"/>
        <v>41708539</v>
      </c>
      <c r="V17" s="437"/>
      <c r="W17" s="104"/>
      <c r="X17" s="242"/>
      <c r="Y17" s="103">
        <v>41014</v>
      </c>
      <c r="Z17" s="42">
        <f t="shared" si="10"/>
        <v>0</v>
      </c>
      <c r="AA17" s="139">
        <f t="shared" si="11"/>
        <v>113392221</v>
      </c>
      <c r="AB17" s="437"/>
      <c r="AC17" s="104"/>
      <c r="AD17" s="242"/>
    </row>
    <row r="18" spans="1:30" ht="12.75">
      <c r="A18" s="97">
        <v>41197</v>
      </c>
      <c r="B18" s="187">
        <f t="shared" si="1"/>
        <v>183</v>
      </c>
      <c r="C18" s="99">
        <f t="shared" si="2"/>
        <v>18802855.916</v>
      </c>
      <c r="D18" s="540">
        <f>D16</f>
        <v>1233671.542</v>
      </c>
      <c r="E18" s="518">
        <f t="shared" si="12"/>
        <v>0.0414</v>
      </c>
      <c r="F18" s="536">
        <f t="shared" si="5"/>
        <v>421668.72035361</v>
      </c>
      <c r="G18" s="308">
        <f t="shared" si="13"/>
        <v>170</v>
      </c>
      <c r="H18" s="99">
        <f>ROUND(D18*G18,0)</f>
        <v>209724162</v>
      </c>
      <c r="I18" s="99">
        <f t="shared" si="6"/>
        <v>71683682</v>
      </c>
      <c r="J18" s="300">
        <f>SUM(I17:I18)</f>
        <v>143367364</v>
      </c>
      <c r="K18" s="300">
        <f>SUM(H17:H18)</f>
        <v>209724162</v>
      </c>
      <c r="L18" s="301">
        <f>SUM(J18:K18)</f>
        <v>353091526</v>
      </c>
      <c r="M18" s="97">
        <v>41197</v>
      </c>
      <c r="N18" s="187">
        <f t="shared" si="3"/>
        <v>183</v>
      </c>
      <c r="O18" s="99">
        <f t="shared" si="4"/>
        <v>11708609.171999998</v>
      </c>
      <c r="P18" s="540">
        <f>P16</f>
        <v>768211.914</v>
      </c>
      <c r="Q18" s="544">
        <f t="shared" si="7"/>
        <v>0.0386833</v>
      </c>
      <c r="R18" s="536">
        <f t="shared" si="8"/>
        <v>245344.34500066572</v>
      </c>
      <c r="S18" s="308">
        <f t="shared" si="14"/>
        <v>170</v>
      </c>
      <c r="T18" s="99">
        <f>ROUND(P18*S18,0)</f>
        <v>130596025</v>
      </c>
      <c r="U18" s="99">
        <f t="shared" si="9"/>
        <v>41708539</v>
      </c>
      <c r="V18" s="300">
        <f>SUM(U17:U18)</f>
        <v>83417078</v>
      </c>
      <c r="W18" s="300">
        <f>SUM(T17:T18)</f>
        <v>130596025</v>
      </c>
      <c r="X18" s="301">
        <f>SUM(V18:W18)</f>
        <v>214013103</v>
      </c>
      <c r="Y18" s="97">
        <v>41197</v>
      </c>
      <c r="Z18" s="99">
        <f t="shared" si="10"/>
        <v>340320187</v>
      </c>
      <c r="AA18" s="144">
        <f t="shared" si="11"/>
        <v>113392221</v>
      </c>
      <c r="AB18" s="300">
        <f>SUM(AA17:AA18)</f>
        <v>226784442</v>
      </c>
      <c r="AC18" s="300">
        <f>SUM(Z17:Z18)</f>
        <v>340320187</v>
      </c>
      <c r="AD18" s="301">
        <f>SUM(AB18:AC18)</f>
        <v>567104629</v>
      </c>
    </row>
    <row r="19" spans="1:30" ht="12.75">
      <c r="A19" s="103">
        <v>41379</v>
      </c>
      <c r="B19" s="435">
        <f t="shared" si="1"/>
        <v>182</v>
      </c>
      <c r="C19" s="42">
        <f t="shared" si="2"/>
        <v>18802855.916</v>
      </c>
      <c r="D19" s="541"/>
      <c r="E19" s="299">
        <f t="shared" si="12"/>
        <v>0.0414</v>
      </c>
      <c r="F19" s="532">
        <f t="shared" si="5"/>
        <v>393543.77432188</v>
      </c>
      <c r="G19" s="306">
        <f t="shared" si="13"/>
        <v>170</v>
      </c>
      <c r="H19" s="42"/>
      <c r="I19" s="42">
        <f t="shared" si="6"/>
        <v>66902442</v>
      </c>
      <c r="J19" s="437"/>
      <c r="K19" s="104"/>
      <c r="L19" s="242"/>
      <c r="M19" s="103">
        <v>41379</v>
      </c>
      <c r="N19" s="435">
        <f t="shared" si="3"/>
        <v>182</v>
      </c>
      <c r="O19" s="42">
        <f t="shared" si="4"/>
        <v>11708609.171999998</v>
      </c>
      <c r="P19" s="541"/>
      <c r="Q19" s="517">
        <f t="shared" si="7"/>
        <v>0.0386833</v>
      </c>
      <c r="R19" s="532">
        <f t="shared" si="8"/>
        <v>228980.0852648539</v>
      </c>
      <c r="S19" s="306">
        <f t="shared" si="14"/>
        <v>170</v>
      </c>
      <c r="T19" s="42"/>
      <c r="U19" s="42">
        <f t="shared" si="9"/>
        <v>38926614</v>
      </c>
      <c r="V19" s="437"/>
      <c r="W19" s="104"/>
      <c r="X19" s="242"/>
      <c r="Y19" s="103">
        <v>41379</v>
      </c>
      <c r="Z19" s="42">
        <f t="shared" si="10"/>
        <v>0</v>
      </c>
      <c r="AA19" s="139">
        <f t="shared" si="11"/>
        <v>105829056</v>
      </c>
      <c r="AB19" s="437"/>
      <c r="AC19" s="104"/>
      <c r="AD19" s="242"/>
    </row>
    <row r="20" spans="1:30" ht="12.75">
      <c r="A20" s="97">
        <v>41562</v>
      </c>
      <c r="B20" s="187">
        <f t="shared" si="1"/>
        <v>183</v>
      </c>
      <c r="C20" s="99">
        <f t="shared" si="2"/>
        <v>17569184.374</v>
      </c>
      <c r="D20" s="540">
        <f>D18</f>
        <v>1233671.542</v>
      </c>
      <c r="E20" s="518">
        <f t="shared" si="12"/>
        <v>0.0414</v>
      </c>
      <c r="F20" s="536">
        <f t="shared" si="5"/>
        <v>395706.10275222</v>
      </c>
      <c r="G20" s="308">
        <f t="shared" si="13"/>
        <v>170</v>
      </c>
      <c r="H20" s="99">
        <f>ROUND(D20*G20,0)</f>
        <v>209724162</v>
      </c>
      <c r="I20" s="99">
        <f t="shared" si="6"/>
        <v>67270037</v>
      </c>
      <c r="J20" s="300">
        <f>SUM(I19:I20)</f>
        <v>134172479</v>
      </c>
      <c r="K20" s="300">
        <f>SUM(H19:H20)</f>
        <v>209724162</v>
      </c>
      <c r="L20" s="301">
        <f>SUM(J20:K20)</f>
        <v>343896641</v>
      </c>
      <c r="M20" s="97">
        <v>41562</v>
      </c>
      <c r="N20" s="187">
        <f t="shared" si="3"/>
        <v>183</v>
      </c>
      <c r="O20" s="99">
        <f t="shared" si="4"/>
        <v>10940397.257999998</v>
      </c>
      <c r="P20" s="540">
        <f>P18</f>
        <v>768211.914</v>
      </c>
      <c r="Q20" s="544">
        <f t="shared" si="7"/>
        <v>0.0386833</v>
      </c>
      <c r="R20" s="536">
        <f t="shared" si="8"/>
        <v>230238.21760147397</v>
      </c>
      <c r="S20" s="308">
        <f t="shared" si="14"/>
        <v>170</v>
      </c>
      <c r="T20" s="99">
        <f>ROUND(P20*S20,0)</f>
        <v>130596025</v>
      </c>
      <c r="U20" s="99">
        <f t="shared" si="9"/>
        <v>39140497</v>
      </c>
      <c r="V20" s="300">
        <f>SUM(U19:U20)</f>
        <v>78067111</v>
      </c>
      <c r="W20" s="300">
        <f>SUM(T19:T20)</f>
        <v>130596025</v>
      </c>
      <c r="X20" s="301">
        <f>SUM(V20:W20)</f>
        <v>208663136</v>
      </c>
      <c r="Y20" s="97">
        <v>41562</v>
      </c>
      <c r="Z20" s="99">
        <f t="shared" si="10"/>
        <v>340320187</v>
      </c>
      <c r="AA20" s="144">
        <f t="shared" si="11"/>
        <v>106410534</v>
      </c>
      <c r="AB20" s="300">
        <f>SUM(AA19:AA20)</f>
        <v>212239590</v>
      </c>
      <c r="AC20" s="300">
        <f>SUM(Z19:Z20)</f>
        <v>340320187</v>
      </c>
      <c r="AD20" s="301">
        <f>SUM(AB20:AC20)</f>
        <v>552559777</v>
      </c>
    </row>
    <row r="21" spans="1:30" ht="12.75">
      <c r="A21" s="103">
        <v>41744</v>
      </c>
      <c r="B21" s="435">
        <f t="shared" si="1"/>
        <v>182</v>
      </c>
      <c r="C21" s="42">
        <f t="shared" si="2"/>
        <v>17569184.374</v>
      </c>
      <c r="D21" s="541"/>
      <c r="E21" s="299">
        <f t="shared" si="12"/>
        <v>0.0414</v>
      </c>
      <c r="F21" s="532">
        <f t="shared" si="5"/>
        <v>367723.02894782</v>
      </c>
      <c r="G21" s="306">
        <f t="shared" si="13"/>
        <v>170</v>
      </c>
      <c r="H21" s="42"/>
      <c r="I21" s="42">
        <f t="shared" si="6"/>
        <v>62512915</v>
      </c>
      <c r="J21" s="437"/>
      <c r="K21" s="104"/>
      <c r="L21" s="242"/>
      <c r="M21" s="103">
        <v>41744</v>
      </c>
      <c r="N21" s="435">
        <f t="shared" si="3"/>
        <v>182</v>
      </c>
      <c r="O21" s="42">
        <f t="shared" si="4"/>
        <v>10940397.257999998</v>
      </c>
      <c r="P21" s="541"/>
      <c r="Q21" s="517">
        <f t="shared" si="7"/>
        <v>0.0386833</v>
      </c>
      <c r="R21" s="532">
        <f t="shared" si="8"/>
        <v>213956.50500992002</v>
      </c>
      <c r="S21" s="306">
        <f t="shared" si="14"/>
        <v>170</v>
      </c>
      <c r="T21" s="42"/>
      <c r="U21" s="42">
        <f t="shared" si="9"/>
        <v>36372606</v>
      </c>
      <c r="V21" s="437"/>
      <c r="W21" s="104"/>
      <c r="X21" s="242"/>
      <c r="Y21" s="103">
        <v>41744</v>
      </c>
      <c r="Z21" s="42">
        <f t="shared" si="10"/>
        <v>0</v>
      </c>
      <c r="AA21" s="139">
        <f t="shared" si="11"/>
        <v>98885521</v>
      </c>
      <c r="AB21" s="437"/>
      <c r="AC21" s="104"/>
      <c r="AD21" s="242"/>
    </row>
    <row r="22" spans="1:30" ht="12.75">
      <c r="A22" s="97">
        <v>41927</v>
      </c>
      <c r="B22" s="187">
        <f t="shared" si="1"/>
        <v>183</v>
      </c>
      <c r="C22" s="99">
        <f t="shared" si="2"/>
        <v>16335512.832000002</v>
      </c>
      <c r="D22" s="540">
        <f>D20</f>
        <v>1233671.542</v>
      </c>
      <c r="E22" s="518">
        <f t="shared" si="12"/>
        <v>0.0414</v>
      </c>
      <c r="F22" s="536">
        <f t="shared" si="5"/>
        <v>369743.48515083</v>
      </c>
      <c r="G22" s="308">
        <f t="shared" si="13"/>
        <v>170</v>
      </c>
      <c r="H22" s="99">
        <f>ROUND(D22*G22,0)</f>
        <v>209724162</v>
      </c>
      <c r="I22" s="99">
        <f t="shared" si="6"/>
        <v>62856392</v>
      </c>
      <c r="J22" s="300">
        <f>SUM(I21:I22)</f>
        <v>125369307</v>
      </c>
      <c r="K22" s="300">
        <f>SUM(H21:H22)</f>
        <v>209724162</v>
      </c>
      <c r="L22" s="301">
        <f>SUM(J22:K22)</f>
        <v>335093469</v>
      </c>
      <c r="M22" s="97">
        <v>41927</v>
      </c>
      <c r="N22" s="187">
        <f t="shared" si="3"/>
        <v>183</v>
      </c>
      <c r="O22" s="99">
        <f t="shared" si="4"/>
        <v>10172185.343999997</v>
      </c>
      <c r="P22" s="540">
        <f>P20</f>
        <v>768211.914</v>
      </c>
      <c r="Q22" s="544">
        <f t="shared" si="7"/>
        <v>0.0386833</v>
      </c>
      <c r="R22" s="536">
        <f t="shared" si="8"/>
        <v>215132.0902022822</v>
      </c>
      <c r="S22" s="308">
        <f t="shared" si="14"/>
        <v>170</v>
      </c>
      <c r="T22" s="99">
        <f>ROUND(P22*S22,0)</f>
        <v>130596025</v>
      </c>
      <c r="U22" s="99">
        <f t="shared" si="9"/>
        <v>36572455</v>
      </c>
      <c r="V22" s="300">
        <f>SUM(U21:U22)</f>
        <v>72945061</v>
      </c>
      <c r="W22" s="300">
        <f>SUM(T21:T22)</f>
        <v>130596025</v>
      </c>
      <c r="X22" s="301">
        <f>SUM(V22:W22)</f>
        <v>203541086</v>
      </c>
      <c r="Y22" s="97">
        <v>41927</v>
      </c>
      <c r="Z22" s="99">
        <f t="shared" si="10"/>
        <v>340320187</v>
      </c>
      <c r="AA22" s="144">
        <f t="shared" si="11"/>
        <v>99428847</v>
      </c>
      <c r="AB22" s="300">
        <f>SUM(AA21:AA22)</f>
        <v>198314368</v>
      </c>
      <c r="AC22" s="300">
        <f>SUM(Z21:Z22)</f>
        <v>340320187</v>
      </c>
      <c r="AD22" s="301">
        <f>SUM(AB22:AC22)</f>
        <v>538634555</v>
      </c>
    </row>
    <row r="23" spans="1:30" ht="12.75">
      <c r="A23" s="103">
        <v>42109</v>
      </c>
      <c r="B23" s="435">
        <f t="shared" si="1"/>
        <v>182</v>
      </c>
      <c r="C23" s="42">
        <f t="shared" si="2"/>
        <v>16335512.832000002</v>
      </c>
      <c r="D23" s="541"/>
      <c r="E23" s="299">
        <f t="shared" si="12"/>
        <v>0.0414</v>
      </c>
      <c r="F23" s="532">
        <f t="shared" si="5"/>
        <v>341902.28357376</v>
      </c>
      <c r="G23" s="306">
        <f t="shared" si="13"/>
        <v>170</v>
      </c>
      <c r="H23" s="42"/>
      <c r="I23" s="42">
        <f t="shared" si="6"/>
        <v>58123388</v>
      </c>
      <c r="J23" s="437"/>
      <c r="K23" s="104"/>
      <c r="L23" s="242"/>
      <c r="M23" s="103">
        <v>42109</v>
      </c>
      <c r="N23" s="435">
        <f t="shared" si="3"/>
        <v>182</v>
      </c>
      <c r="O23" s="42">
        <f t="shared" si="4"/>
        <v>10172185.343999997</v>
      </c>
      <c r="P23" s="541"/>
      <c r="Q23" s="517">
        <f t="shared" si="7"/>
        <v>0.0386833</v>
      </c>
      <c r="R23" s="532">
        <f t="shared" si="8"/>
        <v>198932.92475498616</v>
      </c>
      <c r="S23" s="306">
        <f t="shared" si="14"/>
        <v>170</v>
      </c>
      <c r="T23" s="42"/>
      <c r="U23" s="42">
        <f t="shared" si="9"/>
        <v>33818597</v>
      </c>
      <c r="V23" s="437"/>
      <c r="W23" s="104"/>
      <c r="X23" s="242"/>
      <c r="Y23" s="103">
        <v>42109</v>
      </c>
      <c r="Z23" s="42">
        <f t="shared" si="10"/>
        <v>0</v>
      </c>
      <c r="AA23" s="139">
        <f t="shared" si="11"/>
        <v>91941985</v>
      </c>
      <c r="AB23" s="437"/>
      <c r="AC23" s="104"/>
      <c r="AD23" s="242"/>
    </row>
    <row r="24" spans="1:30" ht="12.75">
      <c r="A24" s="97">
        <v>42292</v>
      </c>
      <c r="B24" s="187">
        <f t="shared" si="1"/>
        <v>183</v>
      </c>
      <c r="C24" s="99">
        <f t="shared" si="2"/>
        <v>15101841.290000003</v>
      </c>
      <c r="D24" s="540">
        <f>D22</f>
        <v>1233671.542</v>
      </c>
      <c r="E24" s="518">
        <f t="shared" si="12"/>
        <v>0.0414</v>
      </c>
      <c r="F24" s="536">
        <f t="shared" si="5"/>
        <v>343780.86754944</v>
      </c>
      <c r="G24" s="308">
        <f t="shared" si="13"/>
        <v>170</v>
      </c>
      <c r="H24" s="99">
        <f>ROUND(D24*G24,0)</f>
        <v>209724162</v>
      </c>
      <c r="I24" s="99">
        <f t="shared" si="6"/>
        <v>58442747</v>
      </c>
      <c r="J24" s="300">
        <f>SUM(I23:I24)</f>
        <v>116566135</v>
      </c>
      <c r="K24" s="300">
        <f>SUM(H23:H24)</f>
        <v>209724162</v>
      </c>
      <c r="L24" s="301">
        <f>SUM(J24:K24)</f>
        <v>326290297</v>
      </c>
      <c r="M24" s="97">
        <v>42292</v>
      </c>
      <c r="N24" s="187">
        <f t="shared" si="3"/>
        <v>183</v>
      </c>
      <c r="O24" s="99">
        <f t="shared" si="4"/>
        <v>9403973.429999996</v>
      </c>
      <c r="P24" s="540">
        <f>P22</f>
        <v>768211.914</v>
      </c>
      <c r="Q24" s="544">
        <f t="shared" si="7"/>
        <v>0.0386833</v>
      </c>
      <c r="R24" s="536">
        <f t="shared" si="8"/>
        <v>200025.9628030905</v>
      </c>
      <c r="S24" s="308">
        <f t="shared" si="14"/>
        <v>170</v>
      </c>
      <c r="T24" s="99">
        <f>ROUND(P24*S24,0)</f>
        <v>130596025</v>
      </c>
      <c r="U24" s="99">
        <f t="shared" si="9"/>
        <v>34004414</v>
      </c>
      <c r="V24" s="300">
        <f>SUM(U23:U24)</f>
        <v>67823011</v>
      </c>
      <c r="W24" s="300">
        <f>SUM(T23:T24)</f>
        <v>130596025</v>
      </c>
      <c r="X24" s="301">
        <f>SUM(V24:W24)</f>
        <v>198419036</v>
      </c>
      <c r="Y24" s="97">
        <v>42292</v>
      </c>
      <c r="Z24" s="99">
        <f t="shared" si="10"/>
        <v>340320187</v>
      </c>
      <c r="AA24" s="144">
        <f t="shared" si="11"/>
        <v>92447161</v>
      </c>
      <c r="AB24" s="300">
        <f>SUM(AA23:AA24)</f>
        <v>184389146</v>
      </c>
      <c r="AC24" s="300">
        <f>SUM(Z23:Z24)</f>
        <v>340320187</v>
      </c>
      <c r="AD24" s="301">
        <f>SUM(AB24:AC24)</f>
        <v>524709333</v>
      </c>
    </row>
    <row r="25" spans="1:30" ht="12.75">
      <c r="A25" s="103">
        <v>42475</v>
      </c>
      <c r="B25" s="435">
        <f t="shared" si="1"/>
        <v>183</v>
      </c>
      <c r="C25" s="42">
        <f t="shared" si="2"/>
        <v>15101841.290000003</v>
      </c>
      <c r="D25" s="541"/>
      <c r="E25" s="299">
        <f t="shared" si="12"/>
        <v>0.0414</v>
      </c>
      <c r="F25" s="532">
        <f t="shared" si="5"/>
        <v>317818.24994805007</v>
      </c>
      <c r="G25" s="306">
        <f t="shared" si="13"/>
        <v>170</v>
      </c>
      <c r="H25" s="42"/>
      <c r="I25" s="42">
        <f t="shared" si="6"/>
        <v>54029102</v>
      </c>
      <c r="J25" s="437"/>
      <c r="K25" s="104"/>
      <c r="L25" s="242"/>
      <c r="M25" s="103">
        <v>42475</v>
      </c>
      <c r="N25" s="435">
        <f t="shared" si="3"/>
        <v>183</v>
      </c>
      <c r="O25" s="42">
        <f t="shared" si="4"/>
        <v>9403973.429999996</v>
      </c>
      <c r="P25" s="541"/>
      <c r="Q25" s="517">
        <f t="shared" si="7"/>
        <v>0.0386833</v>
      </c>
      <c r="R25" s="532">
        <f t="shared" si="8"/>
        <v>184919.83540389873</v>
      </c>
      <c r="S25" s="306">
        <f t="shared" si="14"/>
        <v>170</v>
      </c>
      <c r="T25" s="42"/>
      <c r="U25" s="42">
        <f t="shared" si="9"/>
        <v>31436372</v>
      </c>
      <c r="V25" s="437"/>
      <c r="W25" s="104"/>
      <c r="X25" s="242"/>
      <c r="Y25" s="103">
        <v>42475</v>
      </c>
      <c r="Z25" s="42">
        <f t="shared" si="10"/>
        <v>0</v>
      </c>
      <c r="AA25" s="139">
        <f t="shared" si="11"/>
        <v>85465474</v>
      </c>
      <c r="AB25" s="437"/>
      <c r="AC25" s="104"/>
      <c r="AD25" s="242"/>
    </row>
    <row r="26" spans="1:30" ht="12.75">
      <c r="A26" s="97">
        <v>42658</v>
      </c>
      <c r="B26" s="187">
        <f t="shared" si="1"/>
        <v>183</v>
      </c>
      <c r="C26" s="99">
        <f t="shared" si="2"/>
        <v>13868169.748000003</v>
      </c>
      <c r="D26" s="540">
        <f>D24</f>
        <v>1233671.542</v>
      </c>
      <c r="E26" s="518">
        <f t="shared" si="12"/>
        <v>0.0414</v>
      </c>
      <c r="F26" s="536">
        <f t="shared" si="5"/>
        <v>317818.24994805007</v>
      </c>
      <c r="G26" s="308">
        <f t="shared" si="13"/>
        <v>170</v>
      </c>
      <c r="H26" s="99">
        <f>ROUND(D26*G26,0)</f>
        <v>209724162</v>
      </c>
      <c r="I26" s="99">
        <f t="shared" si="6"/>
        <v>54029102</v>
      </c>
      <c r="J26" s="300">
        <f>SUM(I25:I26)</f>
        <v>108058204</v>
      </c>
      <c r="K26" s="300">
        <f>SUM(H25:H26)</f>
        <v>209724162</v>
      </c>
      <c r="L26" s="301">
        <f>SUM(J26:K26)</f>
        <v>317782366</v>
      </c>
      <c r="M26" s="97">
        <v>42658</v>
      </c>
      <c r="N26" s="187">
        <f t="shared" si="3"/>
        <v>183</v>
      </c>
      <c r="O26" s="99">
        <f t="shared" si="4"/>
        <v>8635761.515999995</v>
      </c>
      <c r="P26" s="540">
        <f>P24</f>
        <v>768211.914</v>
      </c>
      <c r="Q26" s="544">
        <f t="shared" si="7"/>
        <v>0.0386833</v>
      </c>
      <c r="R26" s="536">
        <f t="shared" si="8"/>
        <v>184919.83540389873</v>
      </c>
      <c r="S26" s="308">
        <f t="shared" si="14"/>
        <v>170</v>
      </c>
      <c r="T26" s="99">
        <f>ROUND(P26*S26,0)</f>
        <v>130596025</v>
      </c>
      <c r="U26" s="99">
        <f t="shared" si="9"/>
        <v>31436372</v>
      </c>
      <c r="V26" s="300">
        <f>SUM(U25:U26)</f>
        <v>62872744</v>
      </c>
      <c r="W26" s="300">
        <f>SUM(T25:T26)</f>
        <v>130596025</v>
      </c>
      <c r="X26" s="301">
        <f>SUM(V26:W26)</f>
        <v>193468769</v>
      </c>
      <c r="Y26" s="97">
        <v>42658</v>
      </c>
      <c r="Z26" s="99">
        <f t="shared" si="10"/>
        <v>340320187</v>
      </c>
      <c r="AA26" s="144">
        <f t="shared" si="11"/>
        <v>85465474</v>
      </c>
      <c r="AB26" s="300">
        <f>SUM(AA25:AA26)</f>
        <v>170930948</v>
      </c>
      <c r="AC26" s="300">
        <f>SUM(Z25:Z26)</f>
        <v>340320187</v>
      </c>
      <c r="AD26" s="301">
        <f>SUM(AB26:AC26)</f>
        <v>511251135</v>
      </c>
    </row>
    <row r="27" spans="1:30" ht="12.75">
      <c r="A27" s="103">
        <v>42840</v>
      </c>
      <c r="B27" s="435">
        <f t="shared" si="1"/>
        <v>182</v>
      </c>
      <c r="C27" s="42">
        <f t="shared" si="2"/>
        <v>13868169.748000003</v>
      </c>
      <c r="D27" s="541"/>
      <c r="E27" s="299">
        <f t="shared" si="12"/>
        <v>0.0414</v>
      </c>
      <c r="F27" s="532">
        <f t="shared" si="5"/>
        <v>290260.79282564</v>
      </c>
      <c r="G27" s="306">
        <f t="shared" si="13"/>
        <v>170</v>
      </c>
      <c r="H27" s="42"/>
      <c r="I27" s="42">
        <f t="shared" si="6"/>
        <v>49344335</v>
      </c>
      <c r="J27" s="437"/>
      <c r="K27" s="104"/>
      <c r="L27" s="242"/>
      <c r="M27" s="103">
        <v>42840</v>
      </c>
      <c r="N27" s="435">
        <f t="shared" si="3"/>
        <v>182</v>
      </c>
      <c r="O27" s="42">
        <f t="shared" si="4"/>
        <v>8635761.515999995</v>
      </c>
      <c r="P27" s="541"/>
      <c r="Q27" s="517">
        <f t="shared" si="7"/>
        <v>0.0386833</v>
      </c>
      <c r="R27" s="532">
        <f t="shared" si="8"/>
        <v>168885.7642451184</v>
      </c>
      <c r="S27" s="306">
        <f t="shared" si="14"/>
        <v>170</v>
      </c>
      <c r="T27" s="42"/>
      <c r="U27" s="42">
        <f t="shared" si="9"/>
        <v>28710580</v>
      </c>
      <c r="V27" s="437"/>
      <c r="W27" s="104"/>
      <c r="X27" s="242"/>
      <c r="Y27" s="103">
        <v>42840</v>
      </c>
      <c r="Z27" s="42">
        <f t="shared" si="10"/>
        <v>0</v>
      </c>
      <c r="AA27" s="139">
        <f t="shared" si="11"/>
        <v>78054915</v>
      </c>
      <c r="AB27" s="437"/>
      <c r="AC27" s="104"/>
      <c r="AD27" s="242"/>
    </row>
    <row r="28" spans="1:30" ht="12.75">
      <c r="A28" s="97">
        <v>43023</v>
      </c>
      <c r="B28" s="187">
        <f t="shared" si="1"/>
        <v>183</v>
      </c>
      <c r="C28" s="99">
        <f t="shared" si="2"/>
        <v>12634498.206000004</v>
      </c>
      <c r="D28" s="540">
        <f>D26</f>
        <v>1233671.542</v>
      </c>
      <c r="E28" s="518">
        <f t="shared" si="12"/>
        <v>0.0414</v>
      </c>
      <c r="F28" s="536">
        <f t="shared" si="5"/>
        <v>291855.63234666</v>
      </c>
      <c r="G28" s="308">
        <f t="shared" si="13"/>
        <v>170</v>
      </c>
      <c r="H28" s="99">
        <f>ROUND(D28*G28,0)</f>
        <v>209724162</v>
      </c>
      <c r="I28" s="99">
        <f t="shared" si="6"/>
        <v>49615457</v>
      </c>
      <c r="J28" s="300">
        <f>SUM(I27:I28)</f>
        <v>98959792</v>
      </c>
      <c r="K28" s="300">
        <f>SUM(H27:H28)</f>
        <v>209724162</v>
      </c>
      <c r="L28" s="301">
        <f>SUM(J28:K28)</f>
        <v>308683954</v>
      </c>
      <c r="M28" s="97">
        <v>43023</v>
      </c>
      <c r="N28" s="187">
        <f t="shared" si="3"/>
        <v>183</v>
      </c>
      <c r="O28" s="99">
        <f t="shared" si="4"/>
        <v>7867549.601999995</v>
      </c>
      <c r="P28" s="540">
        <f>P26</f>
        <v>768211.914</v>
      </c>
      <c r="Q28" s="544">
        <f t="shared" si="7"/>
        <v>0.0386833</v>
      </c>
      <c r="R28" s="536">
        <f t="shared" si="8"/>
        <v>169813.70800470698</v>
      </c>
      <c r="S28" s="308">
        <f t="shared" si="14"/>
        <v>170</v>
      </c>
      <c r="T28" s="99">
        <f>ROUND(P28*S28,0)</f>
        <v>130596025</v>
      </c>
      <c r="U28" s="99">
        <f t="shared" si="9"/>
        <v>28868330</v>
      </c>
      <c r="V28" s="300">
        <f>SUM(U27:U28)</f>
        <v>57578910</v>
      </c>
      <c r="W28" s="300">
        <f>SUM(T27:T28)</f>
        <v>130596025</v>
      </c>
      <c r="X28" s="301">
        <f>SUM(V28:W28)</f>
        <v>188174935</v>
      </c>
      <c r="Y28" s="97">
        <v>43023</v>
      </c>
      <c r="Z28" s="99">
        <f t="shared" si="10"/>
        <v>340320187</v>
      </c>
      <c r="AA28" s="144">
        <f t="shared" si="11"/>
        <v>78483787</v>
      </c>
      <c r="AB28" s="300">
        <f>SUM(AA27:AA28)</f>
        <v>156538702</v>
      </c>
      <c r="AC28" s="300">
        <f>SUM(Z27:Z28)</f>
        <v>340320187</v>
      </c>
      <c r="AD28" s="301">
        <f>SUM(AB28:AC28)</f>
        <v>496858889</v>
      </c>
    </row>
    <row r="29" spans="1:30" ht="12.75">
      <c r="A29" s="103">
        <v>43205</v>
      </c>
      <c r="B29" s="435">
        <f t="shared" si="1"/>
        <v>182</v>
      </c>
      <c r="C29" s="42">
        <f t="shared" si="2"/>
        <v>12634498.206000004</v>
      </c>
      <c r="D29" s="541"/>
      <c r="E29" s="299">
        <f t="shared" si="12"/>
        <v>0.0414</v>
      </c>
      <c r="F29" s="532">
        <f t="shared" si="5"/>
        <v>264440.04745158006</v>
      </c>
      <c r="G29" s="306">
        <f t="shared" si="13"/>
        <v>170</v>
      </c>
      <c r="H29" s="42"/>
      <c r="I29" s="42">
        <f t="shared" si="6"/>
        <v>44954808</v>
      </c>
      <c r="J29" s="437"/>
      <c r="K29" s="104"/>
      <c r="L29" s="242"/>
      <c r="M29" s="103">
        <v>43205</v>
      </c>
      <c r="N29" s="435">
        <f t="shared" si="3"/>
        <v>182</v>
      </c>
      <c r="O29" s="42">
        <f t="shared" si="4"/>
        <v>7867549.601999995</v>
      </c>
      <c r="P29" s="541"/>
      <c r="Q29" s="517">
        <f t="shared" si="7"/>
        <v>0.0386833</v>
      </c>
      <c r="R29" s="532">
        <f t="shared" si="8"/>
        <v>153862.18399018457</v>
      </c>
      <c r="S29" s="306">
        <f t="shared" si="14"/>
        <v>170</v>
      </c>
      <c r="T29" s="42"/>
      <c r="U29" s="42">
        <f t="shared" si="9"/>
        <v>26156571</v>
      </c>
      <c r="V29" s="437"/>
      <c r="W29" s="104"/>
      <c r="X29" s="242"/>
      <c r="Y29" s="103">
        <v>43205</v>
      </c>
      <c r="Z29" s="42">
        <f t="shared" si="10"/>
        <v>0</v>
      </c>
      <c r="AA29" s="139">
        <f t="shared" si="11"/>
        <v>71111379</v>
      </c>
      <c r="AB29" s="437"/>
      <c r="AC29" s="104"/>
      <c r="AD29" s="242"/>
    </row>
    <row r="30" spans="1:30" ht="12.75">
      <c r="A30" s="97">
        <v>43388</v>
      </c>
      <c r="B30" s="187">
        <f t="shared" si="1"/>
        <v>183</v>
      </c>
      <c r="C30" s="99">
        <f t="shared" si="2"/>
        <v>11400826.664000005</v>
      </c>
      <c r="D30" s="540">
        <f>D28</f>
        <v>1233671.542</v>
      </c>
      <c r="E30" s="518">
        <f t="shared" si="12"/>
        <v>0.0414</v>
      </c>
      <c r="F30" s="536">
        <f t="shared" si="5"/>
        <v>265893.0147452701</v>
      </c>
      <c r="G30" s="308">
        <f t="shared" si="13"/>
        <v>170</v>
      </c>
      <c r="H30" s="99">
        <f>ROUND(D30*G30,0)</f>
        <v>209724162</v>
      </c>
      <c r="I30" s="99">
        <f t="shared" si="6"/>
        <v>45201813</v>
      </c>
      <c r="J30" s="300">
        <f>SUM(I29:I30)</f>
        <v>90156621</v>
      </c>
      <c r="K30" s="300">
        <f>SUM(H29:H30)</f>
        <v>209724162</v>
      </c>
      <c r="L30" s="301">
        <f>SUM(J30:K30)</f>
        <v>299880783</v>
      </c>
      <c r="M30" s="97">
        <v>43388</v>
      </c>
      <c r="N30" s="187">
        <f t="shared" si="3"/>
        <v>183</v>
      </c>
      <c r="O30" s="99">
        <f t="shared" si="4"/>
        <v>7099337.687999995</v>
      </c>
      <c r="P30" s="540">
        <f>P28</f>
        <v>768211.914</v>
      </c>
      <c r="Q30" s="544">
        <f t="shared" si="7"/>
        <v>0.0386833</v>
      </c>
      <c r="R30" s="536">
        <f t="shared" si="8"/>
        <v>154707.58060551525</v>
      </c>
      <c r="S30" s="308">
        <f t="shared" si="14"/>
        <v>170</v>
      </c>
      <c r="T30" s="99">
        <f>ROUND(P30*S30,0)</f>
        <v>130596025</v>
      </c>
      <c r="U30" s="99">
        <f t="shared" si="9"/>
        <v>26300289</v>
      </c>
      <c r="V30" s="300">
        <f>SUM(U29:U30)</f>
        <v>52456860</v>
      </c>
      <c r="W30" s="300">
        <f>SUM(T29:T30)</f>
        <v>130596025</v>
      </c>
      <c r="X30" s="301">
        <f>SUM(V30:W30)</f>
        <v>183052885</v>
      </c>
      <c r="Y30" s="97">
        <v>43388</v>
      </c>
      <c r="Z30" s="99">
        <f t="shared" si="10"/>
        <v>340320187</v>
      </c>
      <c r="AA30" s="144">
        <f t="shared" si="11"/>
        <v>71502102</v>
      </c>
      <c r="AB30" s="300">
        <f>SUM(AA29:AA30)</f>
        <v>142613481</v>
      </c>
      <c r="AC30" s="300">
        <f>SUM(Z29:Z30)</f>
        <v>340320187</v>
      </c>
      <c r="AD30" s="301">
        <f>SUM(AB30:AC30)</f>
        <v>482933668</v>
      </c>
    </row>
    <row r="31" spans="1:30" ht="12.75">
      <c r="A31" s="103">
        <v>43570</v>
      </c>
      <c r="B31" s="435">
        <f t="shared" si="1"/>
        <v>182</v>
      </c>
      <c r="C31" s="42">
        <f t="shared" si="2"/>
        <v>11400826.664000005</v>
      </c>
      <c r="D31" s="541"/>
      <c r="E31" s="299">
        <f t="shared" si="12"/>
        <v>0.0414</v>
      </c>
      <c r="F31" s="532">
        <f t="shared" si="5"/>
        <v>238619.30207752011</v>
      </c>
      <c r="G31" s="306">
        <f t="shared" si="13"/>
        <v>170</v>
      </c>
      <c r="H31" s="42"/>
      <c r="I31" s="42">
        <f t="shared" si="6"/>
        <v>40565281</v>
      </c>
      <c r="J31" s="437"/>
      <c r="K31" s="104"/>
      <c r="L31" s="242"/>
      <c r="M31" s="103">
        <v>43570</v>
      </c>
      <c r="N31" s="435">
        <f t="shared" si="3"/>
        <v>182</v>
      </c>
      <c r="O31" s="42">
        <f t="shared" si="4"/>
        <v>7099337.687999995</v>
      </c>
      <c r="P31" s="541"/>
      <c r="Q31" s="517">
        <f t="shared" si="7"/>
        <v>0.0386833</v>
      </c>
      <c r="R31" s="532">
        <f t="shared" si="8"/>
        <v>138838.6037352507</v>
      </c>
      <c r="S31" s="306">
        <f t="shared" si="14"/>
        <v>170</v>
      </c>
      <c r="T31" s="42"/>
      <c r="U31" s="42">
        <f t="shared" si="9"/>
        <v>23602563</v>
      </c>
      <c r="V31" s="437"/>
      <c r="W31" s="104"/>
      <c r="X31" s="242"/>
      <c r="Y31" s="103">
        <v>43570</v>
      </c>
      <c r="Z31" s="42">
        <f t="shared" si="10"/>
        <v>0</v>
      </c>
      <c r="AA31" s="139">
        <f t="shared" si="11"/>
        <v>64167844</v>
      </c>
      <c r="AB31" s="437"/>
      <c r="AC31" s="104"/>
      <c r="AD31" s="242"/>
    </row>
    <row r="32" spans="1:30" ht="12.75">
      <c r="A32" s="97">
        <v>43753</v>
      </c>
      <c r="B32" s="187">
        <f t="shared" si="1"/>
        <v>183</v>
      </c>
      <c r="C32" s="99">
        <f t="shared" si="2"/>
        <v>10167155.122000005</v>
      </c>
      <c r="D32" s="540">
        <f>D30</f>
        <v>1233671.542</v>
      </c>
      <c r="E32" s="518">
        <f t="shared" si="12"/>
        <v>0.0414</v>
      </c>
      <c r="F32" s="536">
        <f t="shared" si="5"/>
        <v>239930.3971438801</v>
      </c>
      <c r="G32" s="308">
        <f t="shared" si="13"/>
        <v>170</v>
      </c>
      <c r="H32" s="99">
        <f>ROUND(D32*G32,0)</f>
        <v>209724162</v>
      </c>
      <c r="I32" s="99">
        <f t="shared" si="6"/>
        <v>40788168</v>
      </c>
      <c r="J32" s="300">
        <f>SUM(I31:I32)</f>
        <v>81353449</v>
      </c>
      <c r="K32" s="300">
        <f>SUM(H31:H32)</f>
        <v>209724162</v>
      </c>
      <c r="L32" s="301">
        <f>SUM(J32:K32)</f>
        <v>291077611</v>
      </c>
      <c r="M32" s="97">
        <v>43753</v>
      </c>
      <c r="N32" s="187">
        <f t="shared" si="3"/>
        <v>183</v>
      </c>
      <c r="O32" s="99">
        <f t="shared" si="4"/>
        <v>6331125.773999996</v>
      </c>
      <c r="P32" s="540">
        <f>P30</f>
        <v>768211.914</v>
      </c>
      <c r="Q32" s="544">
        <f t="shared" si="7"/>
        <v>0.0386833</v>
      </c>
      <c r="R32" s="536">
        <f t="shared" si="8"/>
        <v>139601.45320632352</v>
      </c>
      <c r="S32" s="308">
        <f t="shared" si="14"/>
        <v>170</v>
      </c>
      <c r="T32" s="99">
        <f>ROUND(P32*S32,0)</f>
        <v>130596025</v>
      </c>
      <c r="U32" s="99">
        <f t="shared" si="9"/>
        <v>23732247</v>
      </c>
      <c r="V32" s="300">
        <f>SUM(U31:U32)</f>
        <v>47334810</v>
      </c>
      <c r="W32" s="300">
        <f>SUM(T31:T32)</f>
        <v>130596025</v>
      </c>
      <c r="X32" s="301">
        <f>SUM(V32:W32)</f>
        <v>177930835</v>
      </c>
      <c r="Y32" s="97">
        <v>43753</v>
      </c>
      <c r="Z32" s="99">
        <f t="shared" si="10"/>
        <v>340320187</v>
      </c>
      <c r="AA32" s="144">
        <f t="shared" si="11"/>
        <v>64520415</v>
      </c>
      <c r="AB32" s="300">
        <f>SUM(AA31:AA32)</f>
        <v>128688259</v>
      </c>
      <c r="AC32" s="300">
        <f>SUM(Z31:Z32)</f>
        <v>340320187</v>
      </c>
      <c r="AD32" s="301">
        <f>SUM(AB32:AC32)</f>
        <v>469008446</v>
      </c>
    </row>
    <row r="33" spans="1:30" ht="12.75">
      <c r="A33" s="103">
        <v>43936</v>
      </c>
      <c r="B33" s="435">
        <f t="shared" si="1"/>
        <v>183</v>
      </c>
      <c r="C33" s="42">
        <f t="shared" si="2"/>
        <v>10167155.122000005</v>
      </c>
      <c r="D33" s="541"/>
      <c r="E33" s="299">
        <f t="shared" si="12"/>
        <v>0.0414</v>
      </c>
      <c r="F33" s="532">
        <f t="shared" si="5"/>
        <v>213967.7795424901</v>
      </c>
      <c r="G33" s="306">
        <f t="shared" si="13"/>
        <v>170</v>
      </c>
      <c r="H33" s="42"/>
      <c r="I33" s="42">
        <f t="shared" si="6"/>
        <v>36374523</v>
      </c>
      <c r="J33" s="437"/>
      <c r="K33" s="104"/>
      <c r="L33" s="242"/>
      <c r="M33" s="103">
        <v>43936</v>
      </c>
      <c r="N33" s="435">
        <f t="shared" si="3"/>
        <v>183</v>
      </c>
      <c r="O33" s="42">
        <f t="shared" si="4"/>
        <v>6331125.773999996</v>
      </c>
      <c r="P33" s="541"/>
      <c r="Q33" s="517">
        <f t="shared" si="7"/>
        <v>0.0386833</v>
      </c>
      <c r="R33" s="532">
        <f t="shared" si="8"/>
        <v>124495.3258071318</v>
      </c>
      <c r="S33" s="306">
        <f t="shared" si="14"/>
        <v>170</v>
      </c>
      <c r="T33" s="42"/>
      <c r="U33" s="42">
        <f t="shared" si="9"/>
        <v>21164205</v>
      </c>
      <c r="V33" s="437"/>
      <c r="W33" s="104"/>
      <c r="X33" s="242"/>
      <c r="Y33" s="103">
        <v>43936</v>
      </c>
      <c r="Z33" s="42">
        <f t="shared" si="10"/>
        <v>0</v>
      </c>
      <c r="AA33" s="139">
        <f t="shared" si="11"/>
        <v>57538728</v>
      </c>
      <c r="AB33" s="437"/>
      <c r="AC33" s="104"/>
      <c r="AD33" s="242"/>
    </row>
    <row r="34" spans="1:30" ht="12.75">
      <c r="A34" s="97">
        <v>44119</v>
      </c>
      <c r="B34" s="187">
        <f t="shared" si="1"/>
        <v>183</v>
      </c>
      <c r="C34" s="99">
        <f t="shared" si="2"/>
        <v>8933483.580000006</v>
      </c>
      <c r="D34" s="540">
        <f>D32</f>
        <v>1233671.542</v>
      </c>
      <c r="E34" s="518">
        <f t="shared" si="12"/>
        <v>0.0414</v>
      </c>
      <c r="F34" s="536">
        <f t="shared" si="5"/>
        <v>213967.7795424901</v>
      </c>
      <c r="G34" s="308">
        <f t="shared" si="13"/>
        <v>170</v>
      </c>
      <c r="H34" s="99">
        <f>ROUND(D34*G34,0)</f>
        <v>209724162</v>
      </c>
      <c r="I34" s="99">
        <f t="shared" si="6"/>
        <v>36374523</v>
      </c>
      <c r="J34" s="300">
        <f>SUM(I33:I34)</f>
        <v>72749046</v>
      </c>
      <c r="K34" s="300">
        <f>SUM(H33:H34)</f>
        <v>209724162</v>
      </c>
      <c r="L34" s="301">
        <f>SUM(J34:K34)</f>
        <v>282473208</v>
      </c>
      <c r="M34" s="97">
        <v>44119</v>
      </c>
      <c r="N34" s="187">
        <f t="shared" si="3"/>
        <v>183</v>
      </c>
      <c r="O34" s="99">
        <f t="shared" si="4"/>
        <v>5562913.859999996</v>
      </c>
      <c r="P34" s="540">
        <f>P32</f>
        <v>768211.914</v>
      </c>
      <c r="Q34" s="544">
        <f t="shared" si="7"/>
        <v>0.0386833</v>
      </c>
      <c r="R34" s="536">
        <f t="shared" si="8"/>
        <v>124495.3258071318</v>
      </c>
      <c r="S34" s="308">
        <f t="shared" si="14"/>
        <v>170</v>
      </c>
      <c r="T34" s="99">
        <f>ROUND(P34*S34,0)</f>
        <v>130596025</v>
      </c>
      <c r="U34" s="99">
        <f t="shared" si="9"/>
        <v>21164205</v>
      </c>
      <c r="V34" s="300">
        <f>SUM(U33:U34)</f>
        <v>42328410</v>
      </c>
      <c r="W34" s="300">
        <f>SUM(T33:T34)</f>
        <v>130596025</v>
      </c>
      <c r="X34" s="301">
        <f>SUM(V34:W34)</f>
        <v>172924435</v>
      </c>
      <c r="Y34" s="97">
        <v>44119</v>
      </c>
      <c r="Z34" s="99">
        <f t="shared" si="10"/>
        <v>340320187</v>
      </c>
      <c r="AA34" s="144">
        <f t="shared" si="11"/>
        <v>57538728</v>
      </c>
      <c r="AB34" s="300">
        <f>SUM(AA33:AA34)</f>
        <v>115077456</v>
      </c>
      <c r="AC34" s="300">
        <f>SUM(Z33:Z34)</f>
        <v>340320187</v>
      </c>
      <c r="AD34" s="301">
        <f>SUM(AB34:AC34)</f>
        <v>455397643</v>
      </c>
    </row>
    <row r="35" spans="1:30" ht="12.75">
      <c r="A35" s="103">
        <v>44301</v>
      </c>
      <c r="B35" s="435">
        <f t="shared" si="1"/>
        <v>182</v>
      </c>
      <c r="C35" s="42">
        <f t="shared" si="2"/>
        <v>8933483.580000006</v>
      </c>
      <c r="D35" s="541"/>
      <c r="E35" s="299">
        <f t="shared" si="12"/>
        <v>0.0414</v>
      </c>
      <c r="F35" s="532">
        <f t="shared" si="5"/>
        <v>186977.8113294001</v>
      </c>
      <c r="G35" s="306">
        <f t="shared" si="13"/>
        <v>170</v>
      </c>
      <c r="H35" s="42"/>
      <c r="I35" s="42">
        <f t="shared" si="6"/>
        <v>31786228</v>
      </c>
      <c r="J35" s="437"/>
      <c r="K35" s="104"/>
      <c r="L35" s="242"/>
      <c r="M35" s="103">
        <v>44301</v>
      </c>
      <c r="N35" s="435">
        <f t="shared" si="3"/>
        <v>182</v>
      </c>
      <c r="O35" s="42">
        <f t="shared" si="4"/>
        <v>5562913.859999996</v>
      </c>
      <c r="P35" s="541"/>
      <c r="Q35" s="517">
        <f t="shared" si="7"/>
        <v>0.0386833</v>
      </c>
      <c r="R35" s="532">
        <f t="shared" si="8"/>
        <v>108791.443225383</v>
      </c>
      <c r="S35" s="306">
        <f t="shared" si="14"/>
        <v>170</v>
      </c>
      <c r="T35" s="42"/>
      <c r="U35" s="42">
        <f t="shared" si="9"/>
        <v>18494545</v>
      </c>
      <c r="V35" s="437"/>
      <c r="W35" s="104"/>
      <c r="X35" s="242"/>
      <c r="Y35" s="103">
        <v>44301</v>
      </c>
      <c r="Z35" s="42">
        <f t="shared" si="10"/>
        <v>0</v>
      </c>
      <c r="AA35" s="139">
        <f t="shared" si="11"/>
        <v>50280773</v>
      </c>
      <c r="AB35" s="437"/>
      <c r="AC35" s="104"/>
      <c r="AD35" s="242"/>
    </row>
    <row r="36" spans="1:30" ht="12.75">
      <c r="A36" s="97">
        <v>44484</v>
      </c>
      <c r="B36" s="187">
        <f t="shared" si="1"/>
        <v>183</v>
      </c>
      <c r="C36" s="99">
        <f t="shared" si="2"/>
        <v>7699812.038000006</v>
      </c>
      <c r="D36" s="540">
        <f>D34</f>
        <v>1233671.542</v>
      </c>
      <c r="E36" s="518">
        <f t="shared" si="12"/>
        <v>0.0414</v>
      </c>
      <c r="F36" s="536">
        <f t="shared" si="5"/>
        <v>188005.16194110012</v>
      </c>
      <c r="G36" s="308">
        <f t="shared" si="13"/>
        <v>170</v>
      </c>
      <c r="H36" s="99">
        <f>ROUND(D36*G36,0)</f>
        <v>209724162</v>
      </c>
      <c r="I36" s="99">
        <f t="shared" si="6"/>
        <v>31960878</v>
      </c>
      <c r="J36" s="300">
        <f>SUM(I35:I36)</f>
        <v>63747106</v>
      </c>
      <c r="K36" s="300">
        <f>SUM(H35:H36)</f>
        <v>209724162</v>
      </c>
      <c r="L36" s="301">
        <f>SUM(J36:K36)</f>
        <v>273471268</v>
      </c>
      <c r="M36" s="97">
        <v>44484</v>
      </c>
      <c r="N36" s="187">
        <f t="shared" si="3"/>
        <v>183</v>
      </c>
      <c r="O36" s="99">
        <f t="shared" si="4"/>
        <v>4794701.945999996</v>
      </c>
      <c r="P36" s="540">
        <f>P34</f>
        <v>768211.914</v>
      </c>
      <c r="Q36" s="544">
        <f t="shared" si="7"/>
        <v>0.0386833</v>
      </c>
      <c r="R36" s="536">
        <f t="shared" si="8"/>
        <v>109389.19840794006</v>
      </c>
      <c r="S36" s="308">
        <f t="shared" si="14"/>
        <v>170</v>
      </c>
      <c r="T36" s="99">
        <f>ROUND(P36*S36,0)</f>
        <v>130596025</v>
      </c>
      <c r="U36" s="99">
        <f t="shared" si="9"/>
        <v>18596164</v>
      </c>
      <c r="V36" s="300">
        <f>SUM(U35:U36)</f>
        <v>37090709</v>
      </c>
      <c r="W36" s="300">
        <f>SUM(T35:T36)</f>
        <v>130596025</v>
      </c>
      <c r="X36" s="301">
        <f>SUM(V36:W36)</f>
        <v>167686734</v>
      </c>
      <c r="Y36" s="97">
        <v>44484</v>
      </c>
      <c r="Z36" s="99">
        <f t="shared" si="10"/>
        <v>340320187</v>
      </c>
      <c r="AA36" s="144">
        <f t="shared" si="11"/>
        <v>50557042</v>
      </c>
      <c r="AB36" s="300">
        <f>SUM(AA35:AA36)</f>
        <v>100837815</v>
      </c>
      <c r="AC36" s="300">
        <f>SUM(Z35:Z36)</f>
        <v>340320187</v>
      </c>
      <c r="AD36" s="301">
        <f>SUM(AB36:AC36)</f>
        <v>441158002</v>
      </c>
    </row>
    <row r="37" spans="1:30" ht="12.75">
      <c r="A37" s="103">
        <v>44666</v>
      </c>
      <c r="B37" s="435">
        <f t="shared" si="1"/>
        <v>182</v>
      </c>
      <c r="C37" s="42">
        <f t="shared" si="2"/>
        <v>7699812.038000006</v>
      </c>
      <c r="D37" s="541"/>
      <c r="E37" s="299">
        <f t="shared" si="12"/>
        <v>0.0414</v>
      </c>
      <c r="F37" s="532">
        <f t="shared" si="5"/>
        <v>161157.06595534013</v>
      </c>
      <c r="G37" s="306">
        <f t="shared" si="13"/>
        <v>170</v>
      </c>
      <c r="H37" s="42"/>
      <c r="I37" s="42">
        <f t="shared" si="6"/>
        <v>27396701</v>
      </c>
      <c r="J37" s="437"/>
      <c r="K37" s="104"/>
      <c r="L37" s="242"/>
      <c r="M37" s="103">
        <v>44666</v>
      </c>
      <c r="N37" s="435">
        <f t="shared" si="3"/>
        <v>182</v>
      </c>
      <c r="O37" s="42">
        <f t="shared" si="4"/>
        <v>4794701.945999996</v>
      </c>
      <c r="P37" s="541"/>
      <c r="Q37" s="517">
        <f t="shared" si="7"/>
        <v>0.0386833</v>
      </c>
      <c r="R37" s="532">
        <f t="shared" si="8"/>
        <v>93767.86297044915</v>
      </c>
      <c r="S37" s="306">
        <f t="shared" si="14"/>
        <v>170</v>
      </c>
      <c r="T37" s="42"/>
      <c r="U37" s="42">
        <f t="shared" si="9"/>
        <v>15940537</v>
      </c>
      <c r="V37" s="437"/>
      <c r="W37" s="104"/>
      <c r="X37" s="242"/>
      <c r="Y37" s="103">
        <v>44666</v>
      </c>
      <c r="Z37" s="42">
        <f t="shared" si="10"/>
        <v>0</v>
      </c>
      <c r="AA37" s="139">
        <f t="shared" si="11"/>
        <v>43337238</v>
      </c>
      <c r="AB37" s="437"/>
      <c r="AC37" s="104"/>
      <c r="AD37" s="242"/>
    </row>
    <row r="38" spans="1:30" ht="12.75">
      <c r="A38" s="97">
        <v>44849</v>
      </c>
      <c r="B38" s="187">
        <f t="shared" si="1"/>
        <v>183</v>
      </c>
      <c r="C38" s="99">
        <f t="shared" si="2"/>
        <v>6466140.496000007</v>
      </c>
      <c r="D38" s="540">
        <f>D36</f>
        <v>1233671.542</v>
      </c>
      <c r="E38" s="518">
        <f t="shared" si="12"/>
        <v>0.0414</v>
      </c>
      <c r="F38" s="536">
        <f t="shared" si="5"/>
        <v>162042.54433971015</v>
      </c>
      <c r="G38" s="308">
        <f t="shared" si="13"/>
        <v>170</v>
      </c>
      <c r="H38" s="99">
        <f>ROUND(D38*G38,0)</f>
        <v>209724162</v>
      </c>
      <c r="I38" s="99">
        <f t="shared" si="6"/>
        <v>27547233</v>
      </c>
      <c r="J38" s="300">
        <f>SUM(I37:I38)</f>
        <v>54943934</v>
      </c>
      <c r="K38" s="300">
        <f>SUM(H37:H38)</f>
        <v>209724162</v>
      </c>
      <c r="L38" s="301">
        <f>SUM(J38:K38)</f>
        <v>264668096</v>
      </c>
      <c r="M38" s="97">
        <v>44849</v>
      </c>
      <c r="N38" s="187">
        <f t="shared" si="3"/>
        <v>183</v>
      </c>
      <c r="O38" s="99">
        <f t="shared" si="4"/>
        <v>4026490.031999996</v>
      </c>
      <c r="P38" s="540">
        <f>P36</f>
        <v>768211.914</v>
      </c>
      <c r="Q38" s="544">
        <f t="shared" si="7"/>
        <v>0.0386833</v>
      </c>
      <c r="R38" s="536">
        <f t="shared" si="8"/>
        <v>94283.07100874832</v>
      </c>
      <c r="S38" s="308">
        <f t="shared" si="14"/>
        <v>170</v>
      </c>
      <c r="T38" s="99">
        <f>ROUND(P38*S38,0)</f>
        <v>130596025</v>
      </c>
      <c r="U38" s="99">
        <f t="shared" si="9"/>
        <v>16028122</v>
      </c>
      <c r="V38" s="300">
        <f>SUM(U37:U38)</f>
        <v>31968659</v>
      </c>
      <c r="W38" s="300">
        <f>SUM(T37:T38)</f>
        <v>130596025</v>
      </c>
      <c r="X38" s="301">
        <f>SUM(V38:W38)</f>
        <v>162564684</v>
      </c>
      <c r="Y38" s="97">
        <v>44849</v>
      </c>
      <c r="Z38" s="99">
        <f t="shared" si="10"/>
        <v>340320187</v>
      </c>
      <c r="AA38" s="144">
        <f t="shared" si="11"/>
        <v>43575355</v>
      </c>
      <c r="AB38" s="300">
        <f>SUM(AA37:AA38)</f>
        <v>86912593</v>
      </c>
      <c r="AC38" s="300">
        <f>SUM(Z37:Z38)</f>
        <v>340320187</v>
      </c>
      <c r="AD38" s="301">
        <f>SUM(AB38:AC38)</f>
        <v>427232780</v>
      </c>
    </row>
    <row r="39" spans="1:30" ht="12.75">
      <c r="A39" s="103">
        <v>45031</v>
      </c>
      <c r="B39" s="435">
        <f t="shared" si="1"/>
        <v>182</v>
      </c>
      <c r="C39" s="42">
        <f t="shared" si="2"/>
        <v>6466140.496000007</v>
      </c>
      <c r="D39" s="541"/>
      <c r="E39" s="299">
        <f t="shared" si="12"/>
        <v>0.0414</v>
      </c>
      <c r="F39" s="532">
        <f t="shared" si="5"/>
        <v>135336.32058128016</v>
      </c>
      <c r="G39" s="306">
        <f t="shared" si="13"/>
        <v>170</v>
      </c>
      <c r="H39" s="42"/>
      <c r="I39" s="42">
        <f t="shared" si="6"/>
        <v>23007174</v>
      </c>
      <c r="J39" s="437"/>
      <c r="K39" s="104"/>
      <c r="L39" s="242"/>
      <c r="M39" s="103">
        <v>45031</v>
      </c>
      <c r="N39" s="435">
        <f t="shared" si="3"/>
        <v>182</v>
      </c>
      <c r="O39" s="42">
        <f t="shared" si="4"/>
        <v>4026490.031999996</v>
      </c>
      <c r="P39" s="541"/>
      <c r="Q39" s="517">
        <f t="shared" si="7"/>
        <v>0.0386833</v>
      </c>
      <c r="R39" s="532">
        <f t="shared" si="8"/>
        <v>78744.28271551529</v>
      </c>
      <c r="S39" s="306">
        <f t="shared" si="14"/>
        <v>170</v>
      </c>
      <c r="T39" s="42"/>
      <c r="U39" s="42">
        <f t="shared" si="9"/>
        <v>13386528</v>
      </c>
      <c r="V39" s="437"/>
      <c r="W39" s="104"/>
      <c r="X39" s="242"/>
      <c r="Y39" s="103">
        <v>45031</v>
      </c>
      <c r="Z39" s="42">
        <f t="shared" si="10"/>
        <v>0</v>
      </c>
      <c r="AA39" s="139">
        <f t="shared" si="11"/>
        <v>36393702</v>
      </c>
      <c r="AB39" s="437"/>
      <c r="AC39" s="104"/>
      <c r="AD39" s="242"/>
    </row>
    <row r="40" spans="1:30" ht="12.75">
      <c r="A40" s="97">
        <v>45214</v>
      </c>
      <c r="B40" s="187">
        <f t="shared" si="1"/>
        <v>183</v>
      </c>
      <c r="C40" s="99">
        <f t="shared" si="2"/>
        <v>5232468.954000007</v>
      </c>
      <c r="D40" s="540">
        <f>D38</f>
        <v>1233671.542</v>
      </c>
      <c r="E40" s="518">
        <f t="shared" si="12"/>
        <v>0.0414</v>
      </c>
      <c r="F40" s="536">
        <f t="shared" si="5"/>
        <v>136079.92673832015</v>
      </c>
      <c r="G40" s="308">
        <f t="shared" si="13"/>
        <v>170</v>
      </c>
      <c r="H40" s="99">
        <f>ROUND(D40*G40,0)</f>
        <v>209724162</v>
      </c>
      <c r="I40" s="99">
        <f t="shared" si="6"/>
        <v>23133588</v>
      </c>
      <c r="J40" s="300">
        <f>SUM(I39:I40)</f>
        <v>46140762</v>
      </c>
      <c r="K40" s="300">
        <f>SUM(H39:H40)</f>
        <v>209724162</v>
      </c>
      <c r="L40" s="301">
        <f>SUM(J40:K40)</f>
        <v>255864924</v>
      </c>
      <c r="M40" s="97">
        <v>45214</v>
      </c>
      <c r="N40" s="187">
        <f t="shared" si="3"/>
        <v>183</v>
      </c>
      <c r="O40" s="99">
        <f t="shared" si="4"/>
        <v>3258278.117999996</v>
      </c>
      <c r="P40" s="540">
        <f>P38</f>
        <v>768211.914</v>
      </c>
      <c r="Q40" s="544">
        <f t="shared" si="7"/>
        <v>0.0386833</v>
      </c>
      <c r="R40" s="536">
        <f t="shared" si="8"/>
        <v>79176.94360955659</v>
      </c>
      <c r="S40" s="308">
        <f t="shared" si="14"/>
        <v>170</v>
      </c>
      <c r="T40" s="99">
        <f>ROUND(P40*S40,0)</f>
        <v>130596025</v>
      </c>
      <c r="U40" s="99">
        <f t="shared" si="9"/>
        <v>13460080</v>
      </c>
      <c r="V40" s="300">
        <f>SUM(U39:U40)</f>
        <v>26846608</v>
      </c>
      <c r="W40" s="300">
        <f>SUM(T39:T40)</f>
        <v>130596025</v>
      </c>
      <c r="X40" s="301">
        <f>SUM(V40:W40)</f>
        <v>157442633</v>
      </c>
      <c r="Y40" s="97">
        <v>45214</v>
      </c>
      <c r="Z40" s="99">
        <f t="shared" si="10"/>
        <v>340320187</v>
      </c>
      <c r="AA40" s="144">
        <f t="shared" si="11"/>
        <v>36593668</v>
      </c>
      <c r="AB40" s="300">
        <f>SUM(AA39:AA40)</f>
        <v>72987370</v>
      </c>
      <c r="AC40" s="300">
        <f>SUM(Z39:Z40)</f>
        <v>340320187</v>
      </c>
      <c r="AD40" s="301">
        <f>SUM(AB40:AC40)</f>
        <v>413307557</v>
      </c>
    </row>
    <row r="41" spans="1:30" ht="12.75">
      <c r="A41" s="103">
        <v>45397</v>
      </c>
      <c r="B41" s="435">
        <f t="shared" si="1"/>
        <v>183</v>
      </c>
      <c r="C41" s="42">
        <f t="shared" si="2"/>
        <v>5232468.954000007</v>
      </c>
      <c r="D41" s="541"/>
      <c r="E41" s="299">
        <f t="shared" si="12"/>
        <v>0.0414</v>
      </c>
      <c r="F41" s="532">
        <f t="shared" si="5"/>
        <v>110117.30913693014</v>
      </c>
      <c r="G41" s="306">
        <f t="shared" si="13"/>
        <v>170</v>
      </c>
      <c r="H41" s="42"/>
      <c r="I41" s="42">
        <f t="shared" si="6"/>
        <v>18719943</v>
      </c>
      <c r="J41" s="437"/>
      <c r="K41" s="104"/>
      <c r="L41" s="242"/>
      <c r="M41" s="103">
        <v>45397</v>
      </c>
      <c r="N41" s="435">
        <f t="shared" si="3"/>
        <v>183</v>
      </c>
      <c r="O41" s="42">
        <f t="shared" si="4"/>
        <v>3258278.117999996</v>
      </c>
      <c r="P41" s="541"/>
      <c r="Q41" s="517">
        <f t="shared" si="7"/>
        <v>0.0386833</v>
      </c>
      <c r="R41" s="532">
        <f t="shared" si="8"/>
        <v>64070.816210364865</v>
      </c>
      <c r="S41" s="306">
        <f t="shared" si="14"/>
        <v>170</v>
      </c>
      <c r="T41" s="42"/>
      <c r="U41" s="42">
        <f t="shared" si="9"/>
        <v>10892039</v>
      </c>
      <c r="V41" s="437"/>
      <c r="W41" s="104"/>
      <c r="X41" s="242"/>
      <c r="Y41" s="103">
        <v>45397</v>
      </c>
      <c r="Z41" s="42">
        <f t="shared" si="10"/>
        <v>0</v>
      </c>
      <c r="AA41" s="139">
        <f t="shared" si="11"/>
        <v>29611982</v>
      </c>
      <c r="AB41" s="437"/>
      <c r="AC41" s="104"/>
      <c r="AD41" s="242"/>
    </row>
    <row r="42" spans="1:30" ht="12.75">
      <c r="A42" s="97">
        <v>45580</v>
      </c>
      <c r="B42" s="187">
        <f t="shared" si="1"/>
        <v>183</v>
      </c>
      <c r="C42" s="99">
        <f t="shared" si="2"/>
        <v>3998797.4120000075</v>
      </c>
      <c r="D42" s="540">
        <f>D40</f>
        <v>1233671.542</v>
      </c>
      <c r="E42" s="518">
        <f t="shared" si="12"/>
        <v>0.0414</v>
      </c>
      <c r="F42" s="536">
        <f t="shared" si="5"/>
        <v>110117.30913693014</v>
      </c>
      <c r="G42" s="308">
        <f t="shared" si="13"/>
        <v>170</v>
      </c>
      <c r="H42" s="99">
        <f>ROUND(D42*G42,0)</f>
        <v>209724162</v>
      </c>
      <c r="I42" s="99">
        <f t="shared" si="6"/>
        <v>18719943</v>
      </c>
      <c r="J42" s="300">
        <f>SUM(I41:I42)</f>
        <v>37439886</v>
      </c>
      <c r="K42" s="300">
        <f>SUM(H41:H42)</f>
        <v>209724162</v>
      </c>
      <c r="L42" s="301">
        <f>SUM(J42:K42)</f>
        <v>247164048</v>
      </c>
      <c r="M42" s="97">
        <v>45580</v>
      </c>
      <c r="N42" s="187">
        <f t="shared" si="3"/>
        <v>183</v>
      </c>
      <c r="O42" s="99">
        <f t="shared" si="4"/>
        <v>2490066.203999996</v>
      </c>
      <c r="P42" s="540">
        <f>P40</f>
        <v>768211.914</v>
      </c>
      <c r="Q42" s="544">
        <f t="shared" si="7"/>
        <v>0.0386833</v>
      </c>
      <c r="R42" s="536">
        <f t="shared" si="8"/>
        <v>64070.816210364865</v>
      </c>
      <c r="S42" s="308">
        <f t="shared" si="14"/>
        <v>170</v>
      </c>
      <c r="T42" s="99">
        <f>ROUND(P42*S42,0)</f>
        <v>130596025</v>
      </c>
      <c r="U42" s="99">
        <f t="shared" si="9"/>
        <v>10892039</v>
      </c>
      <c r="V42" s="300">
        <f>SUM(U41:U42)</f>
        <v>21784078</v>
      </c>
      <c r="W42" s="300">
        <f>SUM(T41:T42)</f>
        <v>130596025</v>
      </c>
      <c r="X42" s="301">
        <f>SUM(V42:W42)</f>
        <v>152380103</v>
      </c>
      <c r="Y42" s="97">
        <v>45580</v>
      </c>
      <c r="Z42" s="99">
        <f t="shared" si="10"/>
        <v>340320187</v>
      </c>
      <c r="AA42" s="144">
        <f t="shared" si="11"/>
        <v>29611982</v>
      </c>
      <c r="AB42" s="300">
        <f>SUM(AA41:AA42)</f>
        <v>59223964</v>
      </c>
      <c r="AC42" s="300">
        <f>SUM(Z41:Z42)</f>
        <v>340320187</v>
      </c>
      <c r="AD42" s="301">
        <f>SUM(AB42:AC42)</f>
        <v>399544151</v>
      </c>
    </row>
    <row r="43" spans="1:30" ht="12.75">
      <c r="A43" s="103">
        <v>45762</v>
      </c>
      <c r="B43" s="435">
        <f t="shared" si="1"/>
        <v>182</v>
      </c>
      <c r="C43" s="42">
        <f t="shared" si="2"/>
        <v>3998797.4120000075</v>
      </c>
      <c r="D43" s="541"/>
      <c r="E43" s="299">
        <f t="shared" si="12"/>
        <v>0.0414</v>
      </c>
      <c r="F43" s="532">
        <f t="shared" si="5"/>
        <v>83694.82983316014</v>
      </c>
      <c r="G43" s="306">
        <f t="shared" si="13"/>
        <v>170</v>
      </c>
      <c r="H43" s="42"/>
      <c r="I43" s="42">
        <f t="shared" si="6"/>
        <v>14228121</v>
      </c>
      <c r="J43" s="437"/>
      <c r="K43" s="104"/>
      <c r="L43" s="242"/>
      <c r="M43" s="103">
        <v>45762</v>
      </c>
      <c r="N43" s="435">
        <f t="shared" si="3"/>
        <v>182</v>
      </c>
      <c r="O43" s="42">
        <f t="shared" si="4"/>
        <v>2490066.203999996</v>
      </c>
      <c r="P43" s="541"/>
      <c r="Q43" s="517">
        <f t="shared" si="7"/>
        <v>0.0386833</v>
      </c>
      <c r="R43" s="532">
        <f t="shared" si="8"/>
        <v>48697.12220564759</v>
      </c>
      <c r="S43" s="306">
        <f t="shared" si="14"/>
        <v>170</v>
      </c>
      <c r="T43" s="42"/>
      <c r="U43" s="42">
        <f t="shared" si="9"/>
        <v>8278511</v>
      </c>
      <c r="V43" s="437"/>
      <c r="W43" s="104"/>
      <c r="X43" s="242"/>
      <c r="Y43" s="103">
        <v>45762</v>
      </c>
      <c r="Z43" s="42">
        <f t="shared" si="10"/>
        <v>0</v>
      </c>
      <c r="AA43" s="139">
        <f t="shared" si="11"/>
        <v>22506632</v>
      </c>
      <c r="AB43" s="437"/>
      <c r="AC43" s="104"/>
      <c r="AD43" s="242"/>
    </row>
    <row r="44" spans="1:30" ht="12.75">
      <c r="A44" s="97">
        <v>45945</v>
      </c>
      <c r="B44" s="187">
        <f t="shared" si="1"/>
        <v>183</v>
      </c>
      <c r="C44" s="99">
        <f t="shared" si="2"/>
        <v>2765125.8700000076</v>
      </c>
      <c r="D44" s="540">
        <f>D42</f>
        <v>1233671.542</v>
      </c>
      <c r="E44" s="518">
        <f t="shared" si="12"/>
        <v>0.0414</v>
      </c>
      <c r="F44" s="536">
        <f t="shared" si="5"/>
        <v>84154.69153554014</v>
      </c>
      <c r="G44" s="308">
        <f t="shared" si="13"/>
        <v>170</v>
      </c>
      <c r="H44" s="99">
        <f>ROUND(D44*G44,0)</f>
        <v>209724162</v>
      </c>
      <c r="I44" s="99">
        <f t="shared" si="6"/>
        <v>14306298</v>
      </c>
      <c r="J44" s="300">
        <f>SUM(I43:I44)</f>
        <v>28534419</v>
      </c>
      <c r="K44" s="300">
        <f>SUM(H43:H44)</f>
        <v>209724162</v>
      </c>
      <c r="L44" s="301">
        <f>SUM(J44:K44)</f>
        <v>238258581</v>
      </c>
      <c r="M44" s="97">
        <v>45945</v>
      </c>
      <c r="N44" s="187">
        <f t="shared" si="3"/>
        <v>183</v>
      </c>
      <c r="O44" s="99">
        <f t="shared" si="4"/>
        <v>1721854.2899999963</v>
      </c>
      <c r="P44" s="540">
        <f>P42</f>
        <v>768211.914</v>
      </c>
      <c r="Q44" s="544">
        <f t="shared" si="7"/>
        <v>0.0386833</v>
      </c>
      <c r="R44" s="536">
        <f t="shared" si="8"/>
        <v>48964.688811173124</v>
      </c>
      <c r="S44" s="308">
        <f t="shared" si="14"/>
        <v>170</v>
      </c>
      <c r="T44" s="99">
        <f>ROUND(P44*S44,0)</f>
        <v>130596025</v>
      </c>
      <c r="U44" s="99">
        <f t="shared" si="9"/>
        <v>8323997</v>
      </c>
      <c r="V44" s="300">
        <f>SUM(U43:U44)</f>
        <v>16602508</v>
      </c>
      <c r="W44" s="300">
        <f>SUM(T43:T44)</f>
        <v>130596025</v>
      </c>
      <c r="X44" s="301">
        <f>SUM(V44:W44)</f>
        <v>147198533</v>
      </c>
      <c r="Y44" s="97">
        <v>45945</v>
      </c>
      <c r="Z44" s="99">
        <f t="shared" si="10"/>
        <v>340320187</v>
      </c>
      <c r="AA44" s="144">
        <f t="shared" si="11"/>
        <v>22630295</v>
      </c>
      <c r="AB44" s="300">
        <f>SUM(AA43:AA44)</f>
        <v>45136927</v>
      </c>
      <c r="AC44" s="300">
        <f>SUM(Z43:Z44)</f>
        <v>340320187</v>
      </c>
      <c r="AD44" s="301">
        <f>SUM(AB44:AC44)</f>
        <v>385457114</v>
      </c>
    </row>
    <row r="45" spans="1:30" ht="12.75">
      <c r="A45" s="103">
        <v>46127</v>
      </c>
      <c r="B45" s="435">
        <f t="shared" si="1"/>
        <v>182</v>
      </c>
      <c r="C45" s="42">
        <f t="shared" si="2"/>
        <v>2765125.8700000076</v>
      </c>
      <c r="D45" s="541"/>
      <c r="E45" s="299">
        <f t="shared" si="12"/>
        <v>0.0414</v>
      </c>
      <c r="F45" s="532">
        <f t="shared" si="5"/>
        <v>57874.08445910016</v>
      </c>
      <c r="G45" s="306">
        <f t="shared" si="13"/>
        <v>170</v>
      </c>
      <c r="H45" s="42"/>
      <c r="I45" s="42">
        <f t="shared" si="6"/>
        <v>9838594</v>
      </c>
      <c r="J45" s="437"/>
      <c r="K45" s="104"/>
      <c r="L45" s="242"/>
      <c r="M45" s="103">
        <v>46127</v>
      </c>
      <c r="N45" s="435">
        <f t="shared" si="3"/>
        <v>182</v>
      </c>
      <c r="O45" s="42">
        <f t="shared" si="4"/>
        <v>1721854.2899999963</v>
      </c>
      <c r="P45" s="541"/>
      <c r="Q45" s="517">
        <f t="shared" si="7"/>
        <v>0.0386833</v>
      </c>
      <c r="R45" s="532">
        <f t="shared" si="8"/>
        <v>33673.54195071374</v>
      </c>
      <c r="S45" s="306">
        <f t="shared" si="14"/>
        <v>170</v>
      </c>
      <c r="T45" s="42"/>
      <c r="U45" s="42">
        <f t="shared" si="9"/>
        <v>5724502</v>
      </c>
      <c r="V45" s="437"/>
      <c r="W45" s="104"/>
      <c r="X45" s="242"/>
      <c r="Y45" s="103">
        <v>46127</v>
      </c>
      <c r="Z45" s="42">
        <f t="shared" si="10"/>
        <v>0</v>
      </c>
      <c r="AA45" s="139">
        <f t="shared" si="11"/>
        <v>15563096</v>
      </c>
      <c r="AB45" s="437"/>
      <c r="AC45" s="104"/>
      <c r="AD45" s="242"/>
    </row>
    <row r="46" spans="1:30" ht="12.75">
      <c r="A46" s="243">
        <v>46310</v>
      </c>
      <c r="B46" s="224">
        <f t="shared" si="1"/>
        <v>183</v>
      </c>
      <c r="C46" s="107">
        <f t="shared" si="2"/>
        <v>1531454.3280000077</v>
      </c>
      <c r="D46" s="540">
        <f>D44</f>
        <v>1233671.542</v>
      </c>
      <c r="E46" s="518">
        <f t="shared" si="12"/>
        <v>0.0414</v>
      </c>
      <c r="F46" s="537">
        <f t="shared" si="5"/>
        <v>58192.07393415016</v>
      </c>
      <c r="G46" s="308">
        <f t="shared" si="13"/>
        <v>170</v>
      </c>
      <c r="H46" s="99">
        <f>ROUND(D46*G46,0)</f>
        <v>209724162</v>
      </c>
      <c r="I46" s="99">
        <f t="shared" si="6"/>
        <v>9892653</v>
      </c>
      <c r="J46" s="300">
        <f>SUM(I45:I46)</f>
        <v>19731247</v>
      </c>
      <c r="K46" s="300">
        <f>SUM(H45:H46)</f>
        <v>209724162</v>
      </c>
      <c r="L46" s="301">
        <f>SUM(J46:K46)</f>
        <v>229455409</v>
      </c>
      <c r="M46" s="243">
        <v>46310</v>
      </c>
      <c r="N46" s="224">
        <f t="shared" si="3"/>
        <v>183</v>
      </c>
      <c r="O46" s="107">
        <f t="shared" si="4"/>
        <v>953642.3759999963</v>
      </c>
      <c r="P46" s="540">
        <f>P44</f>
        <v>768211.914</v>
      </c>
      <c r="Q46" s="544">
        <f t="shared" si="7"/>
        <v>0.0386833</v>
      </c>
      <c r="R46" s="537">
        <f t="shared" si="8"/>
        <v>33858.5614119814</v>
      </c>
      <c r="S46" s="308">
        <f t="shared" si="14"/>
        <v>170</v>
      </c>
      <c r="T46" s="99">
        <f>ROUND(P46*S46,0)</f>
        <v>130596025</v>
      </c>
      <c r="U46" s="99">
        <f t="shared" si="9"/>
        <v>5755955</v>
      </c>
      <c r="V46" s="300">
        <f>SUM(U45:U46)</f>
        <v>11480457</v>
      </c>
      <c r="W46" s="300">
        <f>SUM(T45:T46)</f>
        <v>130596025</v>
      </c>
      <c r="X46" s="301">
        <f>SUM(V46:W46)</f>
        <v>142076482</v>
      </c>
      <c r="Y46" s="243">
        <v>46310</v>
      </c>
      <c r="Z46" s="99">
        <f t="shared" si="10"/>
        <v>340320187</v>
      </c>
      <c r="AA46" s="144">
        <f t="shared" si="11"/>
        <v>15648608</v>
      </c>
      <c r="AB46" s="300">
        <f>SUM(AA45:AA46)</f>
        <v>31211704</v>
      </c>
      <c r="AC46" s="300">
        <f>SUM(Z45:Z46)</f>
        <v>340320187</v>
      </c>
      <c r="AD46" s="301">
        <f>SUM(AB46:AC46)</f>
        <v>371531891</v>
      </c>
    </row>
    <row r="47" spans="1:30" ht="12.75">
      <c r="A47" s="103">
        <v>46492</v>
      </c>
      <c r="B47" s="435">
        <f>A47-A46</f>
        <v>182</v>
      </c>
      <c r="C47" s="42">
        <f>C46-D47</f>
        <v>1531454.3280000077</v>
      </c>
      <c r="D47" s="541"/>
      <c r="E47" s="299">
        <f t="shared" si="12"/>
        <v>0.0414</v>
      </c>
      <c r="F47" s="532">
        <f>((C47+D47)*E47/360*B47)</f>
        <v>32053.33908504016</v>
      </c>
      <c r="G47" s="306">
        <f t="shared" si="13"/>
        <v>170</v>
      </c>
      <c r="H47" s="42"/>
      <c r="I47" s="42">
        <f>ROUND(F47*G47,0)</f>
        <v>5449068</v>
      </c>
      <c r="J47" s="437"/>
      <c r="K47" s="104"/>
      <c r="L47" s="242"/>
      <c r="M47" s="103">
        <v>46492</v>
      </c>
      <c r="N47" s="435">
        <f>M47-M46</f>
        <v>182</v>
      </c>
      <c r="O47" s="42">
        <f>O46-P47</f>
        <v>953642.3759999963</v>
      </c>
      <c r="P47" s="541"/>
      <c r="Q47" s="517">
        <f t="shared" si="7"/>
        <v>0.0386833</v>
      </c>
      <c r="R47" s="532">
        <f>((O47+P47)*Q47/360*N47)</f>
        <v>18649.961695779886</v>
      </c>
      <c r="S47" s="306">
        <f t="shared" si="14"/>
        <v>170</v>
      </c>
      <c r="T47" s="42"/>
      <c r="U47" s="42">
        <f t="shared" si="9"/>
        <v>3170493</v>
      </c>
      <c r="V47" s="437"/>
      <c r="W47" s="104"/>
      <c r="X47" s="242"/>
      <c r="Y47" s="103">
        <v>46492</v>
      </c>
      <c r="Z47" s="42">
        <f aca="true" t="shared" si="15" ref="Z47:AA49">SUM(H47,T47)</f>
        <v>0</v>
      </c>
      <c r="AA47" s="139">
        <f t="shared" si="15"/>
        <v>8619561</v>
      </c>
      <c r="AB47" s="437"/>
      <c r="AC47" s="104"/>
      <c r="AD47" s="242"/>
    </row>
    <row r="48" spans="1:30" ht="12.75">
      <c r="A48" s="90">
        <v>46675</v>
      </c>
      <c r="B48" s="215">
        <f>A48-A47</f>
        <v>183</v>
      </c>
      <c r="C48" s="41">
        <f>C47-D48</f>
        <v>297782.78600000776</v>
      </c>
      <c r="D48" s="542">
        <f>D46</f>
        <v>1233671.542</v>
      </c>
      <c r="E48" s="519"/>
      <c r="F48" s="538"/>
      <c r="G48" s="307">
        <f t="shared" si="13"/>
        <v>170</v>
      </c>
      <c r="H48" s="41">
        <f>ROUND(D48*G48,0)</f>
        <v>209724162</v>
      </c>
      <c r="I48" s="41"/>
      <c r="J48" s="533"/>
      <c r="K48" s="91"/>
      <c r="L48" s="231"/>
      <c r="M48" s="90">
        <v>46675</v>
      </c>
      <c r="N48" s="215">
        <f>M48-M47</f>
        <v>183</v>
      </c>
      <c r="O48" s="41">
        <f>O47-P48</f>
        <v>185430.46199999633</v>
      </c>
      <c r="P48" s="542">
        <f>P46</f>
        <v>768211.914</v>
      </c>
      <c r="Q48" s="545"/>
      <c r="R48" s="538"/>
      <c r="S48" s="307">
        <f t="shared" si="14"/>
        <v>170</v>
      </c>
      <c r="T48" s="41">
        <f>ROUND(P48*S48,0)</f>
        <v>130596025</v>
      </c>
      <c r="U48" s="41"/>
      <c r="V48" s="533"/>
      <c r="W48" s="91"/>
      <c r="X48" s="231"/>
      <c r="Y48" s="90">
        <v>46675</v>
      </c>
      <c r="Z48" s="41">
        <f t="shared" si="15"/>
        <v>340320187</v>
      </c>
      <c r="AA48" s="154">
        <f t="shared" si="15"/>
        <v>0</v>
      </c>
      <c r="AB48" s="533"/>
      <c r="AC48" s="91"/>
      <c r="AD48" s="231"/>
    </row>
    <row r="49" spans="1:30" ht="13.5" thickBot="1">
      <c r="A49" s="113">
        <v>46741</v>
      </c>
      <c r="B49" s="491">
        <f>A49-A48</f>
        <v>66</v>
      </c>
      <c r="C49" s="114">
        <f>C48-D49</f>
        <v>1.862645149230957E-09</v>
      </c>
      <c r="D49" s="543">
        <f>D1-SUM(D16:D48)</f>
        <v>297782.7860000059</v>
      </c>
      <c r="E49" s="520">
        <f>E47</f>
        <v>0.0414</v>
      </c>
      <c r="F49" s="539">
        <f>((C49+D49)*E49/360*B49)</f>
        <v>2260.1713457400588</v>
      </c>
      <c r="G49" s="534">
        <f t="shared" si="13"/>
        <v>170</v>
      </c>
      <c r="H49" s="114">
        <f>ROUND(D49*G49,0)</f>
        <v>50623074</v>
      </c>
      <c r="I49" s="114">
        <f>ROUND(F49*G49,0)</f>
        <v>384229</v>
      </c>
      <c r="J49" s="115">
        <f>SUM(I47:I49)</f>
        <v>5833297</v>
      </c>
      <c r="K49" s="115">
        <f>SUM(H47:H49)</f>
        <v>260347236</v>
      </c>
      <c r="L49" s="116">
        <f>SUM(J49:K49)</f>
        <v>266180533</v>
      </c>
      <c r="M49" s="113">
        <v>46741</v>
      </c>
      <c r="N49" s="491">
        <f>M49-M48</f>
        <v>66</v>
      </c>
      <c r="O49" s="114">
        <f>O48-P49</f>
        <v>6.984919309616089E-10</v>
      </c>
      <c r="P49" s="543">
        <f>P1-SUM(P16:P48)</f>
        <v>185430.46199999563</v>
      </c>
      <c r="Q49" s="546">
        <f>Q47</f>
        <v>0.0386833</v>
      </c>
      <c r="R49" s="539">
        <f>((O49+P49)*Q49/360*N49)</f>
        <v>1315.0614016254838</v>
      </c>
      <c r="S49" s="534">
        <f t="shared" si="14"/>
        <v>170</v>
      </c>
      <c r="T49" s="114">
        <f>ROUND(P49*S49,0)</f>
        <v>31523179</v>
      </c>
      <c r="U49" s="114">
        <f t="shared" si="9"/>
        <v>223560</v>
      </c>
      <c r="V49" s="115">
        <f>SUM(U47:U49)</f>
        <v>3394053</v>
      </c>
      <c r="W49" s="115">
        <f>SUM(T47:T49)</f>
        <v>162119204</v>
      </c>
      <c r="X49" s="116">
        <f>SUM(V49:W49)</f>
        <v>165513257</v>
      </c>
      <c r="Y49" s="113">
        <v>46741</v>
      </c>
      <c r="Z49" s="114">
        <f t="shared" si="15"/>
        <v>82146253</v>
      </c>
      <c r="AA49" s="535">
        <f t="shared" si="15"/>
        <v>607789</v>
      </c>
      <c r="AB49" s="115">
        <f>SUM(AA47:AA49)</f>
        <v>9227350</v>
      </c>
      <c r="AC49" s="115">
        <f>SUM(Z47:Z49)</f>
        <v>422466440</v>
      </c>
      <c r="AD49" s="116">
        <f>SUM(AB49:AC49)</f>
        <v>431693790</v>
      </c>
    </row>
    <row r="50" spans="1:30" ht="13.5" thickTop="1">
      <c r="A50" s="439" t="s">
        <v>93</v>
      </c>
      <c r="B50" s="440"/>
      <c r="C50" s="441"/>
      <c r="D50" s="117">
        <f>SUM(D8:D49)</f>
        <v>21270199</v>
      </c>
      <c r="E50" s="258"/>
      <c r="F50" s="117">
        <f>SUM(F8:F49)</f>
        <v>10576500.267001545</v>
      </c>
      <c r="G50" s="117"/>
      <c r="H50" s="117"/>
      <c r="I50" s="117"/>
      <c r="J50" s="117">
        <f>SUM(J8:J49)</f>
        <v>1793878189</v>
      </c>
      <c r="K50" s="117">
        <f>SUM(K8:K49)</f>
        <v>3615933828</v>
      </c>
      <c r="L50" s="119">
        <f>SUM(L8:L49)</f>
        <v>5409812017</v>
      </c>
      <c r="M50" s="439" t="s">
        <v>93</v>
      </c>
      <c r="N50" s="440"/>
      <c r="O50" s="441"/>
      <c r="P50" s="117">
        <f>SUM(P8:P49)</f>
        <v>13245033</v>
      </c>
      <c r="Q50" s="258"/>
      <c r="R50" s="117">
        <f>SUM(R8:R49)</f>
        <v>6181507.218206076</v>
      </c>
      <c r="S50" s="117"/>
      <c r="T50" s="117"/>
      <c r="U50" s="117"/>
      <c r="V50" s="117">
        <f>SUM(V8:V49)</f>
        <v>1048145349</v>
      </c>
      <c r="W50" s="117">
        <f>SUM(W8:W49)</f>
        <v>2251655604</v>
      </c>
      <c r="X50" s="119">
        <f>SUM(X8:X49)</f>
        <v>3299800953</v>
      </c>
      <c r="Y50" s="439" t="s">
        <v>93</v>
      </c>
      <c r="Z50" s="117"/>
      <c r="AA50" s="117"/>
      <c r="AB50" s="117">
        <f>SUM(AB8:AB49)</f>
        <v>2842023538</v>
      </c>
      <c r="AC50" s="117">
        <f>SUM(AC8:AC49)</f>
        <v>5867589432</v>
      </c>
      <c r="AD50" s="119">
        <f>SUM(AD8:AD49)</f>
        <v>8709612970</v>
      </c>
    </row>
  </sheetData>
  <sheetProtection/>
  <printOptions horizontalCentered="1"/>
  <pageMargins left="0.1968503937007874" right="0.1968503937007874" top="0.984251968503937" bottom="0.3937007874015748" header="0.3937007874015748" footer="0.11811023622047245"/>
  <pageSetup blackAndWhite="1" horizontalDpi="300" verticalDpi="300" orientation="portrait" paperSize="9" scale="80" r:id="rId1"/>
  <headerFooter alignWithMargins="0">
    <oddHeader>&amp;C&amp;"Times New Roman CE,Félkövér dőlt"&amp;12Adósságszolgálat számítása 
2007. évi kötvény kibocsátás</oddHeader>
    <oddFooter>&amp;L&amp;8&amp;D&amp;C&amp;8C:\Andi\adósságszolgálat2007\&amp;F\&amp;A    Oláhné P. Andrea&amp;R&amp;8&amp;P/&amp;N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pane ySplit="6" topLeftCell="BM121" activePane="bottomLeft" state="frozen"/>
      <selection pane="topLeft" activeCell="F64" sqref="F64"/>
      <selection pane="bottomLeft" activeCell="F64" sqref="F64"/>
    </sheetView>
  </sheetViews>
  <sheetFormatPr defaultColWidth="9.00390625" defaultRowHeight="12.75"/>
  <cols>
    <col min="1" max="1" width="10.875" style="58" customWidth="1"/>
    <col min="2" max="2" width="6.875" style="58" customWidth="1"/>
    <col min="3" max="3" width="12.375" style="121" bestFit="1" customWidth="1"/>
    <col min="4" max="4" width="12.625" style="121" bestFit="1" customWidth="1"/>
    <col min="5" max="5" width="9.00390625" style="122" customWidth="1"/>
    <col min="6" max="6" width="11.375" style="58" customWidth="1"/>
    <col min="7" max="7" width="12.625" style="58" bestFit="1" customWidth="1"/>
    <col min="8" max="9" width="12.375" style="58" customWidth="1"/>
    <col min="10" max="10" width="10.125" style="58" bestFit="1" customWidth="1"/>
    <col min="11" max="16384" width="9.375" style="58" customWidth="1"/>
  </cols>
  <sheetData>
    <row r="1" spans="1:9" ht="12.75">
      <c r="A1" s="163" t="s">
        <v>235</v>
      </c>
      <c r="B1" s="162"/>
      <c r="C1" s="163"/>
      <c r="D1" s="163"/>
      <c r="E1" s="164"/>
      <c r="G1" s="163"/>
      <c r="H1" s="163"/>
      <c r="I1" s="163"/>
    </row>
    <row r="2" spans="1:9" ht="12.75">
      <c r="A2" s="135" t="s">
        <v>1</v>
      </c>
      <c r="B2" s="133"/>
      <c r="C2" s="132"/>
      <c r="D2" s="132"/>
      <c r="E2" s="165"/>
      <c r="F2" s="132"/>
      <c r="G2" s="132"/>
      <c r="H2" s="132"/>
      <c r="I2" s="132"/>
    </row>
    <row r="3" spans="1:9" ht="12.75">
      <c r="A3" s="134"/>
      <c r="B3" s="133"/>
      <c r="C3" s="132"/>
      <c r="D3" s="132"/>
      <c r="E3" s="165"/>
      <c r="F3" s="132"/>
      <c r="G3" s="132"/>
      <c r="H3" s="132"/>
      <c r="I3" s="133" t="s">
        <v>2</v>
      </c>
    </row>
    <row r="4" spans="1:9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</row>
    <row r="5" spans="1:9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</row>
    <row r="6" spans="1:9" ht="12.75">
      <c r="A6" s="78"/>
      <c r="B6" s="79"/>
      <c r="C6" s="80"/>
      <c r="D6" s="80"/>
      <c r="E6" s="80"/>
      <c r="F6" s="81"/>
      <c r="G6" s="81"/>
      <c r="H6" s="82" t="s">
        <v>13</v>
      </c>
      <c r="I6" s="83" t="s">
        <v>12</v>
      </c>
    </row>
    <row r="7" spans="1:9" ht="12.75">
      <c r="A7" s="84">
        <v>36526</v>
      </c>
      <c r="B7" s="137"/>
      <c r="C7" s="138">
        <v>200000000</v>
      </c>
      <c r="D7" s="138"/>
      <c r="E7" s="138"/>
      <c r="F7" s="138"/>
      <c r="G7" s="148"/>
      <c r="H7" s="148"/>
      <c r="I7" s="149"/>
    </row>
    <row r="8" spans="1:9" ht="12.75">
      <c r="A8" s="84">
        <v>36616</v>
      </c>
      <c r="B8" s="137">
        <f aca="true" t="shared" si="0" ref="B8:B50">A8-A7</f>
        <v>90</v>
      </c>
      <c r="C8" s="138">
        <v>200000000</v>
      </c>
      <c r="D8" s="137"/>
      <c r="E8" s="53">
        <v>0.1413</v>
      </c>
      <c r="F8" s="138">
        <f>C8*E8/365*B8</f>
        <v>6968219.178082192</v>
      </c>
      <c r="G8" s="148"/>
      <c r="H8" s="148"/>
      <c r="I8" s="149"/>
    </row>
    <row r="9" spans="1:9" ht="12.75">
      <c r="A9" s="84">
        <v>36705</v>
      </c>
      <c r="B9" s="137">
        <f t="shared" si="0"/>
        <v>89</v>
      </c>
      <c r="C9" s="138">
        <f aca="true" t="shared" si="1" ref="C9:C49">C8-D9</f>
        <v>196667000</v>
      </c>
      <c r="D9" s="138">
        <v>3333000</v>
      </c>
      <c r="E9" s="53"/>
      <c r="F9" s="138"/>
      <c r="G9" s="148"/>
      <c r="H9" s="148"/>
      <c r="I9" s="149"/>
    </row>
    <row r="10" spans="1:9" ht="12.75">
      <c r="A10" s="84">
        <v>36707</v>
      </c>
      <c r="B10" s="137">
        <f t="shared" si="0"/>
        <v>2</v>
      </c>
      <c r="C10" s="138">
        <f t="shared" si="1"/>
        <v>196667000</v>
      </c>
      <c r="D10" s="138"/>
      <c r="E10" s="53">
        <v>0.109</v>
      </c>
      <c r="F10" s="138">
        <f>((C9+D9)*E10/365*B9)+(C10*E10/365*B10)</f>
        <v>5433077.824657533</v>
      </c>
      <c r="G10" s="148"/>
      <c r="H10" s="148"/>
      <c r="I10" s="149"/>
    </row>
    <row r="11" spans="1:9" ht="12.75">
      <c r="A11" s="84">
        <v>36735</v>
      </c>
      <c r="B11" s="137">
        <f t="shared" si="0"/>
        <v>28</v>
      </c>
      <c r="C11" s="138">
        <f t="shared" si="1"/>
        <v>193334000</v>
      </c>
      <c r="D11" s="138">
        <v>3333000</v>
      </c>
      <c r="E11" s="53"/>
      <c r="F11" s="138"/>
      <c r="G11" s="148"/>
      <c r="H11" s="148"/>
      <c r="I11" s="149"/>
    </row>
    <row r="12" spans="1:9" ht="12.75">
      <c r="A12" s="84">
        <v>36766</v>
      </c>
      <c r="B12" s="137">
        <f t="shared" si="0"/>
        <v>31</v>
      </c>
      <c r="C12" s="138">
        <f t="shared" si="1"/>
        <v>190001000</v>
      </c>
      <c r="D12" s="138">
        <v>3333000</v>
      </c>
      <c r="E12" s="53"/>
      <c r="F12" s="138"/>
      <c r="G12" s="148"/>
      <c r="H12" s="148"/>
      <c r="I12" s="149"/>
    </row>
    <row r="13" spans="1:9" ht="12.75">
      <c r="A13" s="84">
        <v>36797</v>
      </c>
      <c r="B13" s="137">
        <f t="shared" si="0"/>
        <v>31</v>
      </c>
      <c r="C13" s="138">
        <f t="shared" si="1"/>
        <v>186668000</v>
      </c>
      <c r="D13" s="138">
        <v>3333000</v>
      </c>
      <c r="E13" s="53"/>
      <c r="F13" s="138"/>
      <c r="G13" s="148"/>
      <c r="H13" s="148"/>
      <c r="I13" s="149"/>
    </row>
    <row r="14" spans="1:9" ht="12.75">
      <c r="A14" s="84">
        <v>36799</v>
      </c>
      <c r="B14" s="137">
        <f t="shared" si="0"/>
        <v>2</v>
      </c>
      <c r="C14" s="138">
        <f t="shared" si="1"/>
        <v>186668000</v>
      </c>
      <c r="D14" s="138"/>
      <c r="E14" s="53">
        <v>0.1111</v>
      </c>
      <c r="F14" s="138">
        <f>((C11+D11)*E14/365*B11)+((C12+D12)*E14/365*B12)+((C13+D13)*E14/365*B13)+C14*E14/365*B14</f>
        <v>5406886.045753424</v>
      </c>
      <c r="G14" s="148"/>
      <c r="H14" s="148"/>
      <c r="I14" s="149"/>
    </row>
    <row r="15" spans="1:9" ht="12.75">
      <c r="A15" s="84">
        <v>36827</v>
      </c>
      <c r="B15" s="137">
        <f t="shared" si="0"/>
        <v>28</v>
      </c>
      <c r="C15" s="138">
        <f t="shared" si="1"/>
        <v>183335000</v>
      </c>
      <c r="D15" s="138">
        <v>3333000</v>
      </c>
      <c r="E15" s="53"/>
      <c r="F15" s="138"/>
      <c r="G15" s="148"/>
      <c r="H15" s="148"/>
      <c r="I15" s="149"/>
    </row>
    <row r="16" spans="1:9" ht="12.75">
      <c r="A16" s="84">
        <v>36858</v>
      </c>
      <c r="B16" s="137">
        <f t="shared" si="0"/>
        <v>31</v>
      </c>
      <c r="C16" s="138">
        <f t="shared" si="1"/>
        <v>180002000</v>
      </c>
      <c r="D16" s="138">
        <v>3333000</v>
      </c>
      <c r="E16" s="53"/>
      <c r="F16" s="138"/>
      <c r="G16" s="148"/>
      <c r="H16" s="148"/>
      <c r="I16" s="149"/>
    </row>
    <row r="17" spans="1:9" ht="12.75">
      <c r="A17" s="84">
        <v>36888</v>
      </c>
      <c r="B17" s="137">
        <f t="shared" si="0"/>
        <v>30</v>
      </c>
      <c r="C17" s="138">
        <f t="shared" si="1"/>
        <v>176669000</v>
      </c>
      <c r="D17" s="138">
        <v>3333000</v>
      </c>
      <c r="E17" s="53"/>
      <c r="F17" s="138"/>
      <c r="G17" s="148"/>
      <c r="H17" s="148"/>
      <c r="I17" s="149"/>
    </row>
    <row r="18" spans="1:9" ht="12.75">
      <c r="A18" s="142">
        <v>36891</v>
      </c>
      <c r="B18" s="235">
        <f t="shared" si="0"/>
        <v>3</v>
      </c>
      <c r="C18" s="143">
        <f t="shared" si="1"/>
        <v>176669000</v>
      </c>
      <c r="D18" s="143"/>
      <c r="E18" s="100">
        <f>E14</f>
        <v>0.1111</v>
      </c>
      <c r="F18" s="144">
        <f>((C15+D15)*E18/365*B15)+((C16+D16)*E18/365*B16)+((C17+D17)*E18/365*B17)+C18*E18/365*B18</f>
        <v>5125866.661917808</v>
      </c>
      <c r="G18" s="150">
        <f>SUM(F8:F18)</f>
        <v>22934049.71041096</v>
      </c>
      <c r="H18" s="150">
        <f>SUM(D9:D18)</f>
        <v>23331000</v>
      </c>
      <c r="I18" s="151">
        <f>SUM(G18:H18)</f>
        <v>46265049.71041096</v>
      </c>
    </row>
    <row r="19" spans="1:9" ht="12.75">
      <c r="A19" s="84">
        <v>36919</v>
      </c>
      <c r="B19" s="137">
        <f t="shared" si="0"/>
        <v>28</v>
      </c>
      <c r="C19" s="138">
        <f t="shared" si="1"/>
        <v>173336000</v>
      </c>
      <c r="D19" s="138">
        <v>3333000</v>
      </c>
      <c r="E19" s="53"/>
      <c r="F19" s="138"/>
      <c r="G19" s="148"/>
      <c r="H19" s="148"/>
      <c r="I19" s="149"/>
    </row>
    <row r="20" spans="1:9" ht="12.75">
      <c r="A20" s="84">
        <v>36950</v>
      </c>
      <c r="B20" s="137">
        <f t="shared" si="0"/>
        <v>31</v>
      </c>
      <c r="C20" s="138">
        <f t="shared" si="1"/>
        <v>170003000</v>
      </c>
      <c r="D20" s="138">
        <v>3333000</v>
      </c>
      <c r="E20" s="53"/>
      <c r="F20" s="138"/>
      <c r="G20" s="148"/>
      <c r="H20" s="148"/>
      <c r="I20" s="149"/>
    </row>
    <row r="21" spans="1:9" ht="12.75">
      <c r="A21" s="84">
        <v>36978</v>
      </c>
      <c r="B21" s="137">
        <f t="shared" si="0"/>
        <v>28</v>
      </c>
      <c r="C21" s="138">
        <f t="shared" si="1"/>
        <v>166670000</v>
      </c>
      <c r="D21" s="138">
        <v>3333000</v>
      </c>
      <c r="E21" s="53"/>
      <c r="F21" s="138"/>
      <c r="G21" s="148"/>
      <c r="H21" s="148"/>
      <c r="I21" s="149"/>
    </row>
    <row r="22" spans="1:9" ht="12.75">
      <c r="A22" s="90">
        <v>36981</v>
      </c>
      <c r="B22" s="236">
        <f t="shared" si="0"/>
        <v>3</v>
      </c>
      <c r="C22" s="154">
        <f t="shared" si="1"/>
        <v>166670000</v>
      </c>
      <c r="D22" s="154"/>
      <c r="E22" s="53">
        <f>F22/(((C19+D19)*B19)+((C20+D20)*B20)+((C21+D21)*B21)+(C22*B22))*365</f>
        <v>0.12369512617326484</v>
      </c>
      <c r="F22" s="138">
        <v>5280000</v>
      </c>
      <c r="G22" s="155"/>
      <c r="H22" s="155"/>
      <c r="I22" s="156"/>
    </row>
    <row r="23" spans="1:9" ht="12.75">
      <c r="A23" s="90">
        <v>37009</v>
      </c>
      <c r="B23" s="236">
        <f t="shared" si="0"/>
        <v>28</v>
      </c>
      <c r="C23" s="154">
        <f t="shared" si="1"/>
        <v>163337000</v>
      </c>
      <c r="D23" s="154">
        <v>3333000</v>
      </c>
      <c r="E23" s="53"/>
      <c r="F23" s="154"/>
      <c r="G23" s="155"/>
      <c r="H23" s="155"/>
      <c r="I23" s="156"/>
    </row>
    <row r="24" spans="1:9" ht="12.75">
      <c r="A24" s="84">
        <v>37039</v>
      </c>
      <c r="B24" s="137">
        <f t="shared" si="0"/>
        <v>30</v>
      </c>
      <c r="C24" s="138">
        <f t="shared" si="1"/>
        <v>160004000</v>
      </c>
      <c r="D24" s="138">
        <v>3333000</v>
      </c>
      <c r="E24" s="53"/>
      <c r="F24" s="138"/>
      <c r="G24" s="148"/>
      <c r="H24" s="148"/>
      <c r="I24" s="149"/>
    </row>
    <row r="25" spans="1:9" ht="12.75">
      <c r="A25" s="84">
        <v>37070</v>
      </c>
      <c r="B25" s="137">
        <f t="shared" si="0"/>
        <v>31</v>
      </c>
      <c r="C25" s="138">
        <f t="shared" si="1"/>
        <v>156671000</v>
      </c>
      <c r="D25" s="138">
        <v>3333000</v>
      </c>
      <c r="E25" s="53"/>
      <c r="F25" s="138"/>
      <c r="G25" s="148"/>
      <c r="H25" s="148"/>
      <c r="I25" s="149"/>
    </row>
    <row r="26" spans="1:9" ht="12.75">
      <c r="A26" s="90">
        <v>37072</v>
      </c>
      <c r="B26" s="236">
        <f t="shared" si="0"/>
        <v>2</v>
      </c>
      <c r="C26" s="154">
        <f t="shared" si="1"/>
        <v>156671000</v>
      </c>
      <c r="D26" s="154"/>
      <c r="E26" s="53">
        <f>F26/(((C23+D23)*B23)+((C24+D24)*B24)+((C25+D25)*B25)+(C26*B26))*365</f>
        <v>0.11492800264091056</v>
      </c>
      <c r="F26" s="138">
        <v>4672795</v>
      </c>
      <c r="G26" s="155"/>
      <c r="H26" s="155"/>
      <c r="I26" s="156"/>
    </row>
    <row r="27" spans="1:9" ht="12.75">
      <c r="A27" s="90">
        <v>37100</v>
      </c>
      <c r="B27" s="236">
        <f t="shared" si="0"/>
        <v>28</v>
      </c>
      <c r="C27" s="154">
        <f t="shared" si="1"/>
        <v>153338000</v>
      </c>
      <c r="D27" s="154">
        <v>3333000</v>
      </c>
      <c r="E27" s="237"/>
      <c r="F27" s="154"/>
      <c r="G27" s="155"/>
      <c r="H27" s="155"/>
      <c r="I27" s="156"/>
    </row>
    <row r="28" spans="1:9" ht="12.75">
      <c r="A28" s="84">
        <v>37131</v>
      </c>
      <c r="B28" s="137">
        <f t="shared" si="0"/>
        <v>31</v>
      </c>
      <c r="C28" s="138">
        <f t="shared" si="1"/>
        <v>150005000</v>
      </c>
      <c r="D28" s="138">
        <v>3333000</v>
      </c>
      <c r="E28" s="53"/>
      <c r="F28" s="138"/>
      <c r="G28" s="148"/>
      <c r="H28" s="148"/>
      <c r="I28" s="149"/>
    </row>
    <row r="29" spans="1:9" ht="12.75">
      <c r="A29" s="84">
        <v>37162</v>
      </c>
      <c r="B29" s="137">
        <f t="shared" si="0"/>
        <v>31</v>
      </c>
      <c r="C29" s="138">
        <f t="shared" si="1"/>
        <v>146672000</v>
      </c>
      <c r="D29" s="138">
        <v>3333000</v>
      </c>
      <c r="E29" s="53"/>
      <c r="F29" s="138"/>
      <c r="G29" s="148"/>
      <c r="H29" s="148"/>
      <c r="I29" s="149"/>
    </row>
    <row r="30" spans="1:9" ht="12.75">
      <c r="A30" s="84">
        <v>37164</v>
      </c>
      <c r="B30" s="137">
        <f t="shared" si="0"/>
        <v>2</v>
      </c>
      <c r="C30" s="138">
        <f t="shared" si="1"/>
        <v>146672000</v>
      </c>
      <c r="D30" s="138"/>
      <c r="E30" s="53">
        <f>F30/(((C27+D27)*B27)+((C28+D28)*B28)+((C29+D29)*B29)+(C30*B30))*365</f>
        <v>0.11060316896795708</v>
      </c>
      <c r="F30" s="138">
        <v>4267696</v>
      </c>
      <c r="G30" s="148"/>
      <c r="H30" s="148"/>
      <c r="I30" s="149"/>
    </row>
    <row r="31" spans="1:9" ht="12.75">
      <c r="A31" s="84">
        <v>37192</v>
      </c>
      <c r="B31" s="137">
        <f t="shared" si="0"/>
        <v>28</v>
      </c>
      <c r="C31" s="138">
        <f t="shared" si="1"/>
        <v>143339000</v>
      </c>
      <c r="D31" s="138">
        <v>3333000</v>
      </c>
      <c r="E31" s="53"/>
      <c r="F31" s="138"/>
      <c r="G31" s="148"/>
      <c r="H31" s="148"/>
      <c r="I31" s="149"/>
    </row>
    <row r="32" spans="1:9" ht="12.75">
      <c r="A32" s="84">
        <v>37223</v>
      </c>
      <c r="B32" s="137">
        <f t="shared" si="0"/>
        <v>31</v>
      </c>
      <c r="C32" s="138">
        <f t="shared" si="1"/>
        <v>140006000</v>
      </c>
      <c r="D32" s="138">
        <v>3333000</v>
      </c>
      <c r="E32" s="53"/>
      <c r="F32" s="138"/>
      <c r="G32" s="148"/>
      <c r="H32" s="148"/>
      <c r="I32" s="149"/>
    </row>
    <row r="33" spans="1:9" ht="12.75">
      <c r="A33" s="84">
        <v>37253</v>
      </c>
      <c r="B33" s="137">
        <f t="shared" si="0"/>
        <v>30</v>
      </c>
      <c r="C33" s="138">
        <f t="shared" si="1"/>
        <v>136673000</v>
      </c>
      <c r="D33" s="138">
        <v>3333000</v>
      </c>
      <c r="E33" s="53"/>
      <c r="F33" s="138"/>
      <c r="G33" s="148"/>
      <c r="H33" s="148"/>
      <c r="I33" s="149"/>
    </row>
    <row r="34" spans="1:9" ht="12.75">
      <c r="A34" s="142">
        <v>37253</v>
      </c>
      <c r="B34" s="235">
        <f t="shared" si="0"/>
        <v>0</v>
      </c>
      <c r="C34" s="143">
        <f t="shared" si="1"/>
        <v>136673000</v>
      </c>
      <c r="D34" s="143"/>
      <c r="E34" s="100">
        <f>F34/(((C31+D31)*B31)+((C32+D32)*B32)+((C33+D33)*B33)+(C34*B34))*365</f>
        <v>0.11486524455305887</v>
      </c>
      <c r="F34" s="144">
        <v>4012575</v>
      </c>
      <c r="G34" s="150">
        <f>SUM(F22:F34)</f>
        <v>18233066</v>
      </c>
      <c r="H34" s="150">
        <f>SUM(D19:D34)</f>
        <v>39996000</v>
      </c>
      <c r="I34" s="151">
        <f>SUM(G34:H34)</f>
        <v>58229066</v>
      </c>
    </row>
    <row r="35" spans="1:9" ht="12.75">
      <c r="A35" s="84">
        <v>37284</v>
      </c>
      <c r="B35" s="137">
        <f t="shared" si="0"/>
        <v>31</v>
      </c>
      <c r="C35" s="138">
        <f t="shared" si="1"/>
        <v>133340000</v>
      </c>
      <c r="D35" s="138">
        <v>3333000</v>
      </c>
      <c r="E35" s="53"/>
      <c r="F35" s="138"/>
      <c r="G35" s="148"/>
      <c r="H35" s="148"/>
      <c r="I35" s="149"/>
    </row>
    <row r="36" spans="1:9" ht="12.75">
      <c r="A36" s="84">
        <v>37315</v>
      </c>
      <c r="B36" s="137">
        <f t="shared" si="0"/>
        <v>31</v>
      </c>
      <c r="C36" s="138">
        <f t="shared" si="1"/>
        <v>130007000</v>
      </c>
      <c r="D36" s="138">
        <v>3333000</v>
      </c>
      <c r="E36" s="53"/>
      <c r="F36" s="138"/>
      <c r="G36" s="148"/>
      <c r="H36" s="148"/>
      <c r="I36" s="149"/>
    </row>
    <row r="37" spans="1:9" ht="12.75">
      <c r="A37" s="84">
        <v>37343</v>
      </c>
      <c r="B37" s="137">
        <f t="shared" si="0"/>
        <v>28</v>
      </c>
      <c r="C37" s="138">
        <f t="shared" si="1"/>
        <v>126674000</v>
      </c>
      <c r="D37" s="138">
        <v>3333000</v>
      </c>
      <c r="E37" s="53"/>
      <c r="F37" s="138"/>
      <c r="G37" s="148"/>
      <c r="H37" s="148"/>
      <c r="I37" s="149"/>
    </row>
    <row r="38" spans="1:9" ht="12.75">
      <c r="A38" s="84">
        <v>37344</v>
      </c>
      <c r="B38" s="137">
        <f t="shared" si="0"/>
        <v>1</v>
      </c>
      <c r="C38" s="138">
        <f t="shared" si="1"/>
        <v>126674000</v>
      </c>
      <c r="D38" s="138"/>
      <c r="E38" s="53">
        <f>F38/(((C35+D35)*B35)+((C36+D36)*B36)+((C37+D37)*B37)+(C38*B38))*365</f>
        <v>0.09924336380997609</v>
      </c>
      <c r="F38" s="138">
        <v>3300120</v>
      </c>
      <c r="G38" s="148"/>
      <c r="H38" s="148"/>
      <c r="I38" s="149"/>
    </row>
    <row r="39" spans="1:9" ht="12.75">
      <c r="A39" s="84">
        <v>37374</v>
      </c>
      <c r="B39" s="137">
        <f t="shared" si="0"/>
        <v>30</v>
      </c>
      <c r="C39" s="138">
        <f t="shared" si="1"/>
        <v>123341000</v>
      </c>
      <c r="D39" s="138">
        <v>3333000</v>
      </c>
      <c r="E39" s="53"/>
      <c r="F39" s="138"/>
      <c r="G39" s="148"/>
      <c r="H39" s="148"/>
      <c r="I39" s="149"/>
    </row>
    <row r="40" spans="1:9" ht="12.75">
      <c r="A40" s="84">
        <v>37404</v>
      </c>
      <c r="B40" s="137">
        <f t="shared" si="0"/>
        <v>30</v>
      </c>
      <c r="C40" s="138">
        <f t="shared" si="1"/>
        <v>120008000</v>
      </c>
      <c r="D40" s="138">
        <v>3333000</v>
      </c>
      <c r="E40" s="53"/>
      <c r="F40" s="138"/>
      <c r="G40" s="148"/>
      <c r="H40" s="148"/>
      <c r="I40" s="149"/>
    </row>
    <row r="41" spans="1:9" ht="12.75">
      <c r="A41" s="84">
        <v>37435</v>
      </c>
      <c r="B41" s="137">
        <f t="shared" si="0"/>
        <v>31</v>
      </c>
      <c r="C41" s="138">
        <f t="shared" si="1"/>
        <v>116675000</v>
      </c>
      <c r="D41" s="138">
        <v>3333000</v>
      </c>
      <c r="E41" s="53"/>
      <c r="F41" s="138"/>
      <c r="G41" s="148"/>
      <c r="H41" s="148"/>
      <c r="I41" s="149"/>
    </row>
    <row r="42" spans="1:9" ht="12.75">
      <c r="A42" s="84">
        <v>37437</v>
      </c>
      <c r="B42" s="137">
        <f t="shared" si="0"/>
        <v>2</v>
      </c>
      <c r="C42" s="138">
        <f t="shared" si="1"/>
        <v>116675000</v>
      </c>
      <c r="D42" s="138"/>
      <c r="E42" s="53">
        <v>0.0845</v>
      </c>
      <c r="F42" s="138">
        <v>2648358</v>
      </c>
      <c r="G42" s="148"/>
      <c r="H42" s="148"/>
      <c r="I42" s="149"/>
    </row>
    <row r="43" spans="1:9" ht="12.75">
      <c r="A43" s="84">
        <v>37465</v>
      </c>
      <c r="B43" s="137">
        <f t="shared" si="0"/>
        <v>28</v>
      </c>
      <c r="C43" s="138">
        <f t="shared" si="1"/>
        <v>113342000</v>
      </c>
      <c r="D43" s="138">
        <v>3333000</v>
      </c>
      <c r="E43" s="53"/>
      <c r="F43" s="138"/>
      <c r="G43" s="148"/>
      <c r="H43" s="148"/>
      <c r="I43" s="149"/>
    </row>
    <row r="44" spans="1:9" ht="12.75">
      <c r="A44" s="84">
        <v>37496</v>
      </c>
      <c r="B44" s="137">
        <f t="shared" si="0"/>
        <v>31</v>
      </c>
      <c r="C44" s="138">
        <f t="shared" si="1"/>
        <v>110009000</v>
      </c>
      <c r="D44" s="138">
        <v>3333000</v>
      </c>
      <c r="E44" s="53"/>
      <c r="F44" s="138"/>
      <c r="G44" s="148"/>
      <c r="H44" s="148"/>
      <c r="I44" s="149"/>
    </row>
    <row r="45" spans="1:9" ht="12.75">
      <c r="A45" s="84">
        <v>37527</v>
      </c>
      <c r="B45" s="137">
        <f t="shared" si="0"/>
        <v>31</v>
      </c>
      <c r="C45" s="138">
        <f t="shared" si="1"/>
        <v>106676000</v>
      </c>
      <c r="D45" s="138">
        <v>3333000</v>
      </c>
      <c r="E45" s="53"/>
      <c r="F45" s="138"/>
      <c r="G45" s="148"/>
      <c r="H45" s="148"/>
      <c r="I45" s="149"/>
    </row>
    <row r="46" spans="1:9" ht="12.75">
      <c r="A46" s="84">
        <v>37529</v>
      </c>
      <c r="B46" s="137">
        <f t="shared" si="0"/>
        <v>2</v>
      </c>
      <c r="C46" s="138">
        <f t="shared" si="1"/>
        <v>106676000</v>
      </c>
      <c r="D46" s="138"/>
      <c r="E46" s="53">
        <v>0.0926</v>
      </c>
      <c r="F46" s="138">
        <v>2730893</v>
      </c>
      <c r="G46" s="148"/>
      <c r="H46" s="148"/>
      <c r="I46" s="149"/>
    </row>
    <row r="47" spans="1:9" ht="12.75">
      <c r="A47" s="84">
        <v>37557</v>
      </c>
      <c r="B47" s="137">
        <f t="shared" si="0"/>
        <v>28</v>
      </c>
      <c r="C47" s="138">
        <f t="shared" si="1"/>
        <v>103343000</v>
      </c>
      <c r="D47" s="138">
        <v>3333000</v>
      </c>
      <c r="E47" s="53"/>
      <c r="F47" s="138"/>
      <c r="G47" s="148"/>
      <c r="H47" s="148"/>
      <c r="I47" s="149"/>
    </row>
    <row r="48" spans="1:9" ht="12.75">
      <c r="A48" s="84">
        <v>37588</v>
      </c>
      <c r="B48" s="137">
        <f t="shared" si="0"/>
        <v>31</v>
      </c>
      <c r="C48" s="138">
        <f t="shared" si="1"/>
        <v>100010000</v>
      </c>
      <c r="D48" s="138">
        <v>3333000</v>
      </c>
      <c r="E48" s="53"/>
      <c r="F48" s="138"/>
      <c r="G48" s="148"/>
      <c r="H48" s="148"/>
      <c r="I48" s="149"/>
    </row>
    <row r="49" spans="1:9" ht="12.75">
      <c r="A49" s="90">
        <v>37618</v>
      </c>
      <c r="B49" s="91">
        <f t="shared" si="0"/>
        <v>30</v>
      </c>
      <c r="C49" s="41">
        <f t="shared" si="1"/>
        <v>96677000</v>
      </c>
      <c r="D49" s="41">
        <v>3333000</v>
      </c>
      <c r="E49" s="92"/>
      <c r="F49" s="41"/>
      <c r="G49" s="93"/>
      <c r="H49" s="93"/>
      <c r="I49" s="149"/>
    </row>
    <row r="50" spans="1:9" ht="12.75">
      <c r="A50" s="97">
        <v>37621</v>
      </c>
      <c r="B50" s="98">
        <f t="shared" si="0"/>
        <v>3</v>
      </c>
      <c r="C50" s="239">
        <v>96677000</v>
      </c>
      <c r="D50" s="99"/>
      <c r="E50" s="188">
        <v>0.0975</v>
      </c>
      <c r="F50" s="99">
        <v>2566289</v>
      </c>
      <c r="G50" s="101">
        <f>SUM(F38:F50)</f>
        <v>11245660</v>
      </c>
      <c r="H50" s="101">
        <f>SUM(D35:D50)</f>
        <v>39996000</v>
      </c>
      <c r="I50" s="146">
        <f>SUM(G50:H50)</f>
        <v>51241660</v>
      </c>
    </row>
    <row r="51" spans="1:9" ht="12.75">
      <c r="A51" s="103">
        <v>37649</v>
      </c>
      <c r="B51" s="104">
        <f aca="true" t="shared" si="2" ref="B51:B115">A51-A50</f>
        <v>28</v>
      </c>
      <c r="C51" s="42">
        <f aca="true" t="shared" si="3" ref="C51:C115">C50-D51</f>
        <v>95850000</v>
      </c>
      <c r="D51" s="42">
        <v>827000</v>
      </c>
      <c r="E51" s="105"/>
      <c r="F51" s="104"/>
      <c r="G51" s="104"/>
      <c r="H51" s="104"/>
      <c r="I51" s="242"/>
    </row>
    <row r="52" spans="1:9" ht="12.75">
      <c r="A52" s="90">
        <v>37680</v>
      </c>
      <c r="B52" s="91">
        <f t="shared" si="2"/>
        <v>31</v>
      </c>
      <c r="C52" s="41">
        <f t="shared" si="3"/>
        <v>94500000</v>
      </c>
      <c r="D52" s="41">
        <v>1350000</v>
      </c>
      <c r="E52" s="95"/>
      <c r="F52" s="91"/>
      <c r="G52" s="91"/>
      <c r="H52" s="91"/>
      <c r="I52" s="231"/>
    </row>
    <row r="53" spans="1:9" ht="12.75">
      <c r="A53" s="90">
        <v>37708</v>
      </c>
      <c r="B53" s="91">
        <f t="shared" si="2"/>
        <v>28</v>
      </c>
      <c r="C53" s="41">
        <f t="shared" si="3"/>
        <v>93150000</v>
      </c>
      <c r="D53" s="41">
        <v>1350000</v>
      </c>
      <c r="E53" s="95"/>
      <c r="F53" s="91"/>
      <c r="G53" s="91"/>
      <c r="H53" s="91"/>
      <c r="I53" s="231"/>
    </row>
    <row r="54" spans="1:9" ht="12.75">
      <c r="A54" s="90">
        <v>37711</v>
      </c>
      <c r="B54" s="91">
        <f t="shared" si="2"/>
        <v>3</v>
      </c>
      <c r="C54" s="41">
        <f t="shared" si="3"/>
        <v>93150000</v>
      </c>
      <c r="D54" s="41"/>
      <c r="E54" s="92">
        <v>0.0842</v>
      </c>
      <c r="F54" s="41">
        <v>2015895</v>
      </c>
      <c r="G54" s="91"/>
      <c r="H54" s="91"/>
      <c r="I54" s="231"/>
    </row>
    <row r="55" spans="1:9" ht="12.75">
      <c r="A55" s="97">
        <v>37739</v>
      </c>
      <c r="B55" s="98">
        <f t="shared" si="2"/>
        <v>28</v>
      </c>
      <c r="C55" s="99">
        <f t="shared" si="3"/>
        <v>91800000</v>
      </c>
      <c r="D55" s="99">
        <v>1350000</v>
      </c>
      <c r="E55" s="188"/>
      <c r="F55" s="98"/>
      <c r="G55" s="98"/>
      <c r="H55" s="98"/>
      <c r="I55" s="250"/>
    </row>
    <row r="56" spans="1:9" ht="12.75">
      <c r="A56" s="103">
        <v>37769</v>
      </c>
      <c r="B56" s="104">
        <f t="shared" si="2"/>
        <v>30</v>
      </c>
      <c r="C56" s="42">
        <f t="shared" si="3"/>
        <v>90450000</v>
      </c>
      <c r="D56" s="86">
        <v>1350000</v>
      </c>
      <c r="E56" s="105"/>
      <c r="F56" s="104"/>
      <c r="G56" s="104"/>
      <c r="H56" s="104"/>
      <c r="I56" s="242"/>
    </row>
    <row r="57" spans="1:9" ht="12.75">
      <c r="A57" s="90">
        <v>37800</v>
      </c>
      <c r="B57" s="91">
        <f t="shared" si="2"/>
        <v>31</v>
      </c>
      <c r="C57" s="41">
        <f t="shared" si="3"/>
        <v>89100000</v>
      </c>
      <c r="D57" s="41">
        <v>1350000</v>
      </c>
      <c r="E57" s="95"/>
      <c r="F57" s="91"/>
      <c r="G57" s="91"/>
      <c r="H57" s="91"/>
      <c r="I57" s="231"/>
    </row>
    <row r="58" spans="1:10" ht="12.75">
      <c r="A58" s="90">
        <v>37802</v>
      </c>
      <c r="B58" s="91">
        <f t="shared" si="2"/>
        <v>2</v>
      </c>
      <c r="C58" s="41">
        <f t="shared" si="3"/>
        <v>89100000</v>
      </c>
      <c r="D58" s="41"/>
      <c r="E58" s="92">
        <v>0.066</v>
      </c>
      <c r="F58" s="41">
        <v>1535002</v>
      </c>
      <c r="G58" s="91"/>
      <c r="H58" s="91"/>
      <c r="I58" s="231"/>
      <c r="J58" s="133"/>
    </row>
    <row r="59" spans="1:9" ht="12.75">
      <c r="A59" s="90">
        <v>37830</v>
      </c>
      <c r="B59" s="91">
        <f t="shared" si="2"/>
        <v>28</v>
      </c>
      <c r="C59" s="41">
        <f t="shared" si="3"/>
        <v>87750000</v>
      </c>
      <c r="D59" s="41">
        <v>1350000</v>
      </c>
      <c r="E59" s="95"/>
      <c r="F59" s="91"/>
      <c r="G59" s="91"/>
      <c r="H59" s="91"/>
      <c r="I59" s="231"/>
    </row>
    <row r="60" spans="1:9" ht="12.75">
      <c r="A60" s="90">
        <v>37861</v>
      </c>
      <c r="B60" s="91">
        <f t="shared" si="2"/>
        <v>31</v>
      </c>
      <c r="C60" s="41">
        <f t="shared" si="3"/>
        <v>86400000</v>
      </c>
      <c r="D60" s="41">
        <v>1350000</v>
      </c>
      <c r="E60" s="95"/>
      <c r="F60" s="91"/>
      <c r="G60" s="91"/>
      <c r="H60" s="91"/>
      <c r="I60" s="231"/>
    </row>
    <row r="61" spans="1:9" ht="12.75">
      <c r="A61" s="90">
        <v>37892</v>
      </c>
      <c r="B61" s="91">
        <f t="shared" si="2"/>
        <v>31</v>
      </c>
      <c r="C61" s="41">
        <f t="shared" si="3"/>
        <v>85050000</v>
      </c>
      <c r="D61" s="41">
        <v>1350000</v>
      </c>
      <c r="E61" s="95"/>
      <c r="F61" s="91"/>
      <c r="G61" s="91"/>
      <c r="H61" s="91"/>
      <c r="I61" s="231"/>
    </row>
    <row r="62" spans="1:9" ht="12.75">
      <c r="A62" s="90">
        <v>37894</v>
      </c>
      <c r="B62" s="91">
        <f t="shared" si="2"/>
        <v>2</v>
      </c>
      <c r="C62" s="41">
        <f t="shared" si="3"/>
        <v>85050000</v>
      </c>
      <c r="D62" s="41"/>
      <c r="E62" s="92">
        <v>0.0888</v>
      </c>
      <c r="F62" s="41">
        <v>1983366</v>
      </c>
      <c r="G62" s="91"/>
      <c r="H62" s="91"/>
      <c r="I62" s="231"/>
    </row>
    <row r="63" spans="1:10" ht="12.75">
      <c r="A63" s="90">
        <v>37922</v>
      </c>
      <c r="B63" s="91">
        <f t="shared" si="2"/>
        <v>28</v>
      </c>
      <c r="C63" s="41">
        <f t="shared" si="3"/>
        <v>83700000</v>
      </c>
      <c r="D63" s="41">
        <v>1350000</v>
      </c>
      <c r="E63" s="95"/>
      <c r="F63" s="91"/>
      <c r="G63" s="91"/>
      <c r="H63" s="91"/>
      <c r="I63" s="231"/>
      <c r="J63" s="121"/>
    </row>
    <row r="64" spans="1:9" ht="12.75">
      <c r="A64" s="90">
        <v>37953</v>
      </c>
      <c r="B64" s="91">
        <f t="shared" si="2"/>
        <v>31</v>
      </c>
      <c r="C64" s="41">
        <f t="shared" si="3"/>
        <v>82350000</v>
      </c>
      <c r="D64" s="41">
        <v>1350000</v>
      </c>
      <c r="E64" s="95"/>
      <c r="F64" s="91"/>
      <c r="G64" s="91"/>
      <c r="H64" s="91"/>
      <c r="I64" s="231"/>
    </row>
    <row r="65" spans="1:9" ht="12.75">
      <c r="A65" s="90">
        <v>37983</v>
      </c>
      <c r="B65" s="91">
        <f t="shared" si="2"/>
        <v>30</v>
      </c>
      <c r="C65" s="41">
        <f t="shared" si="3"/>
        <v>81000000</v>
      </c>
      <c r="D65" s="41">
        <v>1350000</v>
      </c>
      <c r="E65" s="95"/>
      <c r="F65" s="91"/>
      <c r="G65" s="91"/>
      <c r="H65" s="91"/>
      <c r="I65" s="231"/>
    </row>
    <row r="66" spans="1:9" ht="12.75">
      <c r="A66" s="97">
        <v>37986</v>
      </c>
      <c r="B66" s="98">
        <f t="shared" si="2"/>
        <v>3</v>
      </c>
      <c r="C66" s="99">
        <f t="shared" si="3"/>
        <v>81000000</v>
      </c>
      <c r="D66" s="99"/>
      <c r="E66" s="100">
        <v>0.0956</v>
      </c>
      <c r="F66" s="99">
        <v>2040410</v>
      </c>
      <c r="G66" s="101">
        <f>SUM(F54:F66)</f>
        <v>7574673</v>
      </c>
      <c r="H66" s="101">
        <f>SUM(D51:D66)</f>
        <v>15677000</v>
      </c>
      <c r="I66" s="102">
        <f>SUM(G66:H66)</f>
        <v>23251673</v>
      </c>
    </row>
    <row r="67" spans="1:9" ht="12.75">
      <c r="A67" s="84">
        <v>38014</v>
      </c>
      <c r="B67" s="85">
        <f t="shared" si="2"/>
        <v>28</v>
      </c>
      <c r="C67" s="86">
        <f t="shared" si="3"/>
        <v>79650000</v>
      </c>
      <c r="D67" s="41">
        <v>1350000</v>
      </c>
      <c r="E67" s="110"/>
      <c r="F67" s="85"/>
      <c r="G67" s="85"/>
      <c r="H67" s="85"/>
      <c r="I67" s="240"/>
    </row>
    <row r="68" spans="1:9" ht="12.75">
      <c r="A68" s="90">
        <v>38045</v>
      </c>
      <c r="B68" s="91">
        <f t="shared" si="2"/>
        <v>31</v>
      </c>
      <c r="C68" s="41">
        <f t="shared" si="3"/>
        <v>78300000</v>
      </c>
      <c r="D68" s="41">
        <v>1350000</v>
      </c>
      <c r="E68" s="95"/>
      <c r="F68" s="91"/>
      <c r="G68" s="91"/>
      <c r="H68" s="91"/>
      <c r="I68" s="231"/>
    </row>
    <row r="69" spans="1:10" ht="12.75">
      <c r="A69" s="90">
        <v>38074</v>
      </c>
      <c r="B69" s="91">
        <f t="shared" si="2"/>
        <v>29</v>
      </c>
      <c r="C69" s="41">
        <f t="shared" si="3"/>
        <v>76950000</v>
      </c>
      <c r="D69" s="41">
        <v>1350000</v>
      </c>
      <c r="E69" s="95"/>
      <c r="F69" s="91"/>
      <c r="G69" s="91"/>
      <c r="H69" s="91"/>
      <c r="I69" s="231"/>
      <c r="J69" s="121"/>
    </row>
    <row r="70" spans="1:9" ht="12.75">
      <c r="A70" s="90">
        <v>38077</v>
      </c>
      <c r="B70" s="91">
        <f t="shared" si="2"/>
        <v>3</v>
      </c>
      <c r="C70" s="41">
        <f t="shared" si="3"/>
        <v>76950000</v>
      </c>
      <c r="D70" s="41"/>
      <c r="E70" s="92">
        <v>0.125</v>
      </c>
      <c r="F70" s="41">
        <v>2507291</v>
      </c>
      <c r="G70" s="91"/>
      <c r="H70" s="91"/>
      <c r="I70" s="231"/>
    </row>
    <row r="71" spans="1:9" ht="12.75">
      <c r="A71" s="90">
        <v>38105</v>
      </c>
      <c r="B71" s="91">
        <f t="shared" si="2"/>
        <v>28</v>
      </c>
      <c r="C71" s="41">
        <f t="shared" si="3"/>
        <v>75600000</v>
      </c>
      <c r="D71" s="41">
        <v>1350000</v>
      </c>
      <c r="E71" s="95"/>
      <c r="F71" s="91"/>
      <c r="G71" s="91"/>
      <c r="H71" s="91"/>
      <c r="I71" s="231"/>
    </row>
    <row r="72" spans="1:9" ht="12.75">
      <c r="A72" s="90">
        <v>38135</v>
      </c>
      <c r="B72" s="91">
        <f t="shared" si="2"/>
        <v>30</v>
      </c>
      <c r="C72" s="41">
        <f t="shared" si="3"/>
        <v>74250000</v>
      </c>
      <c r="D72" s="41">
        <v>1350000</v>
      </c>
      <c r="E72" s="95"/>
      <c r="F72" s="91"/>
      <c r="G72" s="91"/>
      <c r="H72" s="91"/>
      <c r="I72" s="231"/>
    </row>
    <row r="73" spans="1:9" ht="12.75">
      <c r="A73" s="90">
        <v>38166</v>
      </c>
      <c r="B73" s="91">
        <f t="shared" si="2"/>
        <v>31</v>
      </c>
      <c r="C73" s="41">
        <f t="shared" si="3"/>
        <v>72900000</v>
      </c>
      <c r="D73" s="41">
        <v>1350000</v>
      </c>
      <c r="E73" s="95"/>
      <c r="F73" s="91"/>
      <c r="G73" s="91"/>
      <c r="H73" s="91"/>
      <c r="I73" s="231"/>
    </row>
    <row r="74" spans="1:9" ht="12.75">
      <c r="A74" s="90">
        <v>38168</v>
      </c>
      <c r="B74" s="91">
        <f t="shared" si="2"/>
        <v>2</v>
      </c>
      <c r="C74" s="41">
        <f t="shared" si="3"/>
        <v>72900000</v>
      </c>
      <c r="D74" s="41"/>
      <c r="E74" s="92">
        <v>0.1192</v>
      </c>
      <c r="F74" s="41">
        <v>2276023</v>
      </c>
      <c r="G74" s="91"/>
      <c r="H74" s="91"/>
      <c r="I74" s="231"/>
    </row>
    <row r="75" spans="1:9" ht="12.75">
      <c r="A75" s="90">
        <v>38196</v>
      </c>
      <c r="B75" s="91">
        <f t="shared" si="2"/>
        <v>28</v>
      </c>
      <c r="C75" s="41">
        <f t="shared" si="3"/>
        <v>71550000</v>
      </c>
      <c r="D75" s="41">
        <v>1350000</v>
      </c>
      <c r="E75" s="95"/>
      <c r="F75" s="91"/>
      <c r="G75" s="91"/>
      <c r="H75" s="91"/>
      <c r="I75" s="231"/>
    </row>
    <row r="76" spans="1:9" ht="12.75">
      <c r="A76" s="90">
        <v>38227</v>
      </c>
      <c r="B76" s="91">
        <f t="shared" si="2"/>
        <v>31</v>
      </c>
      <c r="C76" s="41">
        <f t="shared" si="3"/>
        <v>70200000</v>
      </c>
      <c r="D76" s="41">
        <v>1350000</v>
      </c>
      <c r="E76" s="95"/>
      <c r="F76" s="91"/>
      <c r="G76" s="91"/>
      <c r="H76" s="91"/>
      <c r="I76" s="231"/>
    </row>
    <row r="77" spans="1:9" ht="12.75">
      <c r="A77" s="90">
        <v>38258</v>
      </c>
      <c r="B77" s="91">
        <f t="shared" si="2"/>
        <v>31</v>
      </c>
      <c r="C77" s="41">
        <f t="shared" si="3"/>
        <v>68850000</v>
      </c>
      <c r="D77" s="41">
        <v>1350000</v>
      </c>
      <c r="E77" s="95"/>
      <c r="F77" s="91"/>
      <c r="G77" s="91"/>
      <c r="H77" s="91"/>
      <c r="I77" s="231"/>
    </row>
    <row r="78" spans="1:9" ht="12.75">
      <c r="A78" s="90">
        <v>38260</v>
      </c>
      <c r="B78" s="91">
        <f t="shared" si="2"/>
        <v>2</v>
      </c>
      <c r="C78" s="41">
        <f t="shared" si="3"/>
        <v>68850000</v>
      </c>
      <c r="D78" s="41"/>
      <c r="E78" s="92">
        <v>0.1162</v>
      </c>
      <c r="F78" s="41">
        <v>2123146</v>
      </c>
      <c r="G78" s="91"/>
      <c r="H78" s="91"/>
      <c r="I78" s="231"/>
    </row>
    <row r="79" spans="1:9" ht="12.75">
      <c r="A79" s="90">
        <v>38288</v>
      </c>
      <c r="B79" s="91">
        <f t="shared" si="2"/>
        <v>28</v>
      </c>
      <c r="C79" s="41">
        <f t="shared" si="3"/>
        <v>67500000</v>
      </c>
      <c r="D79" s="41">
        <v>1350000</v>
      </c>
      <c r="E79" s="95"/>
      <c r="F79" s="91"/>
      <c r="G79" s="91"/>
      <c r="H79" s="91"/>
      <c r="I79" s="231"/>
    </row>
    <row r="80" spans="1:9" ht="12.75">
      <c r="A80" s="90">
        <v>38320</v>
      </c>
      <c r="B80" s="91">
        <f t="shared" si="2"/>
        <v>32</v>
      </c>
      <c r="C80" s="41">
        <f t="shared" si="3"/>
        <v>66150000</v>
      </c>
      <c r="D80" s="41">
        <v>1350000</v>
      </c>
      <c r="E80" s="95"/>
      <c r="F80" s="91"/>
      <c r="G80" s="91"/>
      <c r="H80" s="91"/>
      <c r="I80" s="231"/>
    </row>
    <row r="81" spans="1:9" ht="12.75">
      <c r="A81" s="90">
        <v>38349</v>
      </c>
      <c r="B81" s="91">
        <f t="shared" si="2"/>
        <v>29</v>
      </c>
      <c r="C81" s="41">
        <f t="shared" si="3"/>
        <v>64800000</v>
      </c>
      <c r="D81" s="41">
        <v>1350000</v>
      </c>
      <c r="E81" s="95"/>
      <c r="F81" s="91"/>
      <c r="G81" s="91"/>
      <c r="H81" s="91"/>
      <c r="I81" s="231"/>
    </row>
    <row r="82" spans="1:9" ht="12.75">
      <c r="A82" s="97">
        <v>38352</v>
      </c>
      <c r="B82" s="98">
        <f t="shared" si="2"/>
        <v>3</v>
      </c>
      <c r="C82" s="99">
        <f t="shared" si="3"/>
        <v>64800000</v>
      </c>
      <c r="D82" s="99"/>
      <c r="E82" s="100">
        <v>0.1105</v>
      </c>
      <c r="F82" s="99">
        <v>1904315</v>
      </c>
      <c r="G82" s="101">
        <f>SUM(F70:F82)</f>
        <v>8810775</v>
      </c>
      <c r="H82" s="101">
        <f>SUM(D67:D82)</f>
        <v>16200000</v>
      </c>
      <c r="I82" s="102">
        <f>SUM(G82:H82)</f>
        <v>25010775</v>
      </c>
    </row>
    <row r="83" spans="1:9" ht="12.75">
      <c r="A83" s="84">
        <v>38380</v>
      </c>
      <c r="B83" s="85">
        <f t="shared" si="2"/>
        <v>28</v>
      </c>
      <c r="C83" s="86">
        <f t="shared" si="3"/>
        <v>63450000</v>
      </c>
      <c r="D83" s="41">
        <v>1350000</v>
      </c>
      <c r="E83" s="110"/>
      <c r="F83" s="85"/>
      <c r="G83" s="85"/>
      <c r="H83" s="85"/>
      <c r="I83" s="240"/>
    </row>
    <row r="84" spans="1:9" ht="12.75">
      <c r="A84" s="90">
        <v>38411</v>
      </c>
      <c r="B84" s="91">
        <f t="shared" si="2"/>
        <v>31</v>
      </c>
      <c r="C84" s="41">
        <f t="shared" si="3"/>
        <v>62100000</v>
      </c>
      <c r="D84" s="41">
        <v>1350000</v>
      </c>
      <c r="E84" s="95"/>
      <c r="F84" s="91"/>
      <c r="G84" s="91"/>
      <c r="H84" s="91"/>
      <c r="I84" s="231"/>
    </row>
    <row r="85" spans="1:9" ht="12.75">
      <c r="A85" s="90">
        <v>38440</v>
      </c>
      <c r="B85" s="91">
        <f t="shared" si="2"/>
        <v>29</v>
      </c>
      <c r="C85" s="41">
        <f t="shared" si="3"/>
        <v>60750000</v>
      </c>
      <c r="D85" s="41">
        <v>1350000</v>
      </c>
      <c r="E85" s="95"/>
      <c r="F85" s="91"/>
      <c r="G85" s="91"/>
      <c r="H85" s="91"/>
      <c r="I85" s="231"/>
    </row>
    <row r="86" spans="1:9" ht="12.75">
      <c r="A86" s="90">
        <v>38442</v>
      </c>
      <c r="B86" s="91">
        <f t="shared" si="2"/>
        <v>2</v>
      </c>
      <c r="C86" s="41">
        <f t="shared" si="3"/>
        <v>60750000</v>
      </c>
      <c r="D86" s="41"/>
      <c r="E86" s="92">
        <v>0.0941</v>
      </c>
      <c r="F86" s="41">
        <v>1493848</v>
      </c>
      <c r="G86" s="91"/>
      <c r="H86" s="91"/>
      <c r="I86" s="231"/>
    </row>
    <row r="87" spans="1:9" ht="12.75">
      <c r="A87" s="90">
        <v>38470</v>
      </c>
      <c r="B87" s="91">
        <f t="shared" si="2"/>
        <v>28</v>
      </c>
      <c r="C87" s="41">
        <f t="shared" si="3"/>
        <v>59400000</v>
      </c>
      <c r="D87" s="41">
        <v>1350000</v>
      </c>
      <c r="E87" s="95"/>
      <c r="F87" s="91"/>
      <c r="G87" s="91"/>
      <c r="H87" s="91"/>
      <c r="I87" s="231"/>
    </row>
    <row r="88" spans="1:9" ht="12.75">
      <c r="A88" s="90">
        <v>38502</v>
      </c>
      <c r="B88" s="91">
        <f t="shared" si="2"/>
        <v>32</v>
      </c>
      <c r="C88" s="41">
        <f t="shared" si="3"/>
        <v>58050000</v>
      </c>
      <c r="D88" s="41">
        <v>1350000</v>
      </c>
      <c r="E88" s="95"/>
      <c r="F88" s="91"/>
      <c r="G88" s="91"/>
      <c r="H88" s="91"/>
      <c r="I88" s="231"/>
    </row>
    <row r="89" spans="1:9" ht="12.75">
      <c r="A89" s="90">
        <v>38531</v>
      </c>
      <c r="B89" s="91">
        <f t="shared" si="2"/>
        <v>29</v>
      </c>
      <c r="C89" s="41">
        <f t="shared" si="3"/>
        <v>56700000</v>
      </c>
      <c r="D89" s="41">
        <v>1350000</v>
      </c>
      <c r="E89" s="95"/>
      <c r="F89" s="91"/>
      <c r="G89" s="91"/>
      <c r="H89" s="91"/>
      <c r="I89" s="231"/>
    </row>
    <row r="90" spans="1:9" ht="12.75">
      <c r="A90" s="90">
        <v>38533</v>
      </c>
      <c r="B90" s="91">
        <f t="shared" si="2"/>
        <v>2</v>
      </c>
      <c r="C90" s="41">
        <f t="shared" si="3"/>
        <v>56700000</v>
      </c>
      <c r="D90" s="41"/>
      <c r="E90" s="92">
        <v>0.0779</v>
      </c>
      <c r="F90" s="41">
        <v>1170942</v>
      </c>
      <c r="G90" s="91"/>
      <c r="H90" s="91"/>
      <c r="I90" s="231"/>
    </row>
    <row r="91" spans="1:9" ht="12.75">
      <c r="A91" s="90">
        <v>38561</v>
      </c>
      <c r="B91" s="91">
        <f t="shared" si="2"/>
        <v>28</v>
      </c>
      <c r="C91" s="41">
        <f t="shared" si="3"/>
        <v>55350000</v>
      </c>
      <c r="D91" s="41">
        <v>1350000</v>
      </c>
      <c r="E91" s="95"/>
      <c r="F91" s="91"/>
      <c r="G91" s="91"/>
      <c r="H91" s="91"/>
      <c r="I91" s="231"/>
    </row>
    <row r="92" spans="1:9" ht="12.75">
      <c r="A92" s="90">
        <v>38593</v>
      </c>
      <c r="B92" s="91">
        <f t="shared" si="2"/>
        <v>32</v>
      </c>
      <c r="C92" s="41">
        <f t="shared" si="3"/>
        <v>54000000</v>
      </c>
      <c r="D92" s="41">
        <v>1350000</v>
      </c>
      <c r="E92" s="95"/>
      <c r="F92" s="91"/>
      <c r="G92" s="91"/>
      <c r="H92" s="91"/>
      <c r="I92" s="231"/>
    </row>
    <row r="93" spans="1:9" ht="12.75">
      <c r="A93" s="90">
        <v>38623</v>
      </c>
      <c r="B93" s="91">
        <f t="shared" si="2"/>
        <v>30</v>
      </c>
      <c r="C93" s="41">
        <f t="shared" si="3"/>
        <v>52650000</v>
      </c>
      <c r="D93" s="41">
        <v>1350000</v>
      </c>
      <c r="E93" s="95"/>
      <c r="F93" s="91"/>
      <c r="G93" s="91"/>
      <c r="H93" s="91"/>
      <c r="I93" s="231"/>
    </row>
    <row r="94" spans="1:9" ht="12.75">
      <c r="A94" s="90">
        <v>38625</v>
      </c>
      <c r="B94" s="91">
        <f t="shared" si="2"/>
        <v>2</v>
      </c>
      <c r="C94" s="41">
        <f t="shared" si="3"/>
        <v>52650000</v>
      </c>
      <c r="D94" s="41"/>
      <c r="E94" s="92">
        <v>0.0697</v>
      </c>
      <c r="F94" s="41">
        <v>985630</v>
      </c>
      <c r="G94" s="91"/>
      <c r="H94" s="91"/>
      <c r="I94" s="231"/>
    </row>
    <row r="95" spans="1:9" ht="12.75">
      <c r="A95" s="90">
        <v>38653</v>
      </c>
      <c r="B95" s="91">
        <f t="shared" si="2"/>
        <v>28</v>
      </c>
      <c r="C95" s="41">
        <f t="shared" si="3"/>
        <v>51300000</v>
      </c>
      <c r="D95" s="41">
        <v>1350000</v>
      </c>
      <c r="E95" s="95"/>
      <c r="F95" s="91"/>
      <c r="G95" s="91"/>
      <c r="H95" s="91"/>
      <c r="I95" s="231"/>
    </row>
    <row r="96" spans="1:9" ht="12.75">
      <c r="A96" s="90">
        <v>38684</v>
      </c>
      <c r="B96" s="91">
        <f t="shared" si="2"/>
        <v>31</v>
      </c>
      <c r="C96" s="41">
        <f t="shared" si="3"/>
        <v>49950000</v>
      </c>
      <c r="D96" s="41">
        <v>1350000</v>
      </c>
      <c r="E96" s="95"/>
      <c r="F96" s="91"/>
      <c r="G96" s="91"/>
      <c r="H96" s="91"/>
      <c r="I96" s="231"/>
    </row>
    <row r="97" spans="1:9" ht="12.75">
      <c r="A97" s="90">
        <v>38714</v>
      </c>
      <c r="B97" s="91">
        <f t="shared" si="2"/>
        <v>30</v>
      </c>
      <c r="C97" s="41">
        <f t="shared" si="3"/>
        <v>48600000</v>
      </c>
      <c r="D97" s="41">
        <v>1350000</v>
      </c>
      <c r="E97" s="95"/>
      <c r="F97" s="91"/>
      <c r="G97" s="91"/>
      <c r="H97" s="91"/>
      <c r="I97" s="231"/>
    </row>
    <row r="98" spans="1:9" ht="12.75">
      <c r="A98" s="97">
        <v>38716</v>
      </c>
      <c r="B98" s="98">
        <f t="shared" si="2"/>
        <v>2</v>
      </c>
      <c r="C98" s="99">
        <f t="shared" si="3"/>
        <v>48600000</v>
      </c>
      <c r="D98" s="99"/>
      <c r="E98" s="100">
        <v>0.0605</v>
      </c>
      <c r="F98" s="99">
        <v>784518</v>
      </c>
      <c r="G98" s="101">
        <f>SUM(F86:F98)</f>
        <v>4434938</v>
      </c>
      <c r="H98" s="101">
        <f>SUM(D83:D98)</f>
        <v>16200000</v>
      </c>
      <c r="I98" s="102">
        <f>SUM(G98:H98)</f>
        <v>20634938</v>
      </c>
    </row>
    <row r="99" spans="1:9" ht="12.75">
      <c r="A99" s="84">
        <v>38747</v>
      </c>
      <c r="B99" s="85">
        <f t="shared" si="2"/>
        <v>31</v>
      </c>
      <c r="C99" s="86">
        <f t="shared" si="3"/>
        <v>47250000</v>
      </c>
      <c r="D99" s="41">
        <v>1350000</v>
      </c>
      <c r="E99" s="110"/>
      <c r="F99" s="85"/>
      <c r="G99" s="85"/>
      <c r="H99" s="85"/>
      <c r="I99" s="240"/>
    </row>
    <row r="100" spans="1:9" ht="12.75">
      <c r="A100" s="90">
        <v>38776</v>
      </c>
      <c r="B100" s="91">
        <f t="shared" si="2"/>
        <v>29</v>
      </c>
      <c r="C100" s="41">
        <f t="shared" si="3"/>
        <v>45900000</v>
      </c>
      <c r="D100" s="41">
        <v>1350000</v>
      </c>
      <c r="E100" s="95"/>
      <c r="F100" s="91"/>
      <c r="G100" s="91"/>
      <c r="H100" s="91"/>
      <c r="I100" s="231"/>
    </row>
    <row r="101" spans="1:9" ht="12.75">
      <c r="A101" s="90">
        <v>38804</v>
      </c>
      <c r="B101" s="91">
        <f t="shared" si="2"/>
        <v>28</v>
      </c>
      <c r="C101" s="41">
        <f t="shared" si="3"/>
        <v>44550000</v>
      </c>
      <c r="D101" s="41">
        <v>1350000</v>
      </c>
      <c r="E101" s="95"/>
      <c r="F101" s="91"/>
      <c r="G101" s="91"/>
      <c r="H101" s="91"/>
      <c r="I101" s="231"/>
    </row>
    <row r="102" spans="1:9" ht="12.75">
      <c r="A102" s="90">
        <v>38807</v>
      </c>
      <c r="B102" s="91">
        <f t="shared" si="2"/>
        <v>3</v>
      </c>
      <c r="C102" s="41">
        <f t="shared" si="3"/>
        <v>44550000</v>
      </c>
      <c r="D102" s="41"/>
      <c r="E102" s="92">
        <v>0.0632</v>
      </c>
      <c r="F102" s="41">
        <v>753405</v>
      </c>
      <c r="G102" s="91"/>
      <c r="H102" s="91"/>
      <c r="I102" s="231"/>
    </row>
    <row r="103" spans="1:9" ht="12.75">
      <c r="A103" s="90">
        <v>38835</v>
      </c>
      <c r="B103" s="91">
        <f t="shared" si="2"/>
        <v>28</v>
      </c>
      <c r="C103" s="41">
        <f t="shared" si="3"/>
        <v>43200000</v>
      </c>
      <c r="D103" s="41">
        <v>1350000</v>
      </c>
      <c r="E103" s="95"/>
      <c r="F103" s="91"/>
      <c r="G103" s="91"/>
      <c r="H103" s="91"/>
      <c r="I103" s="231"/>
    </row>
    <row r="104" spans="1:9" ht="12.75">
      <c r="A104" s="97">
        <v>38866</v>
      </c>
      <c r="B104" s="98">
        <f t="shared" si="2"/>
        <v>31</v>
      </c>
      <c r="C104" s="99">
        <f t="shared" si="3"/>
        <v>41850000</v>
      </c>
      <c r="D104" s="99">
        <v>1350000</v>
      </c>
      <c r="E104" s="188"/>
      <c r="F104" s="98"/>
      <c r="G104" s="98"/>
      <c r="H104" s="98"/>
      <c r="I104" s="250"/>
    </row>
    <row r="105" spans="1:9" ht="12.75">
      <c r="A105" s="103">
        <v>38896</v>
      </c>
      <c r="B105" s="104">
        <f t="shared" si="2"/>
        <v>30</v>
      </c>
      <c r="C105" s="42">
        <f t="shared" si="3"/>
        <v>40500000</v>
      </c>
      <c r="D105" s="86">
        <v>1350000</v>
      </c>
      <c r="E105" s="105"/>
      <c r="F105" s="104"/>
      <c r="G105" s="104"/>
      <c r="H105" s="104"/>
      <c r="I105" s="242"/>
    </row>
    <row r="106" spans="1:9" ht="12.75">
      <c r="A106" s="90">
        <v>38898</v>
      </c>
      <c r="B106" s="91">
        <f t="shared" si="2"/>
        <v>2</v>
      </c>
      <c r="C106" s="41">
        <f t="shared" si="3"/>
        <v>40500000</v>
      </c>
      <c r="D106" s="41"/>
      <c r="E106" s="92">
        <v>0.0638</v>
      </c>
      <c r="F106" s="41">
        <v>695186</v>
      </c>
      <c r="G106" s="91"/>
      <c r="H106" s="91"/>
      <c r="I106" s="231"/>
    </row>
    <row r="107" spans="1:9" ht="12.75">
      <c r="A107" s="90">
        <v>38926</v>
      </c>
      <c r="B107" s="91">
        <f t="shared" si="2"/>
        <v>28</v>
      </c>
      <c r="C107" s="41">
        <f t="shared" si="3"/>
        <v>39150000</v>
      </c>
      <c r="D107" s="41">
        <v>1350000</v>
      </c>
      <c r="E107" s="95"/>
      <c r="F107" s="91"/>
      <c r="G107" s="91"/>
      <c r="H107" s="91"/>
      <c r="I107" s="231"/>
    </row>
    <row r="108" spans="1:9" ht="12.75">
      <c r="A108" s="90">
        <v>38957</v>
      </c>
      <c r="B108" s="91">
        <f t="shared" si="2"/>
        <v>31</v>
      </c>
      <c r="C108" s="41">
        <f t="shared" si="3"/>
        <v>37800000</v>
      </c>
      <c r="D108" s="41">
        <v>1350000</v>
      </c>
      <c r="E108" s="95"/>
      <c r="F108" s="91"/>
      <c r="G108" s="91"/>
      <c r="H108" s="91"/>
      <c r="I108" s="231"/>
    </row>
    <row r="109" spans="1:9" ht="12.75">
      <c r="A109" s="90">
        <v>38988</v>
      </c>
      <c r="B109" s="91">
        <f t="shared" si="2"/>
        <v>31</v>
      </c>
      <c r="C109" s="41">
        <f t="shared" si="3"/>
        <v>36450000</v>
      </c>
      <c r="D109" s="41">
        <v>1350000</v>
      </c>
      <c r="E109" s="95"/>
      <c r="F109" s="91"/>
      <c r="G109" s="91"/>
      <c r="H109" s="91"/>
      <c r="I109" s="231"/>
    </row>
    <row r="110" spans="1:9" ht="12.75">
      <c r="A110" s="90">
        <v>38989</v>
      </c>
      <c r="B110" s="91">
        <f t="shared" si="2"/>
        <v>1</v>
      </c>
      <c r="C110" s="41">
        <f t="shared" si="3"/>
        <v>36450000</v>
      </c>
      <c r="D110" s="41"/>
      <c r="E110" s="92">
        <v>0.0672</v>
      </c>
      <c r="F110" s="41">
        <v>663386</v>
      </c>
      <c r="G110" s="91"/>
      <c r="H110" s="91"/>
      <c r="I110" s="231"/>
    </row>
    <row r="111" spans="1:9" ht="12.75">
      <c r="A111" s="90">
        <v>38991</v>
      </c>
      <c r="B111" s="91">
        <f>A111-A110</f>
        <v>2</v>
      </c>
      <c r="C111" s="41">
        <f>C110-D111</f>
        <v>36450000</v>
      </c>
      <c r="D111" s="41"/>
      <c r="E111" s="92">
        <v>0.0672</v>
      </c>
      <c r="F111" s="41"/>
      <c r="G111" s="91"/>
      <c r="H111" s="91"/>
      <c r="I111" s="231"/>
    </row>
    <row r="112" spans="1:9" ht="12.75">
      <c r="A112" s="90">
        <v>39020</v>
      </c>
      <c r="B112" s="91">
        <f>A112-A111</f>
        <v>29</v>
      </c>
      <c r="C112" s="41">
        <f>C111-D112</f>
        <v>35100000</v>
      </c>
      <c r="D112" s="41">
        <v>1350000</v>
      </c>
      <c r="E112" s="95"/>
      <c r="F112" s="91"/>
      <c r="G112" s="91"/>
      <c r="H112" s="91"/>
      <c r="I112" s="231"/>
    </row>
    <row r="113" spans="1:9" ht="12.75">
      <c r="A113" s="90">
        <v>39049</v>
      </c>
      <c r="B113" s="91">
        <f t="shared" si="2"/>
        <v>29</v>
      </c>
      <c r="C113" s="41">
        <f t="shared" si="3"/>
        <v>33750000</v>
      </c>
      <c r="D113" s="41">
        <v>1350000</v>
      </c>
      <c r="E113" s="95"/>
      <c r="F113" s="91"/>
      <c r="G113" s="91"/>
      <c r="H113" s="91"/>
      <c r="I113" s="231"/>
    </row>
    <row r="114" spans="1:9" ht="12.75">
      <c r="A114" s="90">
        <v>39079</v>
      </c>
      <c r="B114" s="91">
        <f t="shared" si="2"/>
        <v>30</v>
      </c>
      <c r="C114" s="41">
        <f t="shared" si="3"/>
        <v>32400000</v>
      </c>
      <c r="D114" s="41">
        <v>1350000</v>
      </c>
      <c r="E114" s="95"/>
      <c r="F114" s="91"/>
      <c r="G114" s="91"/>
      <c r="H114" s="91"/>
      <c r="I114" s="231"/>
    </row>
    <row r="115" spans="1:9" ht="12.75">
      <c r="A115" s="97">
        <v>39080</v>
      </c>
      <c r="B115" s="98">
        <f t="shared" si="2"/>
        <v>1</v>
      </c>
      <c r="C115" s="99">
        <f t="shared" si="3"/>
        <v>32400000</v>
      </c>
      <c r="D115" s="99"/>
      <c r="E115" s="100">
        <v>0.0799</v>
      </c>
      <c r="F115" s="99">
        <v>706041</v>
      </c>
      <c r="G115" s="101">
        <f>SUM(F102:F115)</f>
        <v>2818018</v>
      </c>
      <c r="H115" s="101">
        <f>SUM(D99:D115)</f>
        <v>16200000</v>
      </c>
      <c r="I115" s="102">
        <f>SUM(G115:H115)</f>
        <v>19018018</v>
      </c>
    </row>
    <row r="116" spans="1:9" ht="12.75">
      <c r="A116" s="84">
        <v>39111</v>
      </c>
      <c r="B116" s="85">
        <f aca="true" t="shared" si="4" ref="B116:B129">A116-A115</f>
        <v>31</v>
      </c>
      <c r="C116" s="86">
        <f aca="true" t="shared" si="5" ref="C116:C130">C115-D116</f>
        <v>31050000</v>
      </c>
      <c r="D116" s="41">
        <v>1350000</v>
      </c>
      <c r="E116" s="110"/>
      <c r="F116" s="85"/>
      <c r="G116" s="85"/>
      <c r="H116" s="85"/>
      <c r="I116" s="240"/>
    </row>
    <row r="117" spans="1:9" ht="12.75">
      <c r="A117" s="90">
        <v>39141</v>
      </c>
      <c r="B117" s="91">
        <f t="shared" si="4"/>
        <v>30</v>
      </c>
      <c r="C117" s="41">
        <f t="shared" si="5"/>
        <v>29700000</v>
      </c>
      <c r="D117" s="41">
        <v>1350000</v>
      </c>
      <c r="E117" s="95"/>
      <c r="F117" s="91"/>
      <c r="G117" s="91"/>
      <c r="H117" s="91"/>
      <c r="I117" s="231"/>
    </row>
    <row r="118" spans="1:9" ht="12.75">
      <c r="A118" s="90">
        <v>39169</v>
      </c>
      <c r="B118" s="91">
        <f t="shared" si="4"/>
        <v>28</v>
      </c>
      <c r="C118" s="41">
        <f t="shared" si="5"/>
        <v>28350000</v>
      </c>
      <c r="D118" s="41">
        <v>1350000</v>
      </c>
      <c r="E118" s="95"/>
      <c r="F118" s="91"/>
      <c r="G118" s="91"/>
      <c r="H118" s="91"/>
      <c r="I118" s="231"/>
    </row>
    <row r="119" spans="1:9" ht="12.75">
      <c r="A119" s="90">
        <v>39171</v>
      </c>
      <c r="B119" s="91">
        <f t="shared" si="4"/>
        <v>2</v>
      </c>
      <c r="C119" s="41">
        <f t="shared" si="5"/>
        <v>28350000</v>
      </c>
      <c r="D119" s="41"/>
      <c r="E119" s="92">
        <v>0.0813</v>
      </c>
      <c r="F119" s="41">
        <v>637421</v>
      </c>
      <c r="G119" s="91"/>
      <c r="H119" s="91"/>
      <c r="I119" s="231"/>
    </row>
    <row r="120" spans="1:9" ht="12.75">
      <c r="A120" s="90">
        <v>39200</v>
      </c>
      <c r="B120" s="91">
        <f t="shared" si="4"/>
        <v>29</v>
      </c>
      <c r="C120" s="41">
        <f t="shared" si="5"/>
        <v>27000000</v>
      </c>
      <c r="D120" s="41">
        <v>1350000</v>
      </c>
      <c r="E120" s="95"/>
      <c r="F120" s="91"/>
      <c r="G120" s="91"/>
      <c r="H120" s="91"/>
      <c r="I120" s="231"/>
    </row>
    <row r="121" spans="1:9" ht="12.75">
      <c r="A121" s="90">
        <v>39230</v>
      </c>
      <c r="B121" s="91">
        <f t="shared" si="4"/>
        <v>30</v>
      </c>
      <c r="C121" s="41">
        <f t="shared" si="5"/>
        <v>25650000</v>
      </c>
      <c r="D121" s="41">
        <v>1350000</v>
      </c>
      <c r="E121" s="95"/>
      <c r="F121" s="91"/>
      <c r="G121" s="91"/>
      <c r="H121" s="91"/>
      <c r="I121" s="231"/>
    </row>
    <row r="122" spans="1:9" ht="12.75">
      <c r="A122" s="90">
        <v>39261</v>
      </c>
      <c r="B122" s="91">
        <f t="shared" si="4"/>
        <v>31</v>
      </c>
      <c r="C122" s="41">
        <f t="shared" si="5"/>
        <v>24300000</v>
      </c>
      <c r="D122" s="41">
        <v>1350000</v>
      </c>
      <c r="E122" s="95"/>
      <c r="F122" s="91"/>
      <c r="G122" s="91"/>
      <c r="H122" s="91"/>
      <c r="I122" s="231"/>
    </row>
    <row r="123" spans="1:9" ht="12.75">
      <c r="A123" s="90">
        <v>39262</v>
      </c>
      <c r="B123" s="91">
        <f t="shared" si="4"/>
        <v>1</v>
      </c>
      <c r="C123" s="41">
        <f t="shared" si="5"/>
        <v>24300000</v>
      </c>
      <c r="D123" s="41"/>
      <c r="E123" s="92">
        <v>0.0798</v>
      </c>
      <c r="F123" s="41">
        <v>543674</v>
      </c>
      <c r="G123" s="91"/>
      <c r="H123" s="91"/>
      <c r="I123" s="231"/>
    </row>
    <row r="124" spans="1:9" ht="12.75">
      <c r="A124" s="90">
        <v>39291</v>
      </c>
      <c r="B124" s="91">
        <f t="shared" si="4"/>
        <v>29</v>
      </c>
      <c r="C124" s="41">
        <f t="shared" si="5"/>
        <v>22950000</v>
      </c>
      <c r="D124" s="41">
        <v>1350000</v>
      </c>
      <c r="E124" s="95"/>
      <c r="F124" s="91"/>
      <c r="G124" s="91"/>
      <c r="H124" s="91"/>
      <c r="I124" s="231"/>
    </row>
    <row r="125" spans="1:9" ht="12.75">
      <c r="A125" s="90">
        <v>39322</v>
      </c>
      <c r="B125" s="91">
        <f t="shared" si="4"/>
        <v>31</v>
      </c>
      <c r="C125" s="41">
        <f t="shared" si="5"/>
        <v>21600000</v>
      </c>
      <c r="D125" s="41">
        <v>1350000</v>
      </c>
      <c r="E125" s="95"/>
      <c r="F125" s="91"/>
      <c r="G125" s="91"/>
      <c r="H125" s="91"/>
      <c r="I125" s="231"/>
    </row>
    <row r="126" spans="1:9" ht="12.75">
      <c r="A126" s="90">
        <v>39353</v>
      </c>
      <c r="B126" s="91">
        <f t="shared" si="4"/>
        <v>31</v>
      </c>
      <c r="C126" s="41">
        <f t="shared" si="5"/>
        <v>20250000</v>
      </c>
      <c r="D126" s="41">
        <v>1350000</v>
      </c>
      <c r="E126" s="95"/>
      <c r="F126" s="91"/>
      <c r="G126" s="91"/>
      <c r="H126" s="91"/>
      <c r="I126" s="231"/>
    </row>
    <row r="127" spans="1:9" ht="12.75">
      <c r="A127" s="90">
        <v>39353</v>
      </c>
      <c r="B127" s="91">
        <f t="shared" si="4"/>
        <v>0</v>
      </c>
      <c r="C127" s="41">
        <f t="shared" si="5"/>
        <v>20250000</v>
      </c>
      <c r="D127" s="41"/>
      <c r="E127" s="92">
        <v>0.0785</v>
      </c>
      <c r="F127" s="41">
        <v>454985</v>
      </c>
      <c r="G127" s="91"/>
      <c r="H127" s="91"/>
      <c r="I127" s="231"/>
    </row>
    <row r="128" spans="1:9" ht="12.75">
      <c r="A128" s="90">
        <v>39383</v>
      </c>
      <c r="B128" s="91">
        <f t="shared" si="4"/>
        <v>30</v>
      </c>
      <c r="C128" s="41">
        <f t="shared" si="5"/>
        <v>18900000</v>
      </c>
      <c r="D128" s="41">
        <v>1350000</v>
      </c>
      <c r="E128" s="95"/>
      <c r="F128" s="91"/>
      <c r="G128" s="91"/>
      <c r="H128" s="91"/>
      <c r="I128" s="231"/>
    </row>
    <row r="129" spans="1:9" ht="12.75">
      <c r="A129" s="90">
        <v>39414</v>
      </c>
      <c r="B129" s="91">
        <f t="shared" si="4"/>
        <v>31</v>
      </c>
      <c r="C129" s="41">
        <f t="shared" si="5"/>
        <v>17550000</v>
      </c>
      <c r="D129" s="41">
        <v>1350000</v>
      </c>
      <c r="E129" s="95"/>
      <c r="F129" s="91"/>
      <c r="G129" s="91"/>
      <c r="H129" s="91"/>
      <c r="I129" s="231"/>
    </row>
    <row r="130" spans="1:9" ht="12.75">
      <c r="A130" s="90">
        <v>39438</v>
      </c>
      <c r="B130" s="91"/>
      <c r="C130" s="41">
        <f t="shared" si="5"/>
        <v>0</v>
      </c>
      <c r="D130" s="41">
        <v>17550000</v>
      </c>
      <c r="E130" s="95">
        <v>0.0763</v>
      </c>
      <c r="F130" s="91">
        <v>342577</v>
      </c>
      <c r="G130" s="91"/>
      <c r="H130" s="91"/>
      <c r="I130" s="231"/>
    </row>
    <row r="131" spans="1:9" ht="13.5" thickBot="1">
      <c r="A131" s="97"/>
      <c r="B131" s="98"/>
      <c r="C131" s="99"/>
      <c r="D131" s="99"/>
      <c r="E131" s="100"/>
      <c r="F131" s="99"/>
      <c r="G131" s="101">
        <f>SUM(F119:F131)</f>
        <v>1978657</v>
      </c>
      <c r="H131" s="101">
        <f>SUM(D116:D131)</f>
        <v>32400000</v>
      </c>
      <c r="I131" s="102">
        <f>SUM(G131:H131)</f>
        <v>34378657</v>
      </c>
    </row>
    <row r="132" spans="1:9" ht="13.5" thickTop="1">
      <c r="A132" s="560" t="s">
        <v>14</v>
      </c>
      <c r="B132" s="561"/>
      <c r="C132" s="561"/>
      <c r="D132" s="117">
        <f>SUM(D7:D131)</f>
        <v>200000000</v>
      </c>
      <c r="E132" s="252"/>
      <c r="F132" s="117">
        <f>SUM(F8:F131)</f>
        <v>78029836.71041095</v>
      </c>
      <c r="G132" s="117">
        <f>SUM(G18:G131)</f>
        <v>78029836.71041095</v>
      </c>
      <c r="H132" s="117">
        <f>SUM(H17:H131)</f>
        <v>200000000</v>
      </c>
      <c r="I132" s="249">
        <f>SUM(I16:I131)</f>
        <v>278029836.71041095</v>
      </c>
    </row>
    <row r="133" spans="1:8" ht="12.75">
      <c r="A133" s="120"/>
      <c r="B133" s="56"/>
      <c r="C133" s="253"/>
      <c r="D133" s="253"/>
      <c r="E133" s="254"/>
      <c r="F133" s="253"/>
      <c r="G133" s="56"/>
      <c r="H133" s="56"/>
    </row>
    <row r="134" spans="1:8" ht="12.75">
      <c r="A134" s="120"/>
      <c r="B134" s="56"/>
      <c r="C134" s="253"/>
      <c r="D134" s="253"/>
      <c r="E134" s="255"/>
      <c r="F134" s="56"/>
      <c r="G134" s="56"/>
      <c r="H134" s="56"/>
    </row>
    <row r="135" spans="5:8" ht="12.75">
      <c r="E135" s="58"/>
      <c r="F135" s="121"/>
      <c r="H135" s="56"/>
    </row>
    <row r="136" spans="5:8" ht="12.75">
      <c r="E136" s="58"/>
      <c r="F136" s="121"/>
      <c r="H136" s="56"/>
    </row>
    <row r="137" spans="5:8" ht="12.75">
      <c r="E137" s="58"/>
      <c r="H137" s="56"/>
    </row>
    <row r="138" spans="5:8" ht="12.75">
      <c r="E138" s="58"/>
      <c r="H138" s="56"/>
    </row>
    <row r="139" spans="5:8" ht="12.75">
      <c r="E139" s="58"/>
      <c r="F139" s="121"/>
      <c r="H139" s="56"/>
    </row>
    <row r="140" spans="1:8" ht="12.75">
      <c r="A140" s="120"/>
      <c r="B140" s="56"/>
      <c r="C140" s="253"/>
      <c r="D140" s="253"/>
      <c r="E140" s="254"/>
      <c r="F140" s="253"/>
      <c r="G140" s="56"/>
      <c r="H140" s="56"/>
    </row>
    <row r="141" spans="1:3" ht="12.75">
      <c r="A141" s="120"/>
      <c r="B141" s="56"/>
      <c r="C141" s="253"/>
    </row>
    <row r="142" spans="1:4" ht="12.75">
      <c r="A142" s="56"/>
      <c r="B142" s="56"/>
      <c r="C142" s="253"/>
      <c r="D142" s="253"/>
    </row>
    <row r="143" spans="1:4" ht="12.75">
      <c r="A143" s="56"/>
      <c r="B143" s="56"/>
      <c r="C143" s="253"/>
      <c r="D143" s="253"/>
    </row>
  </sheetData>
  <sheetProtection/>
  <mergeCells count="1">
    <mergeCell ref="A132:C132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1999. évben felvett 200 MFt hitel</oddHeader>
    <oddFooter>&amp;L&amp;9&amp;D
C:\Andi\adósságszolgálat\&amp;F\&amp;A&amp;R&amp;P/&amp;N</oddFooter>
  </headerFooter>
  <rowBreaks count="2" manualBreakCount="2">
    <brk id="55" max="255" man="1"/>
    <brk id="10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BG129"/>
  <sheetViews>
    <sheetView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00390625" defaultRowHeight="12.75"/>
  <cols>
    <col min="1" max="1" width="51.625" style="4" customWidth="1"/>
    <col min="2" max="2" width="12.00390625" style="4" hidden="1" customWidth="1"/>
    <col min="3" max="3" width="11.875" style="4" hidden="1" customWidth="1"/>
    <col min="4" max="4" width="10.875" style="18" hidden="1" customWidth="1"/>
    <col min="5" max="5" width="9.875" style="0" hidden="1" customWidth="1"/>
    <col min="6" max="6" width="10.875" style="19" hidden="1" customWidth="1"/>
    <col min="7" max="7" width="10.00390625" style="4" hidden="1" customWidth="1"/>
    <col min="8" max="8" width="10.875" style="19" hidden="1" customWidth="1"/>
    <col min="9" max="9" width="10.375" style="4" hidden="1" customWidth="1"/>
    <col min="10" max="10" width="12.00390625" style="19" hidden="1" customWidth="1"/>
    <col min="11" max="11" width="10.375" style="4" hidden="1" customWidth="1"/>
    <col min="12" max="12" width="11.00390625" style="19" hidden="1" customWidth="1"/>
    <col min="13" max="13" width="10.375" style="4" hidden="1" customWidth="1"/>
    <col min="14" max="14" width="11.125" style="19" customWidth="1"/>
    <col min="15" max="15" width="10.375" style="4" customWidth="1"/>
    <col min="16" max="16" width="12.625" style="19" customWidth="1"/>
    <col min="17" max="17" width="11.125" style="4" customWidth="1"/>
    <col min="18" max="18" width="12.625" style="19" customWidth="1"/>
    <col min="19" max="19" width="11.125" style="4" customWidth="1"/>
    <col min="20" max="20" width="12.625" style="19" customWidth="1"/>
    <col min="21" max="21" width="11.125" style="4" customWidth="1"/>
    <col min="22" max="22" width="11.625" style="19" customWidth="1"/>
    <col min="23" max="23" width="11.00390625" style="4" customWidth="1"/>
    <col min="24" max="24" width="11.125" style="4" customWidth="1"/>
    <col min="25" max="25" width="10.50390625" style="4" customWidth="1"/>
    <col min="26" max="26" width="12.625" style="4" customWidth="1"/>
    <col min="27" max="27" width="11.125" style="4" customWidth="1"/>
    <col min="28" max="28" width="12.625" style="4" customWidth="1"/>
    <col min="29" max="29" width="10.375" style="4" customWidth="1"/>
    <col min="30" max="30" width="12.625" style="4" customWidth="1"/>
    <col min="31" max="31" width="11.125" style="4" customWidth="1"/>
    <col min="32" max="32" width="12.625" style="4" customWidth="1"/>
    <col min="33" max="33" width="10.375" style="4" customWidth="1"/>
    <col min="34" max="34" width="11.50390625" style="4" customWidth="1"/>
    <col min="35" max="35" width="10.375" style="4" customWidth="1"/>
    <col min="36" max="36" width="11.50390625" style="4" customWidth="1"/>
    <col min="37" max="37" width="10.375" style="4" customWidth="1"/>
    <col min="38" max="38" width="10.875" style="4" customWidth="1"/>
    <col min="39" max="39" width="10.375" style="4" customWidth="1"/>
    <col min="40" max="40" width="10.875" style="4" customWidth="1"/>
    <col min="41" max="41" width="10.375" style="4" customWidth="1"/>
    <col min="42" max="42" width="10.875" style="4" customWidth="1"/>
    <col min="43" max="43" width="11.125" style="4" customWidth="1"/>
    <col min="44" max="44" width="10.875" style="4" customWidth="1"/>
    <col min="45" max="45" width="10.375" style="4" customWidth="1"/>
    <col min="46" max="46" width="10.875" style="4" customWidth="1"/>
    <col min="47" max="47" width="11.125" style="4" customWidth="1"/>
    <col min="48" max="48" width="10.875" style="4" customWidth="1"/>
    <col min="49" max="49" width="10.375" style="4" customWidth="1"/>
    <col min="50" max="50" width="10.875" style="4" customWidth="1"/>
    <col min="51" max="51" width="10.375" style="4" customWidth="1"/>
    <col min="52" max="52" width="10.875" style="4" customWidth="1"/>
    <col min="53" max="53" width="9.50390625" style="4" customWidth="1"/>
    <col min="54" max="54" width="9.00390625" style="4" customWidth="1"/>
    <col min="55" max="55" width="8.625" style="4" customWidth="1"/>
    <col min="56" max="16384" width="9.375" style="4" customWidth="1"/>
  </cols>
  <sheetData>
    <row r="1" spans="1:22" s="38" customFormat="1" ht="14.25">
      <c r="A1" s="447" t="s">
        <v>199</v>
      </c>
      <c r="D1" s="415"/>
      <c r="E1" s="416"/>
      <c r="F1" s="417"/>
      <c r="H1" s="417"/>
      <c r="J1" s="417"/>
      <c r="L1" s="417"/>
      <c r="M1" s="417"/>
      <c r="N1" s="417"/>
      <c r="P1" s="417"/>
      <c r="R1" s="417"/>
      <c r="T1" s="417"/>
      <c r="V1" s="417"/>
    </row>
    <row r="2" spans="1:22" s="38" customFormat="1" ht="6" customHeight="1">
      <c r="A2" s="350"/>
      <c r="D2" s="415"/>
      <c r="E2" s="416"/>
      <c r="F2" s="417"/>
      <c r="H2" s="417"/>
      <c r="J2" s="417"/>
      <c r="L2" s="417"/>
      <c r="N2" s="417"/>
      <c r="P2" s="417"/>
      <c r="R2" s="417"/>
      <c r="T2" s="417"/>
      <c r="V2" s="417"/>
    </row>
    <row r="3" spans="1:55" ht="12.75">
      <c r="A3" s="3" t="s">
        <v>22</v>
      </c>
      <c r="B3" s="572" t="s">
        <v>63</v>
      </c>
      <c r="C3" s="573"/>
      <c r="D3" s="572" t="s">
        <v>23</v>
      </c>
      <c r="E3" s="573"/>
      <c r="F3" s="572" t="s">
        <v>24</v>
      </c>
      <c r="G3" s="573"/>
      <c r="H3" s="572" t="s">
        <v>25</v>
      </c>
      <c r="I3" s="573"/>
      <c r="J3" s="572" t="s">
        <v>26</v>
      </c>
      <c r="K3" s="573"/>
      <c r="L3" s="570" t="s">
        <v>27</v>
      </c>
      <c r="M3" s="571"/>
      <c r="N3" s="574" t="s">
        <v>28</v>
      </c>
      <c r="O3" s="574"/>
      <c r="P3" s="575" t="s">
        <v>29</v>
      </c>
      <c r="Q3" s="575"/>
      <c r="R3" s="572" t="s">
        <v>30</v>
      </c>
      <c r="S3" s="573"/>
      <c r="T3" s="570" t="s">
        <v>31</v>
      </c>
      <c r="U3" s="571"/>
      <c r="V3" s="570" t="s">
        <v>44</v>
      </c>
      <c r="W3" s="571"/>
      <c r="X3" s="570" t="s">
        <v>45</v>
      </c>
      <c r="Y3" s="571"/>
      <c r="Z3" s="570" t="s">
        <v>46</v>
      </c>
      <c r="AA3" s="571"/>
      <c r="AB3" s="570" t="s">
        <v>47</v>
      </c>
      <c r="AC3" s="571"/>
      <c r="AD3" s="570" t="s">
        <v>48</v>
      </c>
      <c r="AE3" s="571"/>
      <c r="AF3" s="570" t="s">
        <v>49</v>
      </c>
      <c r="AG3" s="571"/>
      <c r="AH3" s="570" t="s">
        <v>50</v>
      </c>
      <c r="AI3" s="571"/>
      <c r="AJ3" s="570" t="s">
        <v>51</v>
      </c>
      <c r="AK3" s="571"/>
      <c r="AL3" s="570" t="s">
        <v>52</v>
      </c>
      <c r="AM3" s="571"/>
      <c r="AN3" s="570" t="s">
        <v>53</v>
      </c>
      <c r="AO3" s="571"/>
      <c r="AP3" s="570" t="s">
        <v>54</v>
      </c>
      <c r="AQ3" s="571"/>
      <c r="AR3" s="570" t="s">
        <v>111</v>
      </c>
      <c r="AS3" s="571"/>
      <c r="AT3" s="570" t="s">
        <v>112</v>
      </c>
      <c r="AU3" s="571"/>
      <c r="AV3" s="570" t="s">
        <v>113</v>
      </c>
      <c r="AW3" s="571"/>
      <c r="AX3" s="570" t="s">
        <v>153</v>
      </c>
      <c r="AY3" s="571"/>
      <c r="AZ3" s="570" t="s">
        <v>218</v>
      </c>
      <c r="BA3" s="571"/>
      <c r="BB3" s="570" t="s">
        <v>287</v>
      </c>
      <c r="BC3" s="571"/>
    </row>
    <row r="4" spans="1:55" ht="12.75">
      <c r="A4" s="5"/>
      <c r="B4" s="6" t="s">
        <v>32</v>
      </c>
      <c r="C4" s="21" t="s">
        <v>33</v>
      </c>
      <c r="D4" s="6" t="s">
        <v>32</v>
      </c>
      <c r="E4" s="21" t="s">
        <v>33</v>
      </c>
      <c r="F4" s="6" t="s">
        <v>32</v>
      </c>
      <c r="G4" s="21" t="s">
        <v>33</v>
      </c>
      <c r="H4" s="6" t="s">
        <v>32</v>
      </c>
      <c r="I4" s="21" t="s">
        <v>33</v>
      </c>
      <c r="J4" s="6" t="s">
        <v>32</v>
      </c>
      <c r="K4" s="21" t="s">
        <v>33</v>
      </c>
      <c r="L4" s="6" t="s">
        <v>32</v>
      </c>
      <c r="M4" s="21" t="s">
        <v>33</v>
      </c>
      <c r="N4" s="46" t="s">
        <v>32</v>
      </c>
      <c r="O4" s="21" t="s">
        <v>33</v>
      </c>
      <c r="P4" s="6" t="s">
        <v>32</v>
      </c>
      <c r="Q4" s="49" t="s">
        <v>33</v>
      </c>
      <c r="R4" s="33" t="s">
        <v>32</v>
      </c>
      <c r="S4" s="21" t="s">
        <v>33</v>
      </c>
      <c r="T4" s="6" t="s">
        <v>32</v>
      </c>
      <c r="U4" s="21" t="s">
        <v>33</v>
      </c>
      <c r="V4" s="33" t="s">
        <v>32</v>
      </c>
      <c r="W4" s="21" t="s">
        <v>33</v>
      </c>
      <c r="X4" s="32" t="s">
        <v>32</v>
      </c>
      <c r="Y4" s="34" t="s">
        <v>33</v>
      </c>
      <c r="Z4" s="32" t="s">
        <v>32</v>
      </c>
      <c r="AA4" s="34" t="s">
        <v>33</v>
      </c>
      <c r="AB4" s="32" t="s">
        <v>32</v>
      </c>
      <c r="AC4" s="34" t="s">
        <v>33</v>
      </c>
      <c r="AD4" s="32" t="s">
        <v>32</v>
      </c>
      <c r="AE4" s="34" t="s">
        <v>33</v>
      </c>
      <c r="AF4" s="32" t="s">
        <v>32</v>
      </c>
      <c r="AG4" s="34" t="s">
        <v>33</v>
      </c>
      <c r="AH4" s="32" t="s">
        <v>32</v>
      </c>
      <c r="AI4" s="34" t="s">
        <v>33</v>
      </c>
      <c r="AJ4" s="32" t="s">
        <v>32</v>
      </c>
      <c r="AK4" s="34" t="s">
        <v>33</v>
      </c>
      <c r="AL4" s="32" t="s">
        <v>32</v>
      </c>
      <c r="AM4" s="34" t="s">
        <v>33</v>
      </c>
      <c r="AN4" s="32" t="s">
        <v>32</v>
      </c>
      <c r="AO4" s="34" t="s">
        <v>33</v>
      </c>
      <c r="AP4" s="32" t="s">
        <v>32</v>
      </c>
      <c r="AQ4" s="34" t="s">
        <v>174</v>
      </c>
      <c r="AR4" s="32" t="s">
        <v>32</v>
      </c>
      <c r="AS4" s="34" t="s">
        <v>174</v>
      </c>
      <c r="AT4" s="32" t="s">
        <v>32</v>
      </c>
      <c r="AU4" s="34" t="s">
        <v>174</v>
      </c>
      <c r="AV4" s="32" t="s">
        <v>32</v>
      </c>
      <c r="AW4" s="34" t="s">
        <v>174</v>
      </c>
      <c r="AX4" s="32" t="s">
        <v>32</v>
      </c>
      <c r="AY4" s="34" t="s">
        <v>174</v>
      </c>
      <c r="AZ4" s="32" t="s">
        <v>32</v>
      </c>
      <c r="BA4" s="34" t="s">
        <v>174</v>
      </c>
      <c r="BB4" s="32" t="s">
        <v>32</v>
      </c>
      <c r="BC4" s="34" t="s">
        <v>174</v>
      </c>
    </row>
    <row r="5" spans="1:55" ht="12.75">
      <c r="A5" s="25"/>
      <c r="B5" s="7" t="s">
        <v>34</v>
      </c>
      <c r="C5" s="26"/>
      <c r="D5" s="7" t="s">
        <v>34</v>
      </c>
      <c r="E5" s="26"/>
      <c r="F5" s="7" t="s">
        <v>34</v>
      </c>
      <c r="G5" s="26"/>
      <c r="H5" s="7" t="s">
        <v>34</v>
      </c>
      <c r="I5" s="26"/>
      <c r="J5" s="7" t="s">
        <v>34</v>
      </c>
      <c r="K5" s="26"/>
      <c r="L5" s="1" t="s">
        <v>34</v>
      </c>
      <c r="M5" s="26"/>
      <c r="N5" s="47" t="s">
        <v>34</v>
      </c>
      <c r="O5" s="26"/>
      <c r="P5" s="7" t="s">
        <v>34</v>
      </c>
      <c r="Q5" s="50"/>
      <c r="R5" s="1" t="s">
        <v>34</v>
      </c>
      <c r="S5" s="26"/>
      <c r="T5" s="7" t="s">
        <v>34</v>
      </c>
      <c r="U5" s="26"/>
      <c r="V5" s="1" t="s">
        <v>34</v>
      </c>
      <c r="W5" s="26"/>
      <c r="X5" s="30" t="s">
        <v>34</v>
      </c>
      <c r="Y5" s="31"/>
      <c r="Z5" s="30" t="s">
        <v>34</v>
      </c>
      <c r="AA5" s="31"/>
      <c r="AB5" s="30" t="s">
        <v>34</v>
      </c>
      <c r="AC5" s="31"/>
      <c r="AD5" s="30" t="s">
        <v>34</v>
      </c>
      <c r="AE5" s="31"/>
      <c r="AF5" s="30" t="s">
        <v>34</v>
      </c>
      <c r="AG5" s="31"/>
      <c r="AH5" s="30" t="s">
        <v>34</v>
      </c>
      <c r="AI5" s="31"/>
      <c r="AJ5" s="30" t="s">
        <v>34</v>
      </c>
      <c r="AK5" s="31"/>
      <c r="AL5" s="30" t="s">
        <v>34</v>
      </c>
      <c r="AM5" s="31"/>
      <c r="AN5" s="30" t="s">
        <v>34</v>
      </c>
      <c r="AO5" s="31"/>
      <c r="AP5" s="30" t="s">
        <v>34</v>
      </c>
      <c r="AQ5" s="31" t="s">
        <v>175</v>
      </c>
      <c r="AR5" s="30" t="s">
        <v>34</v>
      </c>
      <c r="AS5" s="31" t="s">
        <v>175</v>
      </c>
      <c r="AT5" s="30" t="s">
        <v>34</v>
      </c>
      <c r="AU5" s="31" t="s">
        <v>175</v>
      </c>
      <c r="AV5" s="30" t="s">
        <v>34</v>
      </c>
      <c r="AW5" s="31" t="s">
        <v>175</v>
      </c>
      <c r="AX5" s="30" t="s">
        <v>34</v>
      </c>
      <c r="AY5" s="31" t="s">
        <v>175</v>
      </c>
      <c r="AZ5" s="30" t="s">
        <v>34</v>
      </c>
      <c r="BA5" s="31" t="s">
        <v>175</v>
      </c>
      <c r="BB5" s="30" t="s">
        <v>34</v>
      </c>
      <c r="BC5" s="31" t="s">
        <v>175</v>
      </c>
    </row>
    <row r="6" spans="1:56" ht="12.75" customHeight="1" hidden="1">
      <c r="A6" s="5" t="s">
        <v>64</v>
      </c>
      <c r="B6" s="8">
        <f>C6+D6</f>
        <v>120000</v>
      </c>
      <c r="C6" s="16">
        <v>40000</v>
      </c>
      <c r="D6" s="8">
        <f>SUM(E6,G6,I6,K6,M6,O6)</f>
        <v>80000</v>
      </c>
      <c r="E6" s="16">
        <v>12760</v>
      </c>
      <c r="F6" s="8">
        <f>D6-E6</f>
        <v>67240</v>
      </c>
      <c r="G6" s="16">
        <v>13120</v>
      </c>
      <c r="H6" s="12">
        <f>F6-G6</f>
        <v>54120</v>
      </c>
      <c r="I6" s="16">
        <v>13120</v>
      </c>
      <c r="J6" s="48">
        <f>H6-I6</f>
        <v>41000</v>
      </c>
      <c r="K6" s="16">
        <v>13120</v>
      </c>
      <c r="L6" s="28">
        <v>27880</v>
      </c>
      <c r="M6" s="16">
        <f>ROUND('1998. évi 200 MFt (...03)'!H104/1000,0)</f>
        <v>27880</v>
      </c>
      <c r="N6" s="13" t="s">
        <v>35</v>
      </c>
      <c r="O6" s="14" t="s">
        <v>35</v>
      </c>
      <c r="P6" s="13" t="s">
        <v>35</v>
      </c>
      <c r="Q6" s="14" t="s">
        <v>35</v>
      </c>
      <c r="R6" s="20" t="s">
        <v>35</v>
      </c>
      <c r="S6" s="24" t="s">
        <v>35</v>
      </c>
      <c r="T6" s="39" t="s">
        <v>35</v>
      </c>
      <c r="U6" s="24" t="s">
        <v>35</v>
      </c>
      <c r="V6" s="20" t="s">
        <v>35</v>
      </c>
      <c r="W6" s="24" t="s">
        <v>35</v>
      </c>
      <c r="X6" s="39" t="s">
        <v>35</v>
      </c>
      <c r="Y6" s="24" t="s">
        <v>35</v>
      </c>
      <c r="Z6" s="13" t="s">
        <v>35</v>
      </c>
      <c r="AA6" s="14" t="s">
        <v>35</v>
      </c>
      <c r="AB6" s="13" t="s">
        <v>35</v>
      </c>
      <c r="AC6" s="14" t="s">
        <v>35</v>
      </c>
      <c r="AD6" s="13" t="s">
        <v>35</v>
      </c>
      <c r="AE6" s="14" t="s">
        <v>35</v>
      </c>
      <c r="AF6" s="13" t="s">
        <v>35</v>
      </c>
      <c r="AG6" s="14" t="s">
        <v>35</v>
      </c>
      <c r="AH6" s="13" t="s">
        <v>35</v>
      </c>
      <c r="AI6" s="14" t="s">
        <v>35</v>
      </c>
      <c r="AJ6" s="13" t="s">
        <v>35</v>
      </c>
      <c r="AK6" s="14" t="s">
        <v>35</v>
      </c>
      <c r="AL6" s="13" t="s">
        <v>35</v>
      </c>
      <c r="AM6" s="14" t="s">
        <v>35</v>
      </c>
      <c r="AN6" s="13" t="s">
        <v>35</v>
      </c>
      <c r="AO6" s="14" t="s">
        <v>35</v>
      </c>
      <c r="AP6" s="13" t="s">
        <v>35</v>
      </c>
      <c r="AQ6" s="14" t="s">
        <v>35</v>
      </c>
      <c r="AR6" s="13" t="s">
        <v>35</v>
      </c>
      <c r="AS6" s="14" t="s">
        <v>35</v>
      </c>
      <c r="AT6" s="13" t="s">
        <v>35</v>
      </c>
      <c r="AU6" s="14" t="s">
        <v>35</v>
      </c>
      <c r="AV6" s="13" t="s">
        <v>35</v>
      </c>
      <c r="AW6" s="14" t="s">
        <v>35</v>
      </c>
      <c r="AX6" s="13" t="s">
        <v>35</v>
      </c>
      <c r="AY6" s="14" t="s">
        <v>35</v>
      </c>
      <c r="AZ6" s="13" t="s">
        <v>35</v>
      </c>
      <c r="BA6" s="14" t="s">
        <v>35</v>
      </c>
      <c r="BB6" s="13" t="s">
        <v>35</v>
      </c>
      <c r="BC6" s="14" t="s">
        <v>35</v>
      </c>
      <c r="BD6" s="492" t="s">
        <v>275</v>
      </c>
    </row>
    <row r="7" spans="1:56" ht="12.75" hidden="1">
      <c r="A7" s="5" t="s">
        <v>65</v>
      </c>
      <c r="B7" s="8">
        <f>C7+D7</f>
        <v>136673</v>
      </c>
      <c r="C7" s="16">
        <v>39996</v>
      </c>
      <c r="D7" s="8">
        <f>SUM(E7,G7,I7,K7,M7,O7)</f>
        <v>96677</v>
      </c>
      <c r="E7" s="16">
        <v>15677</v>
      </c>
      <c r="F7" s="8">
        <f>D7-E7</f>
        <v>81000</v>
      </c>
      <c r="G7" s="16">
        <v>16200</v>
      </c>
      <c r="H7" s="12">
        <f aca="true" t="shared" si="0" ref="H7:H12">F7-G7</f>
        <v>64800</v>
      </c>
      <c r="I7" s="16">
        <v>16200</v>
      </c>
      <c r="J7" s="48">
        <f aca="true" t="shared" si="1" ref="J7:J19">H7-I7</f>
        <v>48600</v>
      </c>
      <c r="K7" s="16">
        <v>16200</v>
      </c>
      <c r="L7" s="28">
        <v>32400</v>
      </c>
      <c r="M7" s="16">
        <f>ROUND('1999. évi 200 MFt (...04)'!H131/1000,0)</f>
        <v>32400</v>
      </c>
      <c r="N7" s="13" t="s">
        <v>35</v>
      </c>
      <c r="O7" s="14" t="s">
        <v>35</v>
      </c>
      <c r="P7" s="13" t="s">
        <v>35</v>
      </c>
      <c r="Q7" s="14" t="s">
        <v>35</v>
      </c>
      <c r="R7" s="13" t="s">
        <v>35</v>
      </c>
      <c r="S7" s="14" t="s">
        <v>35</v>
      </c>
      <c r="T7" s="13" t="s">
        <v>35</v>
      </c>
      <c r="U7" s="14" t="s">
        <v>35</v>
      </c>
      <c r="V7" s="13" t="s">
        <v>35</v>
      </c>
      <c r="W7" s="14" t="s">
        <v>35</v>
      </c>
      <c r="X7" s="13" t="s">
        <v>35</v>
      </c>
      <c r="Y7" s="14" t="s">
        <v>35</v>
      </c>
      <c r="Z7" s="13" t="s">
        <v>35</v>
      </c>
      <c r="AA7" s="14" t="s">
        <v>35</v>
      </c>
      <c r="AB7" s="13" t="s">
        <v>35</v>
      </c>
      <c r="AC7" s="14" t="s">
        <v>35</v>
      </c>
      <c r="AD7" s="13" t="s">
        <v>35</v>
      </c>
      <c r="AE7" s="14" t="s">
        <v>35</v>
      </c>
      <c r="AF7" s="13" t="s">
        <v>35</v>
      </c>
      <c r="AG7" s="14" t="s">
        <v>35</v>
      </c>
      <c r="AH7" s="13" t="s">
        <v>35</v>
      </c>
      <c r="AI7" s="14" t="s">
        <v>35</v>
      </c>
      <c r="AJ7" s="13" t="s">
        <v>35</v>
      </c>
      <c r="AK7" s="14" t="s">
        <v>35</v>
      </c>
      <c r="AL7" s="13" t="s">
        <v>35</v>
      </c>
      <c r="AM7" s="14" t="s">
        <v>35</v>
      </c>
      <c r="AN7" s="13" t="s">
        <v>35</v>
      </c>
      <c r="AO7" s="14" t="s">
        <v>35</v>
      </c>
      <c r="AP7" s="13" t="s">
        <v>35</v>
      </c>
      <c r="AQ7" s="14" t="s">
        <v>35</v>
      </c>
      <c r="AR7" s="13" t="s">
        <v>35</v>
      </c>
      <c r="AS7" s="14" t="s">
        <v>35</v>
      </c>
      <c r="AT7" s="13" t="s">
        <v>35</v>
      </c>
      <c r="AU7" s="14" t="s">
        <v>35</v>
      </c>
      <c r="AV7" s="13" t="s">
        <v>35</v>
      </c>
      <c r="AW7" s="14" t="s">
        <v>35</v>
      </c>
      <c r="AX7" s="13" t="s">
        <v>35</v>
      </c>
      <c r="AY7" s="14" t="s">
        <v>35</v>
      </c>
      <c r="AZ7" s="13" t="s">
        <v>35</v>
      </c>
      <c r="BA7" s="14" t="s">
        <v>35</v>
      </c>
      <c r="BB7" s="13" t="s">
        <v>35</v>
      </c>
      <c r="BC7" s="14" t="s">
        <v>35</v>
      </c>
      <c r="BD7" s="492" t="s">
        <v>275</v>
      </c>
    </row>
    <row r="8" spans="1:56" ht="12.75" hidden="1">
      <c r="A8" s="15" t="s">
        <v>202</v>
      </c>
      <c r="B8" s="8">
        <f>C8+D8</f>
        <v>166668</v>
      </c>
      <c r="C8" s="23">
        <v>66664</v>
      </c>
      <c r="D8" s="12">
        <f>SUM(E8,G8,I8,K8,M8)</f>
        <v>100004</v>
      </c>
      <c r="E8" s="16">
        <v>20004</v>
      </c>
      <c r="F8" s="8">
        <f>D8-E8</f>
        <v>80000</v>
      </c>
      <c r="G8" s="16">
        <v>20000</v>
      </c>
      <c r="H8" s="12">
        <f t="shared" si="0"/>
        <v>60000</v>
      </c>
      <c r="I8" s="16">
        <v>20000</v>
      </c>
      <c r="J8" s="48">
        <f t="shared" si="1"/>
        <v>40000</v>
      </c>
      <c r="K8" s="16">
        <v>20000</v>
      </c>
      <c r="L8" s="28">
        <f>J8-K8</f>
        <v>20000</v>
      </c>
      <c r="M8" s="23">
        <v>20000</v>
      </c>
      <c r="N8" s="13" t="s">
        <v>35</v>
      </c>
      <c r="O8" s="14" t="s">
        <v>35</v>
      </c>
      <c r="P8" s="13" t="s">
        <v>35</v>
      </c>
      <c r="Q8" s="14" t="s">
        <v>35</v>
      </c>
      <c r="R8" s="13" t="s">
        <v>35</v>
      </c>
      <c r="S8" s="14" t="s">
        <v>35</v>
      </c>
      <c r="T8" s="13" t="s">
        <v>35</v>
      </c>
      <c r="U8" s="14" t="s">
        <v>35</v>
      </c>
      <c r="V8" s="13" t="s">
        <v>35</v>
      </c>
      <c r="W8" s="14" t="s">
        <v>35</v>
      </c>
      <c r="X8" s="13" t="s">
        <v>35</v>
      </c>
      <c r="Y8" s="14" t="s">
        <v>35</v>
      </c>
      <c r="Z8" s="13" t="s">
        <v>35</v>
      </c>
      <c r="AA8" s="14" t="s">
        <v>35</v>
      </c>
      <c r="AB8" s="13" t="s">
        <v>35</v>
      </c>
      <c r="AC8" s="14" t="s">
        <v>35</v>
      </c>
      <c r="AD8" s="13" t="s">
        <v>35</v>
      </c>
      <c r="AE8" s="14" t="s">
        <v>35</v>
      </c>
      <c r="AF8" s="13" t="s">
        <v>35</v>
      </c>
      <c r="AG8" s="14" t="s">
        <v>35</v>
      </c>
      <c r="AH8" s="13" t="s">
        <v>35</v>
      </c>
      <c r="AI8" s="14" t="s">
        <v>35</v>
      </c>
      <c r="AJ8" s="13" t="s">
        <v>35</v>
      </c>
      <c r="AK8" s="14" t="s">
        <v>35</v>
      </c>
      <c r="AL8" s="13" t="s">
        <v>35</v>
      </c>
      <c r="AM8" s="14" t="s">
        <v>35</v>
      </c>
      <c r="AN8" s="13" t="s">
        <v>35</v>
      </c>
      <c r="AO8" s="14" t="s">
        <v>35</v>
      </c>
      <c r="AP8" s="13" t="s">
        <v>35</v>
      </c>
      <c r="AQ8" s="14" t="s">
        <v>35</v>
      </c>
      <c r="AR8" s="13" t="s">
        <v>35</v>
      </c>
      <c r="AS8" s="14" t="s">
        <v>35</v>
      </c>
      <c r="AT8" s="13" t="s">
        <v>35</v>
      </c>
      <c r="AU8" s="14" t="s">
        <v>35</v>
      </c>
      <c r="AV8" s="13" t="s">
        <v>35</v>
      </c>
      <c r="AW8" s="14" t="s">
        <v>35</v>
      </c>
      <c r="AX8" s="13" t="s">
        <v>35</v>
      </c>
      <c r="AY8" s="14" t="s">
        <v>35</v>
      </c>
      <c r="AZ8" s="13" t="s">
        <v>35</v>
      </c>
      <c r="BA8" s="14" t="s">
        <v>35</v>
      </c>
      <c r="BB8" s="13" t="s">
        <v>35</v>
      </c>
      <c r="BC8" s="14" t="s">
        <v>35</v>
      </c>
      <c r="BD8" s="492"/>
    </row>
    <row r="9" spans="1:56" ht="12.75" hidden="1">
      <c r="A9" s="15" t="s">
        <v>203</v>
      </c>
      <c r="B9" s="8">
        <f>C9+D9</f>
        <v>237500</v>
      </c>
      <c r="C9" s="23">
        <v>50000</v>
      </c>
      <c r="D9" s="12">
        <f>SUM(E9,G9,I9,K9,M9,O9,Q9)</f>
        <v>187500</v>
      </c>
      <c r="E9" s="16">
        <v>26700</v>
      </c>
      <c r="F9" s="8">
        <f>D9-E9</f>
        <v>160800</v>
      </c>
      <c r="G9" s="16">
        <v>26800</v>
      </c>
      <c r="H9" s="12">
        <f t="shared" si="0"/>
        <v>134000</v>
      </c>
      <c r="I9" s="16">
        <v>26800</v>
      </c>
      <c r="J9" s="48">
        <f t="shared" si="1"/>
        <v>107200</v>
      </c>
      <c r="K9" s="16">
        <v>26800</v>
      </c>
      <c r="L9" s="28">
        <v>80400</v>
      </c>
      <c r="M9" s="16">
        <f>ROUND('2000. dec-i 250 MFt (...05)'!H62/1000,0)</f>
        <v>80400</v>
      </c>
      <c r="N9" s="13" t="s">
        <v>35</v>
      </c>
      <c r="O9" s="14" t="s">
        <v>35</v>
      </c>
      <c r="P9" s="13" t="s">
        <v>35</v>
      </c>
      <c r="Q9" s="14" t="s">
        <v>35</v>
      </c>
      <c r="R9" s="13" t="s">
        <v>35</v>
      </c>
      <c r="S9" s="14" t="s">
        <v>35</v>
      </c>
      <c r="T9" s="13" t="s">
        <v>35</v>
      </c>
      <c r="U9" s="14" t="s">
        <v>35</v>
      </c>
      <c r="V9" s="13" t="s">
        <v>35</v>
      </c>
      <c r="W9" s="14" t="s">
        <v>35</v>
      </c>
      <c r="X9" s="13" t="s">
        <v>35</v>
      </c>
      <c r="Y9" s="14" t="s">
        <v>35</v>
      </c>
      <c r="Z9" s="13" t="s">
        <v>35</v>
      </c>
      <c r="AA9" s="14" t="s">
        <v>35</v>
      </c>
      <c r="AB9" s="13" t="s">
        <v>35</v>
      </c>
      <c r="AC9" s="14" t="s">
        <v>35</v>
      </c>
      <c r="AD9" s="13" t="s">
        <v>35</v>
      </c>
      <c r="AE9" s="14" t="s">
        <v>35</v>
      </c>
      <c r="AF9" s="13" t="s">
        <v>35</v>
      </c>
      <c r="AG9" s="14" t="s">
        <v>35</v>
      </c>
      <c r="AH9" s="13" t="s">
        <v>35</v>
      </c>
      <c r="AI9" s="14" t="s">
        <v>35</v>
      </c>
      <c r="AJ9" s="13" t="s">
        <v>35</v>
      </c>
      <c r="AK9" s="14" t="s">
        <v>35</v>
      </c>
      <c r="AL9" s="13" t="s">
        <v>35</v>
      </c>
      <c r="AM9" s="14" t="s">
        <v>35</v>
      </c>
      <c r="AN9" s="13" t="s">
        <v>35</v>
      </c>
      <c r="AO9" s="14" t="s">
        <v>35</v>
      </c>
      <c r="AP9" s="13" t="s">
        <v>35</v>
      </c>
      <c r="AQ9" s="14" t="s">
        <v>35</v>
      </c>
      <c r="AR9" s="13" t="s">
        <v>35</v>
      </c>
      <c r="AS9" s="14" t="s">
        <v>35</v>
      </c>
      <c r="AT9" s="13" t="s">
        <v>35</v>
      </c>
      <c r="AU9" s="14" t="s">
        <v>35</v>
      </c>
      <c r="AV9" s="13" t="s">
        <v>35</v>
      </c>
      <c r="AW9" s="14" t="s">
        <v>35</v>
      </c>
      <c r="AX9" s="13" t="s">
        <v>35</v>
      </c>
      <c r="AY9" s="14" t="s">
        <v>35</v>
      </c>
      <c r="AZ9" s="13" t="s">
        <v>35</v>
      </c>
      <c r="BA9" s="14" t="s">
        <v>35</v>
      </c>
      <c r="BB9" s="13" t="s">
        <v>35</v>
      </c>
      <c r="BC9" s="14" t="s">
        <v>35</v>
      </c>
      <c r="BD9" s="492" t="s">
        <v>275</v>
      </c>
    </row>
    <row r="10" spans="1:56" ht="12.75" hidden="1">
      <c r="A10" s="15" t="s">
        <v>36</v>
      </c>
      <c r="B10" s="8">
        <v>143500</v>
      </c>
      <c r="C10" s="23">
        <v>17675</v>
      </c>
      <c r="D10" s="12">
        <v>197375</v>
      </c>
      <c r="E10" s="16">
        <v>22955</v>
      </c>
      <c r="F10" s="8">
        <v>206820</v>
      </c>
      <c r="G10" s="16">
        <v>22980</v>
      </c>
      <c r="H10" s="12">
        <f t="shared" si="0"/>
        <v>183840</v>
      </c>
      <c r="I10" s="16">
        <v>22980</v>
      </c>
      <c r="J10" s="48">
        <f t="shared" si="1"/>
        <v>160860</v>
      </c>
      <c r="K10" s="16">
        <v>22980</v>
      </c>
      <c r="L10" s="28">
        <v>137880</v>
      </c>
      <c r="M10" s="16">
        <f>ROUND('NA600-as vezeték (...07)'!H60/1000,0)</f>
        <v>137880</v>
      </c>
      <c r="N10" s="13" t="s">
        <v>35</v>
      </c>
      <c r="O10" s="14" t="s">
        <v>35</v>
      </c>
      <c r="P10" s="13" t="s">
        <v>35</v>
      </c>
      <c r="Q10" s="14" t="s">
        <v>35</v>
      </c>
      <c r="R10" s="13" t="s">
        <v>35</v>
      </c>
      <c r="S10" s="14" t="s">
        <v>35</v>
      </c>
      <c r="T10" s="13" t="s">
        <v>35</v>
      </c>
      <c r="U10" s="14" t="s">
        <v>35</v>
      </c>
      <c r="V10" s="13" t="s">
        <v>35</v>
      </c>
      <c r="W10" s="14" t="s">
        <v>35</v>
      </c>
      <c r="X10" s="13" t="s">
        <v>35</v>
      </c>
      <c r="Y10" s="14" t="s">
        <v>35</v>
      </c>
      <c r="Z10" s="13" t="s">
        <v>35</v>
      </c>
      <c r="AA10" s="14" t="s">
        <v>35</v>
      </c>
      <c r="AB10" s="13" t="s">
        <v>35</v>
      </c>
      <c r="AC10" s="14" t="s">
        <v>35</v>
      </c>
      <c r="AD10" s="13" t="s">
        <v>35</v>
      </c>
      <c r="AE10" s="14" t="s">
        <v>35</v>
      </c>
      <c r="AF10" s="13" t="s">
        <v>35</v>
      </c>
      <c r="AG10" s="14" t="s">
        <v>35</v>
      </c>
      <c r="AH10" s="13" t="s">
        <v>35</v>
      </c>
      <c r="AI10" s="14" t="s">
        <v>35</v>
      </c>
      <c r="AJ10" s="13" t="s">
        <v>35</v>
      </c>
      <c r="AK10" s="14" t="s">
        <v>35</v>
      </c>
      <c r="AL10" s="13" t="s">
        <v>35</v>
      </c>
      <c r="AM10" s="14" t="s">
        <v>35</v>
      </c>
      <c r="AN10" s="13" t="s">
        <v>35</v>
      </c>
      <c r="AO10" s="14" t="s">
        <v>35</v>
      </c>
      <c r="AP10" s="13" t="s">
        <v>35</v>
      </c>
      <c r="AQ10" s="14" t="s">
        <v>35</v>
      </c>
      <c r="AR10" s="13" t="s">
        <v>35</v>
      </c>
      <c r="AS10" s="14" t="s">
        <v>35</v>
      </c>
      <c r="AT10" s="13" t="s">
        <v>35</v>
      </c>
      <c r="AU10" s="14" t="s">
        <v>35</v>
      </c>
      <c r="AV10" s="13" t="s">
        <v>35</v>
      </c>
      <c r="AW10" s="14" t="s">
        <v>35</v>
      </c>
      <c r="AX10" s="13" t="s">
        <v>35</v>
      </c>
      <c r="AY10" s="14" t="s">
        <v>35</v>
      </c>
      <c r="AZ10" s="13" t="s">
        <v>35</v>
      </c>
      <c r="BA10" s="14" t="s">
        <v>35</v>
      </c>
      <c r="BB10" s="13" t="s">
        <v>35</v>
      </c>
      <c r="BC10" s="14" t="s">
        <v>35</v>
      </c>
      <c r="BD10" s="492" t="s">
        <v>275</v>
      </c>
    </row>
    <row r="11" spans="1:56" ht="12.75" hidden="1">
      <c r="A11" s="15" t="s">
        <v>117</v>
      </c>
      <c r="B11" s="8">
        <v>139059</v>
      </c>
      <c r="C11" s="23">
        <v>28666</v>
      </c>
      <c r="D11" s="12">
        <f>SUM(E11,G11,I11,K11,M11,O11,Q11,S11)</f>
        <v>257997</v>
      </c>
      <c r="E11" s="16">
        <v>32233</v>
      </c>
      <c r="F11" s="8">
        <f>D11-E11</f>
        <v>225764</v>
      </c>
      <c r="G11" s="16">
        <v>32252</v>
      </c>
      <c r="H11" s="12">
        <f t="shared" si="0"/>
        <v>193512</v>
      </c>
      <c r="I11" s="16">
        <v>32252</v>
      </c>
      <c r="J11" s="48">
        <f t="shared" si="1"/>
        <v>161260</v>
      </c>
      <c r="K11" s="16">
        <v>32252</v>
      </c>
      <c r="L11" s="28">
        <v>129008</v>
      </c>
      <c r="M11" s="16">
        <f>ROUND('2001.dec. - 2002.jún. (...08) '!H56/1000,0)</f>
        <v>129008</v>
      </c>
      <c r="N11" s="13" t="s">
        <v>35</v>
      </c>
      <c r="O11" s="14" t="s">
        <v>35</v>
      </c>
      <c r="P11" s="13" t="s">
        <v>35</v>
      </c>
      <c r="Q11" s="14" t="s">
        <v>35</v>
      </c>
      <c r="R11" s="13" t="s">
        <v>35</v>
      </c>
      <c r="S11" s="14" t="s">
        <v>35</v>
      </c>
      <c r="T11" s="13" t="s">
        <v>35</v>
      </c>
      <c r="U11" s="14" t="s">
        <v>35</v>
      </c>
      <c r="V11" s="13" t="s">
        <v>35</v>
      </c>
      <c r="W11" s="14" t="s">
        <v>35</v>
      </c>
      <c r="X11" s="13" t="s">
        <v>35</v>
      </c>
      <c r="Y11" s="14" t="s">
        <v>35</v>
      </c>
      <c r="Z11" s="13" t="s">
        <v>35</v>
      </c>
      <c r="AA11" s="14" t="s">
        <v>35</v>
      </c>
      <c r="AB11" s="13" t="s">
        <v>35</v>
      </c>
      <c r="AC11" s="14" t="s">
        <v>35</v>
      </c>
      <c r="AD11" s="13" t="s">
        <v>35</v>
      </c>
      <c r="AE11" s="14" t="s">
        <v>35</v>
      </c>
      <c r="AF11" s="13" t="s">
        <v>35</v>
      </c>
      <c r="AG11" s="14" t="s">
        <v>35</v>
      </c>
      <c r="AH11" s="13" t="s">
        <v>35</v>
      </c>
      <c r="AI11" s="14" t="s">
        <v>35</v>
      </c>
      <c r="AJ11" s="13" t="s">
        <v>35</v>
      </c>
      <c r="AK11" s="14" t="s">
        <v>35</v>
      </c>
      <c r="AL11" s="13" t="s">
        <v>35</v>
      </c>
      <c r="AM11" s="14" t="s">
        <v>35</v>
      </c>
      <c r="AN11" s="13" t="s">
        <v>35</v>
      </c>
      <c r="AO11" s="14" t="s">
        <v>35</v>
      </c>
      <c r="AP11" s="13" t="s">
        <v>35</v>
      </c>
      <c r="AQ11" s="14" t="s">
        <v>35</v>
      </c>
      <c r="AR11" s="13" t="s">
        <v>35</v>
      </c>
      <c r="AS11" s="14" t="s">
        <v>35</v>
      </c>
      <c r="AT11" s="13" t="s">
        <v>35</v>
      </c>
      <c r="AU11" s="14" t="s">
        <v>35</v>
      </c>
      <c r="AV11" s="13" t="s">
        <v>35</v>
      </c>
      <c r="AW11" s="14" t="s">
        <v>35</v>
      </c>
      <c r="AX11" s="13" t="s">
        <v>35</v>
      </c>
      <c r="AY11" s="14" t="s">
        <v>35</v>
      </c>
      <c r="AZ11" s="13" t="s">
        <v>35</v>
      </c>
      <c r="BA11" s="14" t="s">
        <v>35</v>
      </c>
      <c r="BB11" s="13" t="s">
        <v>35</v>
      </c>
      <c r="BC11" s="14" t="s">
        <v>35</v>
      </c>
      <c r="BD11" s="492" t="s">
        <v>275</v>
      </c>
    </row>
    <row r="12" spans="1:56" ht="12.75" hidden="1">
      <c r="A12" s="15" t="s">
        <v>61</v>
      </c>
      <c r="B12" s="8">
        <v>0</v>
      </c>
      <c r="C12" s="23">
        <v>0</v>
      </c>
      <c r="D12" s="12">
        <v>305133</v>
      </c>
      <c r="E12" s="16">
        <v>20345</v>
      </c>
      <c r="F12" s="8">
        <f>D12-E12</f>
        <v>284788</v>
      </c>
      <c r="G12" s="16">
        <v>40684</v>
      </c>
      <c r="H12" s="12">
        <f t="shared" si="0"/>
        <v>244104</v>
      </c>
      <c r="I12" s="16">
        <v>40684</v>
      </c>
      <c r="J12" s="48">
        <f t="shared" si="1"/>
        <v>203420</v>
      </c>
      <c r="K12" s="16">
        <v>40684</v>
      </c>
      <c r="L12" s="28">
        <v>162736</v>
      </c>
      <c r="M12" s="16">
        <f>ROUND('2002. dec-i 305.133 eFt (...09)'!H48/1000,0)</f>
        <v>162736</v>
      </c>
      <c r="N12" s="13" t="s">
        <v>35</v>
      </c>
      <c r="O12" s="14" t="s">
        <v>35</v>
      </c>
      <c r="P12" s="13" t="s">
        <v>35</v>
      </c>
      <c r="Q12" s="14" t="s">
        <v>35</v>
      </c>
      <c r="R12" s="13" t="s">
        <v>35</v>
      </c>
      <c r="S12" s="14" t="s">
        <v>35</v>
      </c>
      <c r="T12" s="13" t="s">
        <v>35</v>
      </c>
      <c r="U12" s="14" t="s">
        <v>35</v>
      </c>
      <c r="V12" s="13" t="s">
        <v>35</v>
      </c>
      <c r="W12" s="14" t="s">
        <v>35</v>
      </c>
      <c r="X12" s="13" t="s">
        <v>35</v>
      </c>
      <c r="Y12" s="14" t="s">
        <v>35</v>
      </c>
      <c r="Z12" s="13" t="s">
        <v>35</v>
      </c>
      <c r="AA12" s="14" t="s">
        <v>35</v>
      </c>
      <c r="AB12" s="13" t="s">
        <v>35</v>
      </c>
      <c r="AC12" s="14" t="s">
        <v>35</v>
      </c>
      <c r="AD12" s="13" t="s">
        <v>35</v>
      </c>
      <c r="AE12" s="14" t="s">
        <v>35</v>
      </c>
      <c r="AF12" s="13" t="s">
        <v>35</v>
      </c>
      <c r="AG12" s="14" t="s">
        <v>35</v>
      </c>
      <c r="AH12" s="13" t="s">
        <v>35</v>
      </c>
      <c r="AI12" s="14" t="s">
        <v>35</v>
      </c>
      <c r="AJ12" s="13" t="s">
        <v>35</v>
      </c>
      <c r="AK12" s="14" t="s">
        <v>35</v>
      </c>
      <c r="AL12" s="13" t="s">
        <v>35</v>
      </c>
      <c r="AM12" s="14" t="s">
        <v>35</v>
      </c>
      <c r="AN12" s="13" t="s">
        <v>35</v>
      </c>
      <c r="AO12" s="14" t="s">
        <v>35</v>
      </c>
      <c r="AP12" s="13" t="s">
        <v>35</v>
      </c>
      <c r="AQ12" s="14" t="s">
        <v>35</v>
      </c>
      <c r="AR12" s="13" t="s">
        <v>35</v>
      </c>
      <c r="AS12" s="14" t="s">
        <v>35</v>
      </c>
      <c r="AT12" s="13" t="s">
        <v>35</v>
      </c>
      <c r="AU12" s="14" t="s">
        <v>35</v>
      </c>
      <c r="AV12" s="13" t="s">
        <v>35</v>
      </c>
      <c r="AW12" s="14" t="s">
        <v>35</v>
      </c>
      <c r="AX12" s="13" t="s">
        <v>35</v>
      </c>
      <c r="AY12" s="14" t="s">
        <v>35</v>
      </c>
      <c r="AZ12" s="13" t="s">
        <v>35</v>
      </c>
      <c r="BA12" s="14" t="s">
        <v>35</v>
      </c>
      <c r="BB12" s="13" t="s">
        <v>35</v>
      </c>
      <c r="BC12" s="14" t="s">
        <v>35</v>
      </c>
      <c r="BD12" s="492" t="s">
        <v>275</v>
      </c>
    </row>
    <row r="13" spans="1:56" ht="12.75" hidden="1">
      <c r="A13" s="15" t="s">
        <v>66</v>
      </c>
      <c r="B13" s="8">
        <v>0</v>
      </c>
      <c r="C13" s="23">
        <v>0</v>
      </c>
      <c r="D13" s="12">
        <v>0</v>
      </c>
      <c r="E13" s="16">
        <v>0</v>
      </c>
      <c r="F13" s="8">
        <v>681039</v>
      </c>
      <c r="G13" s="16">
        <v>39631</v>
      </c>
      <c r="H13" s="12">
        <v>673540</v>
      </c>
      <c r="I13" s="16">
        <v>79240</v>
      </c>
      <c r="J13" s="48">
        <f>H13-I13</f>
        <v>594300</v>
      </c>
      <c r="K13" s="16">
        <v>79240</v>
      </c>
      <c r="L13" s="28">
        <v>515060</v>
      </c>
      <c r="M13" s="16">
        <f>ROUND('2003. okt. és dec. (...10)'!H45/1000,0)</f>
        <v>515060</v>
      </c>
      <c r="N13" s="13" t="s">
        <v>35</v>
      </c>
      <c r="O13" s="14" t="s">
        <v>35</v>
      </c>
      <c r="P13" s="13" t="s">
        <v>35</v>
      </c>
      <c r="Q13" s="14" t="s">
        <v>35</v>
      </c>
      <c r="R13" s="13" t="s">
        <v>35</v>
      </c>
      <c r="S13" s="14" t="s">
        <v>35</v>
      </c>
      <c r="T13" s="13" t="s">
        <v>35</v>
      </c>
      <c r="U13" s="14" t="s">
        <v>35</v>
      </c>
      <c r="V13" s="13" t="s">
        <v>35</v>
      </c>
      <c r="W13" s="14" t="s">
        <v>35</v>
      </c>
      <c r="X13" s="13" t="s">
        <v>35</v>
      </c>
      <c r="Y13" s="14" t="s">
        <v>35</v>
      </c>
      <c r="Z13" s="13" t="s">
        <v>35</v>
      </c>
      <c r="AA13" s="14" t="s">
        <v>35</v>
      </c>
      <c r="AB13" s="13" t="s">
        <v>35</v>
      </c>
      <c r="AC13" s="14" t="s">
        <v>35</v>
      </c>
      <c r="AD13" s="13" t="s">
        <v>35</v>
      </c>
      <c r="AE13" s="14" t="s">
        <v>35</v>
      </c>
      <c r="AF13" s="13" t="s">
        <v>35</v>
      </c>
      <c r="AG13" s="14" t="s">
        <v>35</v>
      </c>
      <c r="AH13" s="13" t="s">
        <v>35</v>
      </c>
      <c r="AI13" s="14" t="s">
        <v>35</v>
      </c>
      <c r="AJ13" s="13" t="s">
        <v>35</v>
      </c>
      <c r="AK13" s="14" t="s">
        <v>35</v>
      </c>
      <c r="AL13" s="13" t="s">
        <v>35</v>
      </c>
      <c r="AM13" s="14" t="s">
        <v>35</v>
      </c>
      <c r="AN13" s="13" t="s">
        <v>35</v>
      </c>
      <c r="AO13" s="14" t="s">
        <v>35</v>
      </c>
      <c r="AP13" s="13" t="s">
        <v>35</v>
      </c>
      <c r="AQ13" s="14" t="s">
        <v>35</v>
      </c>
      <c r="AR13" s="13" t="s">
        <v>35</v>
      </c>
      <c r="AS13" s="14" t="s">
        <v>35</v>
      </c>
      <c r="AT13" s="13" t="s">
        <v>35</v>
      </c>
      <c r="AU13" s="14" t="s">
        <v>35</v>
      </c>
      <c r="AV13" s="13" t="s">
        <v>35</v>
      </c>
      <c r="AW13" s="14" t="s">
        <v>35</v>
      </c>
      <c r="AX13" s="13" t="s">
        <v>35</v>
      </c>
      <c r="AY13" s="14" t="s">
        <v>35</v>
      </c>
      <c r="AZ13" s="13" t="s">
        <v>35</v>
      </c>
      <c r="BA13" s="14" t="s">
        <v>35</v>
      </c>
      <c r="BB13" s="13" t="s">
        <v>35</v>
      </c>
      <c r="BC13" s="14" t="s">
        <v>35</v>
      </c>
      <c r="BD13" s="492" t="s">
        <v>275</v>
      </c>
    </row>
    <row r="14" spans="1:56" ht="12.75" hidden="1">
      <c r="A14" s="15" t="s">
        <v>85</v>
      </c>
      <c r="B14" s="8"/>
      <c r="C14" s="23"/>
      <c r="D14" s="12">
        <v>0</v>
      </c>
      <c r="E14" s="16">
        <v>0</v>
      </c>
      <c r="F14" s="12">
        <v>0</v>
      </c>
      <c r="G14" s="23">
        <v>0</v>
      </c>
      <c r="H14" s="12">
        <f>SUM(I14:J14)</f>
        <v>718793</v>
      </c>
      <c r="I14" s="23">
        <v>39949</v>
      </c>
      <c r="J14" s="12">
        <f>SUM(K14:L14)</f>
        <v>678844</v>
      </c>
      <c r="K14" s="23">
        <v>79864</v>
      </c>
      <c r="L14" s="12">
        <v>598980</v>
      </c>
      <c r="M14" s="23">
        <f>ROUND('2004. szept. 718.793 eFt (..11)'!H36/1000,0)</f>
        <v>598980</v>
      </c>
      <c r="N14" s="13" t="s">
        <v>35</v>
      </c>
      <c r="O14" s="14" t="s">
        <v>35</v>
      </c>
      <c r="P14" s="13" t="s">
        <v>35</v>
      </c>
      <c r="Q14" s="14" t="s">
        <v>35</v>
      </c>
      <c r="R14" s="13" t="s">
        <v>35</v>
      </c>
      <c r="S14" s="14" t="s">
        <v>35</v>
      </c>
      <c r="T14" s="13" t="s">
        <v>35</v>
      </c>
      <c r="U14" s="14" t="s">
        <v>35</v>
      </c>
      <c r="V14" s="13" t="s">
        <v>35</v>
      </c>
      <c r="W14" s="14" t="s">
        <v>35</v>
      </c>
      <c r="X14" s="13" t="s">
        <v>35</v>
      </c>
      <c r="Y14" s="14" t="s">
        <v>35</v>
      </c>
      <c r="Z14" s="13" t="s">
        <v>35</v>
      </c>
      <c r="AA14" s="14" t="s">
        <v>35</v>
      </c>
      <c r="AB14" s="13" t="s">
        <v>35</v>
      </c>
      <c r="AC14" s="14" t="s">
        <v>35</v>
      </c>
      <c r="AD14" s="13" t="s">
        <v>35</v>
      </c>
      <c r="AE14" s="14" t="s">
        <v>35</v>
      </c>
      <c r="AF14" s="13" t="s">
        <v>35</v>
      </c>
      <c r="AG14" s="14" t="s">
        <v>35</v>
      </c>
      <c r="AH14" s="13" t="s">
        <v>35</v>
      </c>
      <c r="AI14" s="14" t="s">
        <v>35</v>
      </c>
      <c r="AJ14" s="13" t="s">
        <v>35</v>
      </c>
      <c r="AK14" s="14" t="s">
        <v>35</v>
      </c>
      <c r="AL14" s="13" t="s">
        <v>35</v>
      </c>
      <c r="AM14" s="14" t="s">
        <v>35</v>
      </c>
      <c r="AN14" s="13" t="s">
        <v>35</v>
      </c>
      <c r="AO14" s="14" t="s">
        <v>35</v>
      </c>
      <c r="AP14" s="13" t="s">
        <v>35</v>
      </c>
      <c r="AQ14" s="14" t="s">
        <v>35</v>
      </c>
      <c r="AR14" s="13" t="s">
        <v>35</v>
      </c>
      <c r="AS14" s="14" t="s">
        <v>35</v>
      </c>
      <c r="AT14" s="13" t="s">
        <v>35</v>
      </c>
      <c r="AU14" s="14" t="s">
        <v>35</v>
      </c>
      <c r="AV14" s="13" t="s">
        <v>35</v>
      </c>
      <c r="AW14" s="14" t="s">
        <v>35</v>
      </c>
      <c r="AX14" s="13" t="s">
        <v>35</v>
      </c>
      <c r="AY14" s="14" t="s">
        <v>35</v>
      </c>
      <c r="AZ14" s="13" t="s">
        <v>35</v>
      </c>
      <c r="BA14" s="14" t="s">
        <v>35</v>
      </c>
      <c r="BB14" s="13" t="s">
        <v>35</v>
      </c>
      <c r="BC14" s="14" t="s">
        <v>35</v>
      </c>
      <c r="BD14" s="492" t="s">
        <v>275</v>
      </c>
    </row>
    <row r="15" spans="1:55" ht="12.75">
      <c r="A15" s="15" t="s">
        <v>171</v>
      </c>
      <c r="B15" s="8"/>
      <c r="C15" s="23"/>
      <c r="D15" s="12"/>
      <c r="E15" s="16"/>
      <c r="F15" s="13" t="s">
        <v>35</v>
      </c>
      <c r="G15" s="24" t="s">
        <v>35</v>
      </c>
      <c r="H15" s="12">
        <v>0</v>
      </c>
      <c r="I15" s="23">
        <v>0</v>
      </c>
      <c r="J15" s="12">
        <v>425421</v>
      </c>
      <c r="K15" s="23">
        <v>0</v>
      </c>
      <c r="L15" s="12">
        <f>SUM(M15:N15)</f>
        <v>607314</v>
      </c>
      <c r="M15" s="23">
        <v>0</v>
      </c>
      <c r="N15" s="12">
        <f>SUM(O15:P15)</f>
        <v>607314</v>
      </c>
      <c r="O15" s="23">
        <v>26400</v>
      </c>
      <c r="P15" s="12">
        <f>SUM(Q15:R15)</f>
        <v>580914</v>
      </c>
      <c r="Q15" s="23">
        <v>35200</v>
      </c>
      <c r="R15" s="12">
        <f>SUM(S15:T15)</f>
        <v>545714</v>
      </c>
      <c r="S15" s="23">
        <v>35200</v>
      </c>
      <c r="T15" s="12">
        <f>SUM(U15:V15)</f>
        <v>510514</v>
      </c>
      <c r="U15" s="23">
        <v>35200</v>
      </c>
      <c r="V15" s="12">
        <f>SUM(W15:X15)</f>
        <v>475314</v>
      </c>
      <c r="W15" s="23">
        <v>35200</v>
      </c>
      <c r="X15" s="12">
        <f>SUM(Y15:Z15)</f>
        <v>440114</v>
      </c>
      <c r="Y15" s="23">
        <v>35200</v>
      </c>
      <c r="Z15" s="12">
        <f>SUM(AA15:AB15)</f>
        <v>404914</v>
      </c>
      <c r="AA15" s="23">
        <v>35200</v>
      </c>
      <c r="AB15" s="12">
        <f>SUM(AC15:AD15)</f>
        <v>369714</v>
      </c>
      <c r="AC15" s="23">
        <v>35200</v>
      </c>
      <c r="AD15" s="12">
        <f>SUM(AE15:AF15)</f>
        <v>334514</v>
      </c>
      <c r="AE15" s="23">
        <v>35200</v>
      </c>
      <c r="AF15" s="12">
        <f>SUM(AG15:AH15)</f>
        <v>299314</v>
      </c>
      <c r="AG15" s="23">
        <v>35200</v>
      </c>
      <c r="AH15" s="12">
        <f>SUM(AI15:AJ15)</f>
        <v>264114</v>
      </c>
      <c r="AI15" s="23">
        <v>35200</v>
      </c>
      <c r="AJ15" s="12">
        <f>SUM(AK15:AL15)</f>
        <v>228914</v>
      </c>
      <c r="AK15" s="23">
        <v>35200</v>
      </c>
      <c r="AL15" s="12">
        <f>SUM(AM15:AN15)</f>
        <v>193714</v>
      </c>
      <c r="AM15" s="23">
        <v>35200</v>
      </c>
      <c r="AN15" s="12">
        <f>SUM(AO15:AP15)</f>
        <v>158514</v>
      </c>
      <c r="AO15" s="23">
        <v>35200</v>
      </c>
      <c r="AP15" s="12">
        <f>SUM(AQ15:AR15)</f>
        <v>123314</v>
      </c>
      <c r="AQ15" s="23">
        <v>35200</v>
      </c>
      <c r="AR15" s="12">
        <f>SUM(AS15:AT15)</f>
        <v>88114</v>
      </c>
      <c r="AS15" s="23">
        <v>35200</v>
      </c>
      <c r="AT15" s="12">
        <f>SUM(AU15:AV15)</f>
        <v>52914</v>
      </c>
      <c r="AU15" s="23">
        <v>35200</v>
      </c>
      <c r="AV15" s="12">
        <f>SUM(AW15:AX15)</f>
        <v>17714</v>
      </c>
      <c r="AW15" s="23">
        <v>17714</v>
      </c>
      <c r="AX15" s="13" t="s">
        <v>35</v>
      </c>
      <c r="AY15" s="14" t="s">
        <v>35</v>
      </c>
      <c r="AZ15" s="13" t="s">
        <v>35</v>
      </c>
      <c r="BA15" s="14" t="s">
        <v>35</v>
      </c>
      <c r="BB15" s="13" t="s">
        <v>35</v>
      </c>
      <c r="BC15" s="14" t="s">
        <v>35</v>
      </c>
    </row>
    <row r="16" spans="1:55" ht="12.75">
      <c r="A16" s="15" t="s">
        <v>172</v>
      </c>
      <c r="B16" s="8"/>
      <c r="C16" s="23"/>
      <c r="D16" s="12"/>
      <c r="E16" s="16"/>
      <c r="F16" s="13"/>
      <c r="G16" s="24"/>
      <c r="H16" s="12">
        <v>0</v>
      </c>
      <c r="I16" s="23">
        <v>0</v>
      </c>
      <c r="J16" s="12">
        <v>76930</v>
      </c>
      <c r="K16" s="23">
        <v>0</v>
      </c>
      <c r="L16" s="12">
        <f>SUM(M16:N16)</f>
        <v>179173</v>
      </c>
      <c r="M16" s="23">
        <v>0</v>
      </c>
      <c r="N16" s="12">
        <f>SUM(O16:P16)</f>
        <v>179173</v>
      </c>
      <c r="O16" s="23">
        <v>7800</v>
      </c>
      <c r="P16" s="12">
        <f>SUM(Q16:R16)</f>
        <v>171373</v>
      </c>
      <c r="Q16" s="23">
        <v>10400</v>
      </c>
      <c r="R16" s="12">
        <f>SUM(S16:T16)</f>
        <v>160973</v>
      </c>
      <c r="S16" s="23">
        <v>10400</v>
      </c>
      <c r="T16" s="12">
        <f>SUM(U16:V16)</f>
        <v>150573</v>
      </c>
      <c r="U16" s="23">
        <v>10400</v>
      </c>
      <c r="V16" s="12">
        <f>SUM(W16:X16)</f>
        <v>140173</v>
      </c>
      <c r="W16" s="23">
        <v>10400</v>
      </c>
      <c r="X16" s="12">
        <f>SUM(Y16:Z16)</f>
        <v>129773</v>
      </c>
      <c r="Y16" s="23">
        <v>10400</v>
      </c>
      <c r="Z16" s="12">
        <f>SUM(AA16:AB16)</f>
        <v>119373</v>
      </c>
      <c r="AA16" s="23">
        <v>10400</v>
      </c>
      <c r="AB16" s="12">
        <f>SUM(AC16:AD16)</f>
        <v>108973</v>
      </c>
      <c r="AC16" s="23">
        <v>10400</v>
      </c>
      <c r="AD16" s="12">
        <f>SUM(AE16:AF16)</f>
        <v>98573</v>
      </c>
      <c r="AE16" s="23">
        <v>10400</v>
      </c>
      <c r="AF16" s="12">
        <f>SUM(AG16:AH16)</f>
        <v>88173</v>
      </c>
      <c r="AG16" s="23">
        <v>10400</v>
      </c>
      <c r="AH16" s="12">
        <f>SUM(AI16:AJ16)</f>
        <v>77773</v>
      </c>
      <c r="AI16" s="23">
        <v>10400</v>
      </c>
      <c r="AJ16" s="12">
        <f>SUM(AK16:AL16)</f>
        <v>67373</v>
      </c>
      <c r="AK16" s="23">
        <v>10400</v>
      </c>
      <c r="AL16" s="12">
        <f>SUM(AM16:AN16)</f>
        <v>56973</v>
      </c>
      <c r="AM16" s="23">
        <v>10400</v>
      </c>
      <c r="AN16" s="12">
        <f>SUM(AO16:AP16)</f>
        <v>46573</v>
      </c>
      <c r="AO16" s="23">
        <v>10400</v>
      </c>
      <c r="AP16" s="12">
        <f>SUM(AQ16:AR16)</f>
        <v>36173</v>
      </c>
      <c r="AQ16" s="23">
        <v>10400</v>
      </c>
      <c r="AR16" s="12">
        <f>SUM(AS16:AT16)</f>
        <v>25773</v>
      </c>
      <c r="AS16" s="23">
        <v>10400</v>
      </c>
      <c r="AT16" s="12">
        <f>SUM(AU16:AV16)</f>
        <v>15373</v>
      </c>
      <c r="AU16" s="23">
        <v>10400</v>
      </c>
      <c r="AV16" s="12">
        <f>SUM(AW16:AX16)</f>
        <v>4973</v>
      </c>
      <c r="AW16" s="23">
        <v>4973</v>
      </c>
      <c r="AX16" s="13" t="s">
        <v>35</v>
      </c>
      <c r="AY16" s="14" t="s">
        <v>35</v>
      </c>
      <c r="AZ16" s="13" t="s">
        <v>35</v>
      </c>
      <c r="BA16" s="14" t="s">
        <v>35</v>
      </c>
      <c r="BB16" s="13" t="s">
        <v>35</v>
      </c>
      <c r="BC16" s="14" t="s">
        <v>35</v>
      </c>
    </row>
    <row r="17" spans="1:55" ht="12.75">
      <c r="A17" s="15" t="s">
        <v>56</v>
      </c>
      <c r="B17" s="8">
        <f>C17+D17</f>
        <v>107411</v>
      </c>
      <c r="C17" s="23">
        <v>5955</v>
      </c>
      <c r="D17" s="12">
        <v>101456</v>
      </c>
      <c r="E17" s="16">
        <v>11936</v>
      </c>
      <c r="F17" s="8">
        <f>D17-E17</f>
        <v>89520</v>
      </c>
      <c r="G17" s="16">
        <v>11936</v>
      </c>
      <c r="H17" s="12">
        <f>F17-G17</f>
        <v>77584</v>
      </c>
      <c r="I17" s="16">
        <v>11936</v>
      </c>
      <c r="J17" s="48">
        <f>H17-I17</f>
        <v>65648</v>
      </c>
      <c r="K17" s="16">
        <v>11936</v>
      </c>
      <c r="L17" s="28">
        <f>J17-K17</f>
        <v>53712</v>
      </c>
      <c r="M17" s="16">
        <v>11936</v>
      </c>
      <c r="N17" s="48">
        <f>L17-M17</f>
        <v>41776</v>
      </c>
      <c r="O17" s="23">
        <v>11936</v>
      </c>
      <c r="P17" s="12">
        <f aca="true" t="shared" si="2" ref="P17:P24">N17-O17</f>
        <v>29840</v>
      </c>
      <c r="Q17" s="51">
        <v>11936</v>
      </c>
      <c r="R17" s="28">
        <f aca="true" t="shared" si="3" ref="R17:R24">P17-Q17</f>
        <v>17904</v>
      </c>
      <c r="S17" s="23">
        <v>11936</v>
      </c>
      <c r="T17" s="28">
        <f aca="true" t="shared" si="4" ref="T17:T24">R17-S17</f>
        <v>5968</v>
      </c>
      <c r="U17" s="23">
        <v>5968</v>
      </c>
      <c r="V17" s="20" t="s">
        <v>35</v>
      </c>
      <c r="W17" s="22" t="s">
        <v>35</v>
      </c>
      <c r="X17" s="313" t="s">
        <v>35</v>
      </c>
      <c r="Y17" s="24" t="s">
        <v>35</v>
      </c>
      <c r="Z17" s="13" t="s">
        <v>35</v>
      </c>
      <c r="AA17" s="14" t="s">
        <v>35</v>
      </c>
      <c r="AB17" s="13" t="s">
        <v>35</v>
      </c>
      <c r="AC17" s="14" t="s">
        <v>35</v>
      </c>
      <c r="AD17" s="13" t="s">
        <v>35</v>
      </c>
      <c r="AE17" s="14" t="s">
        <v>35</v>
      </c>
      <c r="AF17" s="13" t="s">
        <v>35</v>
      </c>
      <c r="AG17" s="14" t="s">
        <v>35</v>
      </c>
      <c r="AH17" s="13" t="s">
        <v>35</v>
      </c>
      <c r="AI17" s="14" t="s">
        <v>35</v>
      </c>
      <c r="AJ17" s="13" t="s">
        <v>35</v>
      </c>
      <c r="AK17" s="14" t="s">
        <v>35</v>
      </c>
      <c r="AL17" s="13" t="s">
        <v>35</v>
      </c>
      <c r="AM17" s="14" t="s">
        <v>35</v>
      </c>
      <c r="AN17" s="13" t="s">
        <v>35</v>
      </c>
      <c r="AO17" s="14" t="s">
        <v>35</v>
      </c>
      <c r="AP17" s="13" t="s">
        <v>35</v>
      </c>
      <c r="AQ17" s="14" t="s">
        <v>35</v>
      </c>
      <c r="AR17" s="13" t="s">
        <v>35</v>
      </c>
      <c r="AS17" s="14" t="s">
        <v>35</v>
      </c>
      <c r="AT17" s="13" t="s">
        <v>35</v>
      </c>
      <c r="AU17" s="14" t="s">
        <v>35</v>
      </c>
      <c r="AV17" s="13" t="s">
        <v>35</v>
      </c>
      <c r="AW17" s="14" t="s">
        <v>35</v>
      </c>
      <c r="AX17" s="13" t="s">
        <v>35</v>
      </c>
      <c r="AY17" s="14" t="s">
        <v>35</v>
      </c>
      <c r="AZ17" s="13" t="s">
        <v>35</v>
      </c>
      <c r="BA17" s="14" t="s">
        <v>35</v>
      </c>
      <c r="BB17" s="13" t="s">
        <v>35</v>
      </c>
      <c r="BC17" s="14" t="s">
        <v>35</v>
      </c>
    </row>
    <row r="18" spans="1:55" ht="12.75">
      <c r="A18" s="15" t="s">
        <v>55</v>
      </c>
      <c r="B18" s="8">
        <v>0</v>
      </c>
      <c r="C18" s="23">
        <v>0</v>
      </c>
      <c r="D18" s="12">
        <v>124412</v>
      </c>
      <c r="E18" s="16">
        <v>5932</v>
      </c>
      <c r="F18" s="8">
        <f>D18-E18</f>
        <v>118480</v>
      </c>
      <c r="G18" s="16">
        <v>11848</v>
      </c>
      <c r="H18" s="12">
        <f>F18-G18</f>
        <v>106632</v>
      </c>
      <c r="I18" s="16">
        <v>11848</v>
      </c>
      <c r="J18" s="48">
        <f>H18-I18</f>
        <v>94784</v>
      </c>
      <c r="K18" s="16">
        <v>11848</v>
      </c>
      <c r="L18" s="28">
        <f>J18-K18</f>
        <v>82936</v>
      </c>
      <c r="M18" s="16">
        <v>11848</v>
      </c>
      <c r="N18" s="48">
        <f>L18-M18</f>
        <v>71088</v>
      </c>
      <c r="O18" s="16">
        <v>11848</v>
      </c>
      <c r="P18" s="12">
        <f t="shared" si="2"/>
        <v>59240</v>
      </c>
      <c r="Q18" s="9">
        <v>11848</v>
      </c>
      <c r="R18" s="28">
        <f t="shared" si="3"/>
        <v>47392</v>
      </c>
      <c r="S18" s="16">
        <v>11848</v>
      </c>
      <c r="T18" s="28">
        <f t="shared" si="4"/>
        <v>35544</v>
      </c>
      <c r="U18" s="16">
        <v>11848</v>
      </c>
      <c r="V18" s="28">
        <f aca="true" t="shared" si="5" ref="V18:V24">T18-U18</f>
        <v>23696</v>
      </c>
      <c r="W18" s="16">
        <v>11848</v>
      </c>
      <c r="X18" s="48">
        <f aca="true" t="shared" si="6" ref="X18:X24">V18-W18</f>
        <v>11848</v>
      </c>
      <c r="Y18" s="16">
        <v>11848</v>
      </c>
      <c r="Z18" s="13" t="s">
        <v>35</v>
      </c>
      <c r="AA18" s="14" t="s">
        <v>35</v>
      </c>
      <c r="AB18" s="13" t="s">
        <v>35</v>
      </c>
      <c r="AC18" s="14" t="s">
        <v>35</v>
      </c>
      <c r="AD18" s="13" t="s">
        <v>35</v>
      </c>
      <c r="AE18" s="14" t="s">
        <v>35</v>
      </c>
      <c r="AF18" s="13" t="s">
        <v>35</v>
      </c>
      <c r="AG18" s="14" t="s">
        <v>35</v>
      </c>
      <c r="AH18" s="13" t="s">
        <v>35</v>
      </c>
      <c r="AI18" s="14" t="s">
        <v>35</v>
      </c>
      <c r="AJ18" s="13" t="s">
        <v>35</v>
      </c>
      <c r="AK18" s="14" t="s">
        <v>35</v>
      </c>
      <c r="AL18" s="13" t="s">
        <v>35</v>
      </c>
      <c r="AM18" s="14" t="s">
        <v>35</v>
      </c>
      <c r="AN18" s="13" t="s">
        <v>35</v>
      </c>
      <c r="AO18" s="14" t="s">
        <v>35</v>
      </c>
      <c r="AP18" s="13" t="s">
        <v>35</v>
      </c>
      <c r="AQ18" s="14" t="s">
        <v>35</v>
      </c>
      <c r="AR18" s="13" t="s">
        <v>35</v>
      </c>
      <c r="AS18" s="14" t="s">
        <v>35</v>
      </c>
      <c r="AT18" s="13" t="s">
        <v>35</v>
      </c>
      <c r="AU18" s="14" t="s">
        <v>35</v>
      </c>
      <c r="AV18" s="13" t="s">
        <v>35</v>
      </c>
      <c r="AW18" s="14" t="s">
        <v>35</v>
      </c>
      <c r="AX18" s="13" t="s">
        <v>35</v>
      </c>
      <c r="AY18" s="14" t="s">
        <v>35</v>
      </c>
      <c r="AZ18" s="13" t="s">
        <v>35</v>
      </c>
      <c r="BA18" s="14" t="s">
        <v>35</v>
      </c>
      <c r="BB18" s="13" t="s">
        <v>35</v>
      </c>
      <c r="BC18" s="14" t="s">
        <v>35</v>
      </c>
    </row>
    <row r="19" spans="1:55" ht="12.75">
      <c r="A19" s="15" t="s">
        <v>118</v>
      </c>
      <c r="B19" s="8">
        <v>0</v>
      </c>
      <c r="C19" s="23">
        <v>0</v>
      </c>
      <c r="D19" s="12">
        <v>12499</v>
      </c>
      <c r="E19" s="16">
        <v>2636</v>
      </c>
      <c r="F19" s="8">
        <v>184439</v>
      </c>
      <c r="G19" s="16">
        <v>34769</v>
      </c>
      <c r="H19" s="12">
        <v>149670</v>
      </c>
      <c r="I19" s="16">
        <v>8315</v>
      </c>
      <c r="J19" s="48">
        <f t="shared" si="1"/>
        <v>141355</v>
      </c>
      <c r="K19" s="16">
        <v>8315</v>
      </c>
      <c r="L19" s="28">
        <f>J19-K19</f>
        <v>133040</v>
      </c>
      <c r="M19" s="16">
        <v>8315</v>
      </c>
      <c r="N19" s="48">
        <f>L19-M19</f>
        <v>124725</v>
      </c>
      <c r="O19" s="16">
        <v>8315</v>
      </c>
      <c r="P19" s="12">
        <f t="shared" si="2"/>
        <v>116410</v>
      </c>
      <c r="Q19" s="9">
        <v>8315</v>
      </c>
      <c r="R19" s="28">
        <f t="shared" si="3"/>
        <v>108095</v>
      </c>
      <c r="S19" s="16">
        <v>8315</v>
      </c>
      <c r="T19" s="28">
        <f t="shared" si="4"/>
        <v>99780</v>
      </c>
      <c r="U19" s="16">
        <v>8315</v>
      </c>
      <c r="V19" s="28">
        <f t="shared" si="5"/>
        <v>91465</v>
      </c>
      <c r="W19" s="16">
        <v>8315</v>
      </c>
      <c r="X19" s="48">
        <f t="shared" si="6"/>
        <v>83150</v>
      </c>
      <c r="Y19" s="16">
        <v>8315</v>
      </c>
      <c r="Z19" s="8">
        <f aca="true" t="shared" si="7" ref="Z19:Z24">X19-Y19</f>
        <v>74835</v>
      </c>
      <c r="AA19" s="16">
        <v>8315</v>
      </c>
      <c r="AB19" s="8">
        <f aca="true" t="shared" si="8" ref="AB19:AB24">Z19-AA19</f>
        <v>66520</v>
      </c>
      <c r="AC19" s="16">
        <v>8315</v>
      </c>
      <c r="AD19" s="8">
        <f aca="true" t="shared" si="9" ref="AD19:AD24">AB19-AC19</f>
        <v>58205</v>
      </c>
      <c r="AE19" s="16">
        <v>8315</v>
      </c>
      <c r="AF19" s="8">
        <f aca="true" t="shared" si="10" ref="AF19:AF24">AD19-AE19</f>
        <v>49890</v>
      </c>
      <c r="AG19" s="16">
        <v>8315</v>
      </c>
      <c r="AH19" s="8">
        <f aca="true" t="shared" si="11" ref="AH19:AH24">AF19-AG19</f>
        <v>41575</v>
      </c>
      <c r="AI19" s="16">
        <v>8315</v>
      </c>
      <c r="AJ19" s="8">
        <f aca="true" t="shared" si="12" ref="AJ19:AJ24">AH19-AI19</f>
        <v>33260</v>
      </c>
      <c r="AK19" s="16">
        <v>8315</v>
      </c>
      <c r="AL19" s="8">
        <f aca="true" t="shared" si="13" ref="AL19:AL24">AJ19-AK19</f>
        <v>24945</v>
      </c>
      <c r="AM19" s="16">
        <v>8315</v>
      </c>
      <c r="AN19" s="8">
        <f aca="true" t="shared" si="14" ref="AN19:AN24">AL19-AM19</f>
        <v>16630</v>
      </c>
      <c r="AO19" s="16">
        <v>8315</v>
      </c>
      <c r="AP19" s="8">
        <f>AN19-AO19</f>
        <v>8315</v>
      </c>
      <c r="AQ19" s="16">
        <v>8315</v>
      </c>
      <c r="AR19" s="13" t="s">
        <v>35</v>
      </c>
      <c r="AS19" s="14" t="s">
        <v>35</v>
      </c>
      <c r="AT19" s="13" t="s">
        <v>35</v>
      </c>
      <c r="AU19" s="14" t="s">
        <v>35</v>
      </c>
      <c r="AV19" s="13" t="s">
        <v>35</v>
      </c>
      <c r="AW19" s="14" t="s">
        <v>35</v>
      </c>
      <c r="AX19" s="13" t="s">
        <v>35</v>
      </c>
      <c r="AY19" s="14" t="s">
        <v>35</v>
      </c>
      <c r="AZ19" s="13" t="s">
        <v>35</v>
      </c>
      <c r="BA19" s="14" t="s">
        <v>35</v>
      </c>
      <c r="BB19" s="13" t="s">
        <v>35</v>
      </c>
      <c r="BC19" s="14" t="s">
        <v>35</v>
      </c>
    </row>
    <row r="20" spans="1:56" ht="12.75">
      <c r="A20" s="15" t="s">
        <v>173</v>
      </c>
      <c r="B20" s="8"/>
      <c r="C20" s="23"/>
      <c r="D20" s="12"/>
      <c r="E20" s="16"/>
      <c r="F20" s="8"/>
      <c r="G20" s="16"/>
      <c r="H20" s="12"/>
      <c r="I20" s="16"/>
      <c r="J20" s="48">
        <v>0</v>
      </c>
      <c r="K20" s="16">
        <f>ROUND('Panel_Plusz 633.336 eFt'!I52/1000,0)</f>
        <v>0</v>
      </c>
      <c r="L20" s="28">
        <f>ROUND('Panel_Plusz 633.336 eFt'!C52/1000,0)</f>
        <v>463458</v>
      </c>
      <c r="M20" s="16">
        <f>ROUND('Panel_Plusz 633.336 eFt'!I77/1000,0)</f>
        <v>0</v>
      </c>
      <c r="N20" s="48">
        <f>ROUND('Panel_Plusz 633.336 eFt'!C77/1000,0)</f>
        <v>603139</v>
      </c>
      <c r="O20" s="16">
        <f>ROUND('Panel_Plusz 633.336 eFt'!I81/1000,0)</f>
        <v>0</v>
      </c>
      <c r="P20" s="12">
        <f t="shared" si="2"/>
        <v>603139</v>
      </c>
      <c r="Q20" s="9">
        <f>ROUND('Panel_Plusz 633.336 eFt'!I85/1000,0)</f>
        <v>49236</v>
      </c>
      <c r="R20" s="28">
        <f t="shared" si="3"/>
        <v>553903</v>
      </c>
      <c r="S20" s="16">
        <f>ROUND('Panel_Plusz 633.336 eFt'!I89/1000,0)</f>
        <v>49236</v>
      </c>
      <c r="T20" s="28">
        <f t="shared" si="4"/>
        <v>504667</v>
      </c>
      <c r="U20" s="16">
        <f>ROUND('Panel_Plusz 633.336 eFt'!I93/1000,0)</f>
        <v>49236</v>
      </c>
      <c r="V20" s="28">
        <f t="shared" si="5"/>
        <v>455431</v>
      </c>
      <c r="W20" s="16">
        <f>ROUND('Panel_Plusz 633.336 eFt'!I97/1000,0)</f>
        <v>49236</v>
      </c>
      <c r="X20" s="48">
        <f t="shared" si="6"/>
        <v>406195</v>
      </c>
      <c r="Y20" s="16">
        <f>ROUND('Panel_Plusz 633.336 eFt'!I101/1000,0)</f>
        <v>49236</v>
      </c>
      <c r="Z20" s="8">
        <f t="shared" si="7"/>
        <v>356959</v>
      </c>
      <c r="AA20" s="16">
        <f>ROUND('Panel_Plusz 633.336 eFt'!I105/1000,0)</f>
        <v>49236</v>
      </c>
      <c r="AB20" s="8">
        <f t="shared" si="8"/>
        <v>307723</v>
      </c>
      <c r="AC20" s="16">
        <f>ROUND('Panel_Plusz 633.336 eFt'!I109/1000,0)</f>
        <v>49236</v>
      </c>
      <c r="AD20" s="8">
        <f t="shared" si="9"/>
        <v>258487</v>
      </c>
      <c r="AE20" s="16">
        <f>ROUND('Panel_Plusz 633.336 eFt'!I113/1000,0)</f>
        <v>49236</v>
      </c>
      <c r="AF20" s="8">
        <f t="shared" si="10"/>
        <v>209251</v>
      </c>
      <c r="AG20" s="16">
        <f>ROUND('Panel_Plusz 633.336 eFt'!I117/1000,0)</f>
        <v>49236</v>
      </c>
      <c r="AH20" s="8">
        <f t="shared" si="11"/>
        <v>160015</v>
      </c>
      <c r="AI20" s="16">
        <f>ROUND('Panel_Plusz 633.336 eFt'!I121/1000,0)</f>
        <v>49236</v>
      </c>
      <c r="AJ20" s="8">
        <f t="shared" si="12"/>
        <v>110779</v>
      </c>
      <c r="AK20" s="16">
        <f>ROUND('Panel_Plusz 633.336 eFt'!I125/1000,0)</f>
        <v>49236</v>
      </c>
      <c r="AL20" s="8">
        <f t="shared" si="13"/>
        <v>61543</v>
      </c>
      <c r="AM20" s="16">
        <f>ROUND('Panel_Plusz 633.336 eFt'!I129/1000,0)</f>
        <v>49236</v>
      </c>
      <c r="AN20" s="8">
        <f t="shared" si="14"/>
        <v>12307</v>
      </c>
      <c r="AO20" s="16">
        <f>ROUND('Panel_Plusz 633.336 eFt'!I130/1000,0)</f>
        <v>12307</v>
      </c>
      <c r="AP20" s="13" t="s">
        <v>35</v>
      </c>
      <c r="AQ20" s="24" t="s">
        <v>35</v>
      </c>
      <c r="AR20" s="13" t="s">
        <v>35</v>
      </c>
      <c r="AS20" s="14" t="s">
        <v>35</v>
      </c>
      <c r="AT20" s="13" t="s">
        <v>35</v>
      </c>
      <c r="AU20" s="14" t="s">
        <v>35</v>
      </c>
      <c r="AV20" s="13" t="s">
        <v>35</v>
      </c>
      <c r="AW20" s="14" t="s">
        <v>35</v>
      </c>
      <c r="AX20" s="13" t="s">
        <v>35</v>
      </c>
      <c r="AY20" s="14" t="s">
        <v>35</v>
      </c>
      <c r="AZ20" s="13" t="s">
        <v>35</v>
      </c>
      <c r="BA20" s="14" t="s">
        <v>35</v>
      </c>
      <c r="BB20" s="13" t="s">
        <v>35</v>
      </c>
      <c r="BC20" s="14" t="s">
        <v>35</v>
      </c>
      <c r="BD20" s="163" t="s">
        <v>257</v>
      </c>
    </row>
    <row r="21" spans="1:56" ht="12.75">
      <c r="A21" s="15" t="s">
        <v>288</v>
      </c>
      <c r="B21" s="8"/>
      <c r="C21" s="23"/>
      <c r="D21" s="12"/>
      <c r="E21" s="16"/>
      <c r="F21" s="8"/>
      <c r="G21" s="16"/>
      <c r="H21" s="12"/>
      <c r="I21" s="16"/>
      <c r="J21" s="48">
        <v>0</v>
      </c>
      <c r="K21" s="16">
        <v>0</v>
      </c>
      <c r="L21" s="28">
        <f>ROUND('2006. évi 204.214,5 eFt (...16)'!C9/1000,0)</f>
        <v>201368</v>
      </c>
      <c r="M21" s="16">
        <v>0</v>
      </c>
      <c r="N21" s="48">
        <f>ROUND('2006. évi 204.214,5 eFt (...16)'!C14/1000,0)</f>
        <v>204215</v>
      </c>
      <c r="O21" s="16">
        <v>0</v>
      </c>
      <c r="P21" s="12">
        <f t="shared" si="2"/>
        <v>204215</v>
      </c>
      <c r="Q21" s="9">
        <v>8879</v>
      </c>
      <c r="R21" s="28">
        <f t="shared" si="3"/>
        <v>195336</v>
      </c>
      <c r="S21" s="16">
        <v>11839</v>
      </c>
      <c r="T21" s="28">
        <f t="shared" si="4"/>
        <v>183497</v>
      </c>
      <c r="U21" s="16">
        <v>11838</v>
      </c>
      <c r="V21" s="28">
        <f t="shared" si="5"/>
        <v>171659</v>
      </c>
      <c r="W21" s="16">
        <v>11839</v>
      </c>
      <c r="X21" s="48">
        <f t="shared" si="6"/>
        <v>159820</v>
      </c>
      <c r="Y21" s="16">
        <v>11838</v>
      </c>
      <c r="Z21" s="8">
        <f t="shared" si="7"/>
        <v>147982</v>
      </c>
      <c r="AA21" s="16">
        <v>11839</v>
      </c>
      <c r="AB21" s="8">
        <f t="shared" si="8"/>
        <v>136143</v>
      </c>
      <c r="AC21" s="16">
        <v>11838</v>
      </c>
      <c r="AD21" s="8">
        <f t="shared" si="9"/>
        <v>124305</v>
      </c>
      <c r="AE21" s="16">
        <v>11839</v>
      </c>
      <c r="AF21" s="8">
        <f t="shared" si="10"/>
        <v>112466</v>
      </c>
      <c r="AG21" s="16">
        <v>11838</v>
      </c>
      <c r="AH21" s="8">
        <f t="shared" si="11"/>
        <v>100628</v>
      </c>
      <c r="AI21" s="16">
        <v>11839</v>
      </c>
      <c r="AJ21" s="8">
        <f t="shared" si="12"/>
        <v>88789</v>
      </c>
      <c r="AK21" s="16">
        <v>11838</v>
      </c>
      <c r="AL21" s="8">
        <f t="shared" si="13"/>
        <v>76951</v>
      </c>
      <c r="AM21" s="16">
        <v>11839</v>
      </c>
      <c r="AN21" s="8">
        <f t="shared" si="14"/>
        <v>65112</v>
      </c>
      <c r="AO21" s="16">
        <v>11838</v>
      </c>
      <c r="AP21" s="8">
        <f>AN21-AO21</f>
        <v>53274</v>
      </c>
      <c r="AQ21" s="23">
        <v>11839</v>
      </c>
      <c r="AR21" s="12">
        <f>AP21-AQ21</f>
        <v>41435</v>
      </c>
      <c r="AS21" s="51">
        <v>11838</v>
      </c>
      <c r="AT21" s="12">
        <f>AR21-AS21</f>
        <v>29597</v>
      </c>
      <c r="AU21" s="51">
        <v>11839</v>
      </c>
      <c r="AV21" s="12">
        <f>AT21-AU21</f>
        <v>17758</v>
      </c>
      <c r="AW21" s="51">
        <v>11838</v>
      </c>
      <c r="AX21" s="12">
        <f>AV21-AW21</f>
        <v>5920</v>
      </c>
      <c r="AY21" s="51">
        <v>5920</v>
      </c>
      <c r="AZ21" s="13" t="s">
        <v>35</v>
      </c>
      <c r="BA21" s="14" t="s">
        <v>35</v>
      </c>
      <c r="BB21" s="13" t="s">
        <v>35</v>
      </c>
      <c r="BC21" s="14" t="s">
        <v>35</v>
      </c>
      <c r="BD21" s="4" t="s">
        <v>256</v>
      </c>
    </row>
    <row r="22" spans="1:56" ht="12.75">
      <c r="A22" s="15" t="s">
        <v>289</v>
      </c>
      <c r="B22" s="8"/>
      <c r="C22" s="23"/>
      <c r="D22" s="12"/>
      <c r="E22" s="16"/>
      <c r="F22" s="8"/>
      <c r="G22" s="16"/>
      <c r="H22" s="12"/>
      <c r="I22" s="16"/>
      <c r="J22" s="48">
        <v>0</v>
      </c>
      <c r="K22" s="16">
        <v>0</v>
      </c>
      <c r="L22" s="28">
        <f>ROUND('2006. évi 226.086,3 eFt (...17)'!C9/1000,0)</f>
        <v>226086</v>
      </c>
      <c r="M22" s="16">
        <v>0</v>
      </c>
      <c r="N22" s="48">
        <f>L22-M22</f>
        <v>226086</v>
      </c>
      <c r="O22" s="16">
        <v>0</v>
      </c>
      <c r="P22" s="12">
        <f t="shared" si="2"/>
        <v>226086</v>
      </c>
      <c r="Q22" s="9">
        <v>9830</v>
      </c>
      <c r="R22" s="28">
        <f t="shared" si="3"/>
        <v>216256</v>
      </c>
      <c r="S22" s="16">
        <v>13107</v>
      </c>
      <c r="T22" s="28">
        <f t="shared" si="4"/>
        <v>203149</v>
      </c>
      <c r="U22" s="16">
        <v>13107</v>
      </c>
      <c r="V22" s="28">
        <f t="shared" si="5"/>
        <v>190042</v>
      </c>
      <c r="W22" s="16">
        <v>13107</v>
      </c>
      <c r="X22" s="48">
        <f t="shared" si="6"/>
        <v>176935</v>
      </c>
      <c r="Y22" s="16">
        <v>13107</v>
      </c>
      <c r="Z22" s="8">
        <f t="shared" si="7"/>
        <v>163828</v>
      </c>
      <c r="AA22" s="16">
        <v>13107</v>
      </c>
      <c r="AB22" s="8">
        <f t="shared" si="8"/>
        <v>150721</v>
      </c>
      <c r="AC22" s="16">
        <v>13107</v>
      </c>
      <c r="AD22" s="8">
        <f t="shared" si="9"/>
        <v>137614</v>
      </c>
      <c r="AE22" s="16">
        <v>13107</v>
      </c>
      <c r="AF22" s="8">
        <f t="shared" si="10"/>
        <v>124507</v>
      </c>
      <c r="AG22" s="16">
        <v>13107</v>
      </c>
      <c r="AH22" s="8">
        <f t="shared" si="11"/>
        <v>111400</v>
      </c>
      <c r="AI22" s="16">
        <v>13107</v>
      </c>
      <c r="AJ22" s="8">
        <f t="shared" si="12"/>
        <v>98293</v>
      </c>
      <c r="AK22" s="16">
        <v>13107</v>
      </c>
      <c r="AL22" s="8">
        <f t="shared" si="13"/>
        <v>85186</v>
      </c>
      <c r="AM22" s="16">
        <v>13107</v>
      </c>
      <c r="AN22" s="8">
        <f t="shared" si="14"/>
        <v>72079</v>
      </c>
      <c r="AO22" s="16">
        <v>13107</v>
      </c>
      <c r="AP22" s="8">
        <f>AN22-AO22</f>
        <v>58972</v>
      </c>
      <c r="AQ22" s="16">
        <v>13107</v>
      </c>
      <c r="AR22" s="12">
        <f>AP22-AQ22</f>
        <v>45865</v>
      </c>
      <c r="AS22" s="16">
        <v>13107</v>
      </c>
      <c r="AT22" s="12">
        <f>AR22-AS22</f>
        <v>32758</v>
      </c>
      <c r="AU22" s="16">
        <v>13107</v>
      </c>
      <c r="AV22" s="12">
        <f>AT22-AU22</f>
        <v>19651</v>
      </c>
      <c r="AW22" s="16">
        <v>13107</v>
      </c>
      <c r="AX22" s="12">
        <f>AV22-AW22</f>
        <v>6544</v>
      </c>
      <c r="AY22" s="51">
        <v>6544</v>
      </c>
      <c r="AZ22" s="13" t="s">
        <v>35</v>
      </c>
      <c r="BA22" s="14" t="s">
        <v>35</v>
      </c>
      <c r="BB22" s="13" t="s">
        <v>35</v>
      </c>
      <c r="BC22" s="14" t="s">
        <v>35</v>
      </c>
      <c r="BD22" s="4" t="s">
        <v>306</v>
      </c>
    </row>
    <row r="23" spans="1:56" ht="12.75">
      <c r="A23" s="15" t="s">
        <v>290</v>
      </c>
      <c r="B23" s="8"/>
      <c r="C23" s="23"/>
      <c r="D23" s="12"/>
      <c r="E23" s="16"/>
      <c r="F23" s="8"/>
      <c r="G23" s="16"/>
      <c r="H23" s="12"/>
      <c r="I23" s="16"/>
      <c r="J23" s="48">
        <v>0</v>
      </c>
      <c r="K23" s="16">
        <v>0</v>
      </c>
      <c r="L23" s="28">
        <f>ROUND('2006. évi 10.350 eFt (...14)'!C9/1000,0)</f>
        <v>8528</v>
      </c>
      <c r="M23" s="16">
        <v>0</v>
      </c>
      <c r="N23" s="48">
        <f>ROUND('2006. évi 10.350 eFt (...14)'!C14/1000,0)</f>
        <v>10350</v>
      </c>
      <c r="O23" s="16">
        <v>0</v>
      </c>
      <c r="P23" s="12">
        <f t="shared" si="2"/>
        <v>10350</v>
      </c>
      <c r="Q23" s="9">
        <v>450</v>
      </c>
      <c r="R23" s="28">
        <f t="shared" si="3"/>
        <v>9900</v>
      </c>
      <c r="S23" s="16">
        <v>600</v>
      </c>
      <c r="T23" s="28">
        <f t="shared" si="4"/>
        <v>9300</v>
      </c>
      <c r="U23" s="16">
        <v>600</v>
      </c>
      <c r="V23" s="28">
        <f t="shared" si="5"/>
        <v>8700</v>
      </c>
      <c r="W23" s="16">
        <v>600</v>
      </c>
      <c r="X23" s="48">
        <f t="shared" si="6"/>
        <v>8100</v>
      </c>
      <c r="Y23" s="16">
        <v>600</v>
      </c>
      <c r="Z23" s="8">
        <f t="shared" si="7"/>
        <v>7500</v>
      </c>
      <c r="AA23" s="16">
        <v>600</v>
      </c>
      <c r="AB23" s="8">
        <f t="shared" si="8"/>
        <v>6900</v>
      </c>
      <c r="AC23" s="16">
        <v>600</v>
      </c>
      <c r="AD23" s="8">
        <f t="shared" si="9"/>
        <v>6300</v>
      </c>
      <c r="AE23" s="16">
        <v>600</v>
      </c>
      <c r="AF23" s="8">
        <f t="shared" si="10"/>
        <v>5700</v>
      </c>
      <c r="AG23" s="16">
        <v>600</v>
      </c>
      <c r="AH23" s="8">
        <f t="shared" si="11"/>
        <v>5100</v>
      </c>
      <c r="AI23" s="16">
        <v>600</v>
      </c>
      <c r="AJ23" s="8">
        <f t="shared" si="12"/>
        <v>4500</v>
      </c>
      <c r="AK23" s="16">
        <v>600</v>
      </c>
      <c r="AL23" s="8">
        <f t="shared" si="13"/>
        <v>3900</v>
      </c>
      <c r="AM23" s="16">
        <v>600</v>
      </c>
      <c r="AN23" s="8">
        <f t="shared" si="14"/>
        <v>3300</v>
      </c>
      <c r="AO23" s="16">
        <v>600</v>
      </c>
      <c r="AP23" s="8">
        <f>AN23-AO23</f>
        <v>2700</v>
      </c>
      <c r="AQ23" s="23">
        <v>600</v>
      </c>
      <c r="AR23" s="12">
        <f>AP23-AQ23</f>
        <v>2100</v>
      </c>
      <c r="AS23" s="51">
        <v>600</v>
      </c>
      <c r="AT23" s="12">
        <f>AR23-AS23</f>
        <v>1500</v>
      </c>
      <c r="AU23" s="51">
        <v>600</v>
      </c>
      <c r="AV23" s="12">
        <f>AT23-AU23</f>
        <v>900</v>
      </c>
      <c r="AW23" s="51">
        <v>600</v>
      </c>
      <c r="AX23" s="12">
        <f>AV23-AW23</f>
        <v>300</v>
      </c>
      <c r="AY23" s="51">
        <v>300</v>
      </c>
      <c r="AZ23" s="13" t="s">
        <v>35</v>
      </c>
      <c r="BA23" s="14" t="s">
        <v>35</v>
      </c>
      <c r="BB23" s="13" t="s">
        <v>35</v>
      </c>
      <c r="BC23" s="14" t="s">
        <v>35</v>
      </c>
      <c r="BD23" s="4" t="s">
        <v>255</v>
      </c>
    </row>
    <row r="24" spans="1:56" ht="12.75">
      <c r="A24" s="15" t="s">
        <v>291</v>
      </c>
      <c r="B24" s="8"/>
      <c r="C24" s="23"/>
      <c r="D24" s="12"/>
      <c r="E24" s="16"/>
      <c r="F24" s="8"/>
      <c r="G24" s="16"/>
      <c r="H24" s="12"/>
      <c r="I24" s="16"/>
      <c r="J24" s="48">
        <v>0</v>
      </c>
      <c r="K24" s="16">
        <v>0</v>
      </c>
      <c r="L24" s="28">
        <f>ROUND('2006. évi 11.007,9 eFt (...15)'!C9/1000,0)</f>
        <v>9264</v>
      </c>
      <c r="M24" s="16">
        <v>0</v>
      </c>
      <c r="N24" s="48">
        <f>ROUND('2006. évi 11.007,9 eFt (...15)'!C14/1000,0)</f>
        <v>10869</v>
      </c>
      <c r="O24" s="16">
        <v>0</v>
      </c>
      <c r="P24" s="12">
        <f t="shared" si="2"/>
        <v>10869</v>
      </c>
      <c r="Q24" s="9">
        <v>479</v>
      </c>
      <c r="R24" s="28">
        <f t="shared" si="3"/>
        <v>10390</v>
      </c>
      <c r="S24" s="16">
        <v>638</v>
      </c>
      <c r="T24" s="28">
        <f t="shared" si="4"/>
        <v>9752</v>
      </c>
      <c r="U24" s="16">
        <v>638</v>
      </c>
      <c r="V24" s="28">
        <f t="shared" si="5"/>
        <v>9114</v>
      </c>
      <c r="W24" s="16">
        <v>638</v>
      </c>
      <c r="X24" s="48">
        <f t="shared" si="6"/>
        <v>8476</v>
      </c>
      <c r="Y24" s="16">
        <v>638</v>
      </c>
      <c r="Z24" s="8">
        <f t="shared" si="7"/>
        <v>7838</v>
      </c>
      <c r="AA24" s="16">
        <v>638</v>
      </c>
      <c r="AB24" s="8">
        <f t="shared" si="8"/>
        <v>7200</v>
      </c>
      <c r="AC24" s="16">
        <v>638</v>
      </c>
      <c r="AD24" s="8">
        <f t="shared" si="9"/>
        <v>6562</v>
      </c>
      <c r="AE24" s="16">
        <v>638</v>
      </c>
      <c r="AF24" s="8">
        <f t="shared" si="10"/>
        <v>5924</v>
      </c>
      <c r="AG24" s="16">
        <v>638</v>
      </c>
      <c r="AH24" s="8">
        <f t="shared" si="11"/>
        <v>5286</v>
      </c>
      <c r="AI24" s="16">
        <v>638</v>
      </c>
      <c r="AJ24" s="8">
        <f t="shared" si="12"/>
        <v>4648</v>
      </c>
      <c r="AK24" s="16">
        <v>638</v>
      </c>
      <c r="AL24" s="8">
        <f t="shared" si="13"/>
        <v>4010</v>
      </c>
      <c r="AM24" s="16">
        <v>638</v>
      </c>
      <c r="AN24" s="8">
        <f t="shared" si="14"/>
        <v>3372</v>
      </c>
      <c r="AO24" s="16">
        <v>638</v>
      </c>
      <c r="AP24" s="8">
        <f>AN24-AO24</f>
        <v>2734</v>
      </c>
      <c r="AQ24" s="16">
        <v>638</v>
      </c>
      <c r="AR24" s="12">
        <f>AP24-AQ24</f>
        <v>2096</v>
      </c>
      <c r="AS24" s="16">
        <v>638</v>
      </c>
      <c r="AT24" s="12">
        <f>AR24-AS24</f>
        <v>1458</v>
      </c>
      <c r="AU24" s="16">
        <v>638</v>
      </c>
      <c r="AV24" s="12">
        <f>AT24-AU24</f>
        <v>820</v>
      </c>
      <c r="AW24" s="16">
        <v>638</v>
      </c>
      <c r="AX24" s="12">
        <f>AV24-AW24</f>
        <v>182</v>
      </c>
      <c r="AY24" s="51">
        <v>321</v>
      </c>
      <c r="AZ24" s="13" t="s">
        <v>35</v>
      </c>
      <c r="BA24" s="14" t="s">
        <v>35</v>
      </c>
      <c r="BB24" s="13" t="s">
        <v>35</v>
      </c>
      <c r="BC24" s="14" t="s">
        <v>35</v>
      </c>
      <c r="BD24" s="4" t="s">
        <v>331</v>
      </c>
    </row>
    <row r="25" spans="1:56" ht="12.75">
      <c r="A25" s="15" t="s">
        <v>307</v>
      </c>
      <c r="B25" s="8"/>
      <c r="C25" s="23"/>
      <c r="D25" s="12"/>
      <c r="E25" s="16"/>
      <c r="F25" s="8"/>
      <c r="G25" s="16"/>
      <c r="H25" s="12"/>
      <c r="I25" s="16"/>
      <c r="J25" s="48">
        <v>0</v>
      </c>
      <c r="K25" s="16">
        <v>0</v>
      </c>
      <c r="L25" s="28">
        <v>0</v>
      </c>
      <c r="M25" s="16">
        <f>'Panel_Plusz 494.917 eFt (...18)'!I35</f>
        <v>0</v>
      </c>
      <c r="N25" s="48">
        <f>ROUND('Panel_Plusz 494.917 eFt (...18)'!C35/1000,0)</f>
        <v>243326</v>
      </c>
      <c r="O25" s="16">
        <f>ROUND('Panel_Plusz 494.917 eFt (...18)'!I82/1000,0)</f>
        <v>0</v>
      </c>
      <c r="P25" s="12">
        <f>ROUND('Panel_Plusz 494.917 eFt (...18)'!C82/1000,0)</f>
        <v>494917</v>
      </c>
      <c r="Q25" s="16">
        <f>ROUND('Panel_Plusz 494.917 eFt (...18)'!I87/1000,0)</f>
        <v>10117</v>
      </c>
      <c r="R25" s="28">
        <f>ROUND('Panel_Plusz 494.917 eFt (...18)'!C87/1000,0)</f>
        <v>484800</v>
      </c>
      <c r="S25" s="16">
        <f>ROUND('Panel_Plusz 494.917 eFt (...18)'!I95/1000,0)</f>
        <v>40400</v>
      </c>
      <c r="T25" s="28">
        <f>ROUND('Panel_Plusz 494.917 eFt (...18)'!C95/1000,0)</f>
        <v>444400</v>
      </c>
      <c r="U25" s="16">
        <f>ROUND('Panel_Plusz 494.917 eFt (...18)'!I103/1000,0)</f>
        <v>40400</v>
      </c>
      <c r="V25" s="28">
        <f>ROUND('Panel_Plusz 494.917 eFt (...18)'!C103/1000,0)</f>
        <v>404000</v>
      </c>
      <c r="W25" s="16">
        <f>ROUND('Panel_Plusz 494.917 eFt (...18)'!I111/1000,0)</f>
        <v>40400</v>
      </c>
      <c r="X25" s="48">
        <f>ROUND('Panel_Plusz 494.917 eFt (...18)'!C111/1000,0)</f>
        <v>363600</v>
      </c>
      <c r="Y25" s="16">
        <f>ROUND('Panel_Plusz 494.917 eFt (...18)'!I119/1000,0)</f>
        <v>40400</v>
      </c>
      <c r="Z25" s="8">
        <f>ROUND('Panel_Plusz 494.917 eFt (...18)'!C119/1000,0)</f>
        <v>323200</v>
      </c>
      <c r="AA25" s="16">
        <f>ROUND('Panel_Plusz 494.917 eFt (...18)'!I127/1000,0)</f>
        <v>40400</v>
      </c>
      <c r="AB25" s="8">
        <f>ROUND('Panel_Plusz 494.917 eFt (...18)'!C127/1000,0)</f>
        <v>282800</v>
      </c>
      <c r="AC25" s="16">
        <f>ROUND('Panel_Plusz 494.917 eFt (...18)'!I135/1000,0)</f>
        <v>40400</v>
      </c>
      <c r="AD25" s="8">
        <f>ROUND('Panel_Plusz 494.917 eFt (...18)'!C135/1000,0)</f>
        <v>242400</v>
      </c>
      <c r="AE25" s="16">
        <f>ROUND('Panel_Plusz 494.917 eFt (...18)'!I143/1000,0)</f>
        <v>40400</v>
      </c>
      <c r="AF25" s="8">
        <f>ROUND('Panel_Plusz 494.917 eFt (...18)'!C143/1000,0)</f>
        <v>202000</v>
      </c>
      <c r="AG25" s="16">
        <f>ROUND('Panel_Plusz 494.917 eFt (...18)'!I151/1000,0)</f>
        <v>40400</v>
      </c>
      <c r="AH25" s="8">
        <f>ROUND('Panel_Plusz 494.917 eFt (...18)'!C151/1000,0)</f>
        <v>161600</v>
      </c>
      <c r="AI25" s="16">
        <f>ROUND('Panel_Plusz 494.917 eFt (...18)'!I159/1000,0)</f>
        <v>40400</v>
      </c>
      <c r="AJ25" s="8">
        <f>ROUND('Panel_Plusz 494.917 eFt (...18)'!C159/1000,0)</f>
        <v>121200</v>
      </c>
      <c r="AK25" s="16">
        <f>ROUND('Panel_Plusz 494.917 eFt (...18)'!I167/1000,0)</f>
        <v>40400</v>
      </c>
      <c r="AL25" s="8">
        <f>ROUND('Panel_Plusz 494.917 eFt (...18)'!C167/1000,0)</f>
        <v>80800</v>
      </c>
      <c r="AM25" s="16">
        <f>ROUND('Panel_Plusz 494.917 eFt (...18)'!I175/1000,0)</f>
        <v>40400</v>
      </c>
      <c r="AN25" s="8">
        <f>ROUND('Panel_Plusz 494.917 eFt (...18)'!C175/1000,0)</f>
        <v>40400</v>
      </c>
      <c r="AO25" s="16">
        <f>ROUND('Panel_Plusz 494.917 eFt (...18)'!I182/1000,0)</f>
        <v>40400</v>
      </c>
      <c r="AP25" s="13" t="s">
        <v>35</v>
      </c>
      <c r="AQ25" s="24" t="s">
        <v>35</v>
      </c>
      <c r="AR25" s="13" t="s">
        <v>35</v>
      </c>
      <c r="AS25" s="14" t="s">
        <v>35</v>
      </c>
      <c r="AT25" s="13" t="s">
        <v>35</v>
      </c>
      <c r="AU25" s="14" t="s">
        <v>35</v>
      </c>
      <c r="AV25" s="13" t="s">
        <v>35</v>
      </c>
      <c r="AW25" s="14" t="s">
        <v>35</v>
      </c>
      <c r="AX25" s="13" t="s">
        <v>35</v>
      </c>
      <c r="AY25" s="14" t="s">
        <v>35</v>
      </c>
      <c r="AZ25" s="13" t="s">
        <v>35</v>
      </c>
      <c r="BA25" s="14" t="s">
        <v>35</v>
      </c>
      <c r="BB25" s="13" t="s">
        <v>35</v>
      </c>
      <c r="BC25" s="14" t="s">
        <v>35</v>
      </c>
      <c r="BD25" s="4" t="s">
        <v>305</v>
      </c>
    </row>
    <row r="26" spans="1:56" ht="12.75">
      <c r="A26" s="15" t="s">
        <v>230</v>
      </c>
      <c r="B26" s="8"/>
      <c r="C26" s="23"/>
      <c r="D26" s="12"/>
      <c r="E26" s="16"/>
      <c r="F26" s="8"/>
      <c r="G26" s="16"/>
      <c r="H26" s="12"/>
      <c r="I26" s="16"/>
      <c r="J26" s="48"/>
      <c r="K26" s="16"/>
      <c r="L26" s="28">
        <v>0</v>
      </c>
      <c r="M26" s="16">
        <f>ROUND('2007. évi fejl. hit 1. hitelcél'!I11/1000,0)</f>
        <v>0</v>
      </c>
      <c r="N26" s="48">
        <f>ROUND('2007. évi fejl. hit 1. hitelcél'!C11/1000,0)</f>
        <v>181092</v>
      </c>
      <c r="O26" s="16">
        <f>ROUND('2007. évi fejl. hit 1. hitelcél'!I17/1000,0)</f>
        <v>0</v>
      </c>
      <c r="P26" s="12">
        <f>ROUND('2007. évi fejl. hit 1. hitelcél'!C17/1000,0)</f>
        <v>196360</v>
      </c>
      <c r="Q26" s="16">
        <f>ROUND('2007. évi fejl. hit 1. hitelcél'!I21/1000,0)</f>
        <v>0</v>
      </c>
      <c r="R26" s="12">
        <f>P26-Q26</f>
        <v>196360</v>
      </c>
      <c r="S26" s="16">
        <f>ROUND('2007. évi fejl. hit 1. hitelcél'!I25/1000,0)</f>
        <v>8415</v>
      </c>
      <c r="T26" s="12">
        <f>R26-S26</f>
        <v>187945</v>
      </c>
      <c r="U26" s="16">
        <f>ROUND('2007. évi fejl. hit 1. hitelcél'!I29/1000,0)</f>
        <v>11221</v>
      </c>
      <c r="V26" s="12">
        <f>T26-U26</f>
        <v>176724</v>
      </c>
      <c r="W26" s="16">
        <f>ROUND('2007. évi fejl. hit 1. hitelcél'!I33/1000,0)</f>
        <v>11221</v>
      </c>
      <c r="X26" s="12">
        <f>V26-W26</f>
        <v>165503</v>
      </c>
      <c r="Y26" s="16">
        <f>ROUND('2007. évi fejl. hit 1. hitelcél'!I37/1000,0)</f>
        <v>11221</v>
      </c>
      <c r="Z26" s="12">
        <f>X26-Y26</f>
        <v>154282</v>
      </c>
      <c r="AA26" s="16">
        <f>ROUND('2007. évi fejl. hit 1. hitelcél'!I41/1000,0)</f>
        <v>11221</v>
      </c>
      <c r="AB26" s="12">
        <f>Z26-AA26</f>
        <v>143061</v>
      </c>
      <c r="AC26" s="16">
        <f>ROUND('2007. évi fejl. hit 1. hitelcél'!I45/1000,0)-1</f>
        <v>11220</v>
      </c>
      <c r="AD26" s="12">
        <f>AB26-AC26</f>
        <v>131841</v>
      </c>
      <c r="AE26" s="16">
        <f>ROUND('2007. évi fejl. hit 1. hitelcél'!I49/1000,0)</f>
        <v>11221</v>
      </c>
      <c r="AF26" s="12">
        <f>AD26-AE26</f>
        <v>120620</v>
      </c>
      <c r="AG26" s="16">
        <f>ROUND('2007. évi fejl. hit 1. hitelcél'!I53/1000,0)-1</f>
        <v>11220</v>
      </c>
      <c r="AH26" s="12">
        <f>AF26-AG26</f>
        <v>109400</v>
      </c>
      <c r="AI26" s="16">
        <f>ROUND('2007. évi fejl. hit 1. hitelcél'!I57/1000,0)</f>
        <v>11221</v>
      </c>
      <c r="AJ26" s="12">
        <f>AH26-AI26</f>
        <v>98179</v>
      </c>
      <c r="AK26" s="16">
        <f>ROUND('2007. évi fejl. hit 1. hitelcél'!I61/1000,0)-1</f>
        <v>11220</v>
      </c>
      <c r="AL26" s="12">
        <f>AJ26-AK26</f>
        <v>86959</v>
      </c>
      <c r="AM26" s="16">
        <f>ROUND('2007. évi fejl. hit 1. hitelcél'!I65/1000,0)</f>
        <v>11221</v>
      </c>
      <c r="AN26" s="12">
        <f>AL26-AM26</f>
        <v>75738</v>
      </c>
      <c r="AO26" s="16">
        <f>ROUND('2007. évi fejl. hit 1. hitelcél'!I69/1000,0)-1</f>
        <v>11220</v>
      </c>
      <c r="AP26" s="12">
        <f>AN26-AO26</f>
        <v>64518</v>
      </c>
      <c r="AQ26" s="23">
        <f>ROUND('2007. évi fejl. hit 1. hitelcél'!I73/1000,0)</f>
        <v>11221</v>
      </c>
      <c r="AR26" s="12">
        <f>AP26-AQ26</f>
        <v>53297</v>
      </c>
      <c r="AS26" s="51">
        <f>ROUND('2007. évi fejl. hit 1. hitelcél'!I77/1000,0)-1</f>
        <v>11220</v>
      </c>
      <c r="AT26" s="12">
        <f>AR26-AS26</f>
        <v>42077</v>
      </c>
      <c r="AU26" s="51">
        <f>ROUND('2007. évi fejl. hit 1. hitelcél'!I81/1000,0)</f>
        <v>11221</v>
      </c>
      <c r="AV26" s="12">
        <f>AT26-AU26</f>
        <v>30856</v>
      </c>
      <c r="AW26" s="51">
        <f>ROUND('2007. évi fejl. hit 1. hitelcél'!I85/1000,0)-1</f>
        <v>11220</v>
      </c>
      <c r="AX26" s="12">
        <f>AV26-AW26</f>
        <v>19636</v>
      </c>
      <c r="AY26" s="51">
        <f>ROUND('2007. évi fejl. hit 1. hitelcél'!I89/1000,0)</f>
        <v>11221</v>
      </c>
      <c r="AZ26" s="12">
        <f>AX26-AY26</f>
        <v>8415</v>
      </c>
      <c r="BA26" s="51">
        <f>ROUND('2007. évi fejl. hit 1. hitelcél'!I92/1000,0)</f>
        <v>8415</v>
      </c>
      <c r="BB26" s="13" t="s">
        <v>35</v>
      </c>
      <c r="BC26" s="14" t="s">
        <v>35</v>
      </c>
      <c r="BD26" s="163" t="s">
        <v>326</v>
      </c>
    </row>
    <row r="27" spans="1:56" ht="12.75">
      <c r="A27" s="15" t="s">
        <v>231</v>
      </c>
      <c r="B27" s="8"/>
      <c r="C27" s="23"/>
      <c r="D27" s="12"/>
      <c r="E27" s="16"/>
      <c r="F27" s="8"/>
      <c r="G27" s="16"/>
      <c r="H27" s="12"/>
      <c r="I27" s="16"/>
      <c r="J27" s="48"/>
      <c r="K27" s="16"/>
      <c r="L27" s="28">
        <v>0</v>
      </c>
      <c r="M27" s="16">
        <f>'2007. évi fejl. hit 2. hitelcél'!I11</f>
        <v>0</v>
      </c>
      <c r="N27" s="48">
        <f>ROUND('2007. évi fejl. hit 2. hitelcél'!C11/1000,0)</f>
        <v>351452</v>
      </c>
      <c r="O27" s="16">
        <f>ROUND('2007. évi fejl. hit 2. hitelcél'!I17/1000,0)</f>
        <v>0</v>
      </c>
      <c r="P27" s="12">
        <f>ROUND('2007. évi fejl. hit 2. hitelcél'!C17/1000,0)</f>
        <v>722112</v>
      </c>
      <c r="Q27" s="9">
        <f>ROUND('2007. évi fejl. hit 2. hitelcél'!I21/1000,0)</f>
        <v>0</v>
      </c>
      <c r="R27" s="12">
        <f>P27-Q27</f>
        <v>722112</v>
      </c>
      <c r="S27" s="16">
        <f>ROUND('2007. évi fejl. hit 2. hitelcél'!I25/1000,0)</f>
        <v>30948</v>
      </c>
      <c r="T27" s="12">
        <f>R27-S27</f>
        <v>691164</v>
      </c>
      <c r="U27" s="16">
        <f>ROUND('2007. évi fejl. hit 2. hitelcél'!I29/1000,0)</f>
        <v>41264</v>
      </c>
      <c r="V27" s="12">
        <f>T27-U27</f>
        <v>649900</v>
      </c>
      <c r="W27" s="16">
        <f>ROUND('2007. évi fejl. hit 2. hitelcél'!I33/1000,0)</f>
        <v>41264</v>
      </c>
      <c r="X27" s="12">
        <f>V27-W27</f>
        <v>608636</v>
      </c>
      <c r="Y27" s="16">
        <f>ROUND('2007. évi fejl. hit 2. hitelcél'!I37/1000,0)</f>
        <v>41264</v>
      </c>
      <c r="Z27" s="12">
        <f>X27-Y27</f>
        <v>567372</v>
      </c>
      <c r="AA27" s="16">
        <f>ROUND('2007. évi fejl. hit 2. hitelcél'!I41/1000,0)</f>
        <v>41264</v>
      </c>
      <c r="AB27" s="12">
        <f>Z27-AA27</f>
        <v>526108</v>
      </c>
      <c r="AC27" s="16">
        <f>ROUND('2007. évi fejl. hit 2. hitelcél'!I45/1000,0)-1</f>
        <v>41263</v>
      </c>
      <c r="AD27" s="12">
        <f>AB27-AC27</f>
        <v>484845</v>
      </c>
      <c r="AE27" s="16">
        <f>ROUND('2007. évi fejl. hit 2. hitelcél'!I49/1000,0)</f>
        <v>41264</v>
      </c>
      <c r="AF27" s="12">
        <f>AD27-AE27</f>
        <v>443581</v>
      </c>
      <c r="AG27" s="16">
        <f>ROUND('2007. évi fejl. hit 2. hitelcél'!I53/1000,0)-1</f>
        <v>41263</v>
      </c>
      <c r="AH27" s="12">
        <f>AF27-AG27</f>
        <v>402318</v>
      </c>
      <c r="AI27" s="16">
        <f>ROUND('2007. évi fejl. hit 2. hitelcél'!I57/1000,0)</f>
        <v>41264</v>
      </c>
      <c r="AJ27" s="12">
        <f>AH27-AI27</f>
        <v>361054</v>
      </c>
      <c r="AK27" s="16">
        <f>ROUND('2007. évi fejl. hit 2. hitelcél'!I61/1000,0)-1</f>
        <v>41263</v>
      </c>
      <c r="AL27" s="12">
        <f>AJ27-AK27</f>
        <v>319791</v>
      </c>
      <c r="AM27" s="16">
        <f>ROUND('2007. évi fejl. hit 2. hitelcél'!I65/1000,0)</f>
        <v>41264</v>
      </c>
      <c r="AN27" s="12">
        <f>AL27-AM27</f>
        <v>278527</v>
      </c>
      <c r="AO27" s="16">
        <f>ROUND('2007. évi fejl. hit 2. hitelcél'!I69/1000,0)-1</f>
        <v>41263</v>
      </c>
      <c r="AP27" s="12">
        <f>AN27-AO27</f>
        <v>237264</v>
      </c>
      <c r="AQ27" s="23">
        <f>ROUND('2007. évi fejl. hit 2. hitelcél'!I73/1000,0)</f>
        <v>41264</v>
      </c>
      <c r="AR27" s="12">
        <f>AP27-AQ27</f>
        <v>196000</v>
      </c>
      <c r="AS27" s="51">
        <f>ROUND('2007. évi fejl. hit 2. hitelcél'!I77/1000,0)-3</f>
        <v>41261</v>
      </c>
      <c r="AT27" s="12">
        <f>AR27-AS27</f>
        <v>154739</v>
      </c>
      <c r="AU27" s="51">
        <f>ROUND('2007. évi fejl. hit 2. hitelcél'!I81/1000,0)</f>
        <v>41264</v>
      </c>
      <c r="AV27" s="12">
        <f>AT27-AU27</f>
        <v>113475</v>
      </c>
      <c r="AW27" s="51">
        <f>ROUND('2007. évi fejl. hit 2. hitelcél'!I85/1000,0)-1</f>
        <v>41263</v>
      </c>
      <c r="AX27" s="12">
        <f>AV27-AW27</f>
        <v>72212</v>
      </c>
      <c r="AY27" s="51">
        <f>ROUND('2007. évi fejl. hit 2. hitelcél'!I89/1000,0)</f>
        <v>41264</v>
      </c>
      <c r="AZ27" s="12">
        <f>AX27-AY27</f>
        <v>30948</v>
      </c>
      <c r="BA27" s="51">
        <f>ROUND('2007. évi fejl. hit 2. hitelcél'!I92/1000,0)</f>
        <v>30948</v>
      </c>
      <c r="BB27" s="13" t="s">
        <v>35</v>
      </c>
      <c r="BC27" s="14" t="s">
        <v>35</v>
      </c>
      <c r="BD27" s="163" t="s">
        <v>327</v>
      </c>
    </row>
    <row r="28" spans="1:56" ht="12.75">
      <c r="A28" s="15" t="s">
        <v>232</v>
      </c>
      <c r="B28" s="8"/>
      <c r="C28" s="23"/>
      <c r="D28" s="12"/>
      <c r="E28" s="16"/>
      <c r="F28" s="8"/>
      <c r="G28" s="16"/>
      <c r="H28" s="12"/>
      <c r="I28" s="16"/>
      <c r="J28" s="48">
        <v>0</v>
      </c>
      <c r="K28" s="16">
        <v>0</v>
      </c>
      <c r="L28" s="28">
        <v>0</v>
      </c>
      <c r="M28" s="23">
        <f>ROUND('2007. évi fejl. hit 7. hitelcél'!I11/1000,0)</f>
        <v>0</v>
      </c>
      <c r="N28" s="48">
        <f>ROUND('2007. évi fejl. hit 7. hitelcél'!C11/1000,0)</f>
        <v>13393</v>
      </c>
      <c r="O28" s="23">
        <f>ROUND('2007. évi fejl. hit 7. hitelcél'!I16/1000,0)</f>
        <v>0</v>
      </c>
      <c r="P28" s="12">
        <f>ROUND('2007. évi fejl. hit 7. hitelcél'!C16/1000,0)</f>
        <v>15302</v>
      </c>
      <c r="Q28" s="51">
        <f>ROUND('2007. évi fejl. hit 7. hitelcél'!I20/1000,0)</f>
        <v>0</v>
      </c>
      <c r="R28" s="12">
        <f>P28-Q28</f>
        <v>15302</v>
      </c>
      <c r="S28" s="23">
        <f>ROUND('2007. évi fejl. hit 7. hitelcél'!I24/1000,0)</f>
        <v>656</v>
      </c>
      <c r="T28" s="12">
        <f>R28-S28</f>
        <v>14646</v>
      </c>
      <c r="U28" s="23">
        <f>ROUND('2007. évi fejl. hit 7. hitelcél'!I28/1000,0)</f>
        <v>874</v>
      </c>
      <c r="V28" s="12">
        <f>T28-U28</f>
        <v>13772</v>
      </c>
      <c r="W28" s="23">
        <f>ROUND('2007. évi fejl. hit 7. hitelcél'!I32/1000,0)</f>
        <v>874</v>
      </c>
      <c r="X28" s="12">
        <f>V28-W28</f>
        <v>12898</v>
      </c>
      <c r="Y28" s="23">
        <f>ROUND('2007. évi fejl. hit 7. hitelcél'!I36/1000,0)</f>
        <v>874</v>
      </c>
      <c r="Z28" s="12">
        <f>X28-Y28</f>
        <v>12024</v>
      </c>
      <c r="AA28" s="23">
        <f>ROUND('2007. évi fejl. hit 7. hitelcél'!I40/1000,0)</f>
        <v>874</v>
      </c>
      <c r="AB28" s="12">
        <f>Z28-AA28</f>
        <v>11150</v>
      </c>
      <c r="AC28" s="23">
        <f>ROUND('2007. évi fejl. hit 7. hitelcél'!I44/1000,0)+1</f>
        <v>875</v>
      </c>
      <c r="AD28" s="12">
        <f>AB28-AC28</f>
        <v>10275</v>
      </c>
      <c r="AE28" s="23">
        <f>ROUND('2007. évi fejl. hit 7. hitelcél'!I48/1000,0)</f>
        <v>874</v>
      </c>
      <c r="AF28" s="12">
        <f>AD28-AE28</f>
        <v>9401</v>
      </c>
      <c r="AG28" s="23">
        <f>ROUND('2007. évi fejl. hit 7. hitelcél'!I52/1000,0)+1</f>
        <v>875</v>
      </c>
      <c r="AH28" s="12">
        <f>AF28-AG28</f>
        <v>8526</v>
      </c>
      <c r="AI28" s="23">
        <f>ROUND('2007. évi fejl. hit 7. hitelcél'!I56/1000,0)</f>
        <v>874</v>
      </c>
      <c r="AJ28" s="12">
        <f>AH28-AI28</f>
        <v>7652</v>
      </c>
      <c r="AK28" s="23">
        <f>ROUND('2007. évi fejl. hit 7. hitelcél'!I60/1000,0)+1</f>
        <v>875</v>
      </c>
      <c r="AL28" s="12">
        <f>AJ28-AK28</f>
        <v>6777</v>
      </c>
      <c r="AM28" s="23">
        <f>ROUND('2007. évi fejl. hit 7. hitelcél'!I64/1000,0)</f>
        <v>874</v>
      </c>
      <c r="AN28" s="12">
        <f>AL28-AM28</f>
        <v>5903</v>
      </c>
      <c r="AO28" s="23">
        <f>ROUND('2007. évi fejl. hit 7. hitelcél'!I68/1000,0)+1</f>
        <v>875</v>
      </c>
      <c r="AP28" s="12">
        <f>AN28-AO28</f>
        <v>5028</v>
      </c>
      <c r="AQ28" s="23">
        <f>ROUND('2007. évi fejl. hit 7. hitelcél'!I72/1000,0)</f>
        <v>874</v>
      </c>
      <c r="AR28" s="12">
        <f>AP28-AQ28</f>
        <v>4154</v>
      </c>
      <c r="AS28" s="51">
        <f>ROUND('2007. évi fejl. hit 7. hitelcél'!I76/1000,0)+1</f>
        <v>875</v>
      </c>
      <c r="AT28" s="12">
        <f>AR28-AS28</f>
        <v>3279</v>
      </c>
      <c r="AU28" s="51">
        <f>ROUND('2007. évi fejl. hit 7. hitelcél'!I80/1000,0)</f>
        <v>874</v>
      </c>
      <c r="AV28" s="12">
        <f>AT28-AU28</f>
        <v>2405</v>
      </c>
      <c r="AW28" s="51">
        <f>ROUND('2007. évi fejl. hit 7. hitelcél'!I84/1000,0)+1</f>
        <v>875</v>
      </c>
      <c r="AX28" s="12">
        <f>AV28-AW28</f>
        <v>1530</v>
      </c>
      <c r="AY28" s="51">
        <f>ROUND('2007. évi fejl. hit 7. hitelcél'!I88/1000,0)</f>
        <v>874</v>
      </c>
      <c r="AZ28" s="12">
        <f>AX28-AY28</f>
        <v>656</v>
      </c>
      <c r="BA28" s="51">
        <f>ROUND('2007. évi fejl. hit 7. hitelcél'!I91/1000,0)</f>
        <v>656</v>
      </c>
      <c r="BB28" s="13" t="s">
        <v>35</v>
      </c>
      <c r="BC28" s="14" t="s">
        <v>35</v>
      </c>
      <c r="BD28" s="163" t="s">
        <v>328</v>
      </c>
    </row>
    <row r="29" spans="1:56" ht="12.75">
      <c r="A29" s="15" t="s">
        <v>283</v>
      </c>
      <c r="B29" s="8"/>
      <c r="C29" s="23"/>
      <c r="D29" s="12"/>
      <c r="E29" s="16"/>
      <c r="F29" s="8"/>
      <c r="G29" s="16"/>
      <c r="H29" s="12"/>
      <c r="I29" s="16"/>
      <c r="J29" s="48"/>
      <c r="K29" s="16"/>
      <c r="L29" s="28">
        <v>0</v>
      </c>
      <c r="M29" s="23" t="e">
        <f>ROUND('2007. évi fejl. hit 7. hitelcél'!#REF!/1000,0)</f>
        <v>#REF!</v>
      </c>
      <c r="N29" s="48">
        <v>0</v>
      </c>
      <c r="O29" s="23">
        <f>ROUND('2008. évi 3,64MrdFt - 2. hitelc'!I10/1000,0)</f>
        <v>0</v>
      </c>
      <c r="P29" s="12">
        <f>ROUND('2008. évi 3,64MrdFt - 2. hitelc'!C10/1000,0)</f>
        <v>1240000</v>
      </c>
      <c r="Q29" s="51">
        <f>ROUND('2008. évi 3,64MrdFt - 2. hitelc'!I17/1000,0)</f>
        <v>0</v>
      </c>
      <c r="R29" s="12">
        <f>ROUND('2008. évi 3,64MrdFt - 2. hitelc'!C17/1000,0)</f>
        <v>2440000</v>
      </c>
      <c r="S29" s="23">
        <f>ROUND('2008. évi 3,64MrdFt - 2. hitelc'!I24/1000,0)</f>
        <v>0</v>
      </c>
      <c r="T29" s="12">
        <f>ROUND('2008. évi 3,64MrdFt - 2. hitelc'!C24/1000,0)</f>
        <v>3640000</v>
      </c>
      <c r="U29" s="23">
        <f>ROUND('2008. évi 3,64MrdFt - 2. hitelc'!I28/1000,0)</f>
        <v>107059</v>
      </c>
      <c r="V29" s="12">
        <f>ROUND('2008. évi 3,64MrdFt - 2. hitelc'!C28/1000,0)</f>
        <v>3532941</v>
      </c>
      <c r="W29" s="23">
        <f>ROUND('2008. évi 3,64MrdFt - 2. hitelc'!I32/1000,0)</f>
        <v>214118</v>
      </c>
      <c r="X29" s="12">
        <f>ROUND('2008. évi 3,64MrdFt - 2. hitelc'!C32/1000,0)</f>
        <v>3318824</v>
      </c>
      <c r="Y29" s="23">
        <f>ROUND('2008. évi 3,64MrdFt - 2. hitelc'!I36/1000,0)</f>
        <v>214118</v>
      </c>
      <c r="Z29" s="12">
        <f>ROUND('2008. évi 3,64MrdFt - 2. hitelc'!C36/1000,0)</f>
        <v>3104706</v>
      </c>
      <c r="AA29" s="23">
        <f>ROUND('2008. évi 3,64MrdFt - 2. hitelc'!I40/1000,0)</f>
        <v>214118</v>
      </c>
      <c r="AB29" s="12">
        <f>ROUND('2008. évi 3,64MrdFt - 2. hitelc'!C40/1000,0)</f>
        <v>2890588</v>
      </c>
      <c r="AC29" s="23">
        <f>ROUND('2008. évi 3,64MrdFt - 2. hitelc'!I44/1000,0)</f>
        <v>214118</v>
      </c>
      <c r="AD29" s="12">
        <f>ROUND('2008. évi 3,64MrdFt - 2. hitelc'!C44/1000,0)</f>
        <v>2676471</v>
      </c>
      <c r="AE29" s="23">
        <f>ROUND('2008. évi 3,64MrdFt - 2. hitelc'!I48/1000,0)</f>
        <v>214118</v>
      </c>
      <c r="AF29" s="12">
        <f>ROUND('2008. évi 3,64MrdFt - 2. hitelc'!C48/1000,0)</f>
        <v>2462353</v>
      </c>
      <c r="AG29" s="23">
        <f>ROUND('2008. évi 3,64MrdFt - 2. hitelc'!I52/1000,0)</f>
        <v>214118</v>
      </c>
      <c r="AH29" s="12">
        <f>ROUND('2008. évi 3,64MrdFt - 2. hitelc'!C52/1000,0)</f>
        <v>2248235</v>
      </c>
      <c r="AI29" s="23">
        <f>ROUND('2008. évi 3,64MrdFt - 2. hitelc'!I56/1000,0)</f>
        <v>214118</v>
      </c>
      <c r="AJ29" s="12">
        <f>ROUND('2008. évi 3,64MrdFt - 2. hitelc'!C56/1000,0)</f>
        <v>2034118</v>
      </c>
      <c r="AK29" s="23">
        <f>ROUND('2008. évi 3,64MrdFt - 2. hitelc'!I60/1000,0)</f>
        <v>214118</v>
      </c>
      <c r="AL29" s="12">
        <f>ROUND('2008. évi 3,64MrdFt - 2. hitelc'!C60/1000,0)</f>
        <v>1820000</v>
      </c>
      <c r="AM29" s="23">
        <f>ROUND('2008. évi 3,64MrdFt - 2. hitelc'!I64/1000,0)</f>
        <v>214118</v>
      </c>
      <c r="AN29" s="12">
        <f>ROUND('2008. évi 3,64MrdFt - 2. hitelc'!C64/1000,0)</f>
        <v>1605882</v>
      </c>
      <c r="AO29" s="23">
        <f>ROUND('2008. évi 3,64MrdFt - 2. hitelc'!I68/1000,0)</f>
        <v>214118</v>
      </c>
      <c r="AP29" s="12">
        <f>ROUND('2008. évi 3,64MrdFt - 2. hitelc'!C68/1000,0)</f>
        <v>1391765</v>
      </c>
      <c r="AQ29" s="23">
        <f>ROUND('2008. évi 3,64MrdFt - 2. hitelc'!I72/1000,0)</f>
        <v>214118</v>
      </c>
      <c r="AR29" s="12">
        <f>ROUND('2008. évi 3,64MrdFt - 2. hitelc'!C72/1000,0)</f>
        <v>1177647</v>
      </c>
      <c r="AS29" s="51">
        <f>ROUND('2008. évi 3,64MrdFt - 2. hitelc'!I76/1000,0)</f>
        <v>214118</v>
      </c>
      <c r="AT29" s="12">
        <f>ROUND('2008. évi 3,64MrdFt - 2. hitelc'!C76/1000,0)</f>
        <v>963529</v>
      </c>
      <c r="AU29" s="51">
        <f>ROUND('2008. évi 3,64MrdFt - 2. hitelc'!I80/1000,0)</f>
        <v>214118</v>
      </c>
      <c r="AV29" s="12">
        <f>ROUND('2008. évi 3,64MrdFt - 2. hitelc'!C80/1000,0)</f>
        <v>749412</v>
      </c>
      <c r="AW29" s="51">
        <f>ROUND('2008. évi 3,64MrdFt - 2. hitelc'!I84/1000,0)</f>
        <v>214118</v>
      </c>
      <c r="AX29" s="12">
        <f>ROUND('2008. évi 3,64MrdFt - 2. hitelc'!C84/1000,0)</f>
        <v>535294</v>
      </c>
      <c r="AY29" s="51">
        <f>ROUND('2008. évi 3,64MrdFt - 2. hitelc'!I88/1000,0)</f>
        <v>214118</v>
      </c>
      <c r="AZ29" s="12">
        <f>ROUND('2008. évi 3,64MrdFt - 2. hitelc'!C88/1000,0)</f>
        <v>321176</v>
      </c>
      <c r="BA29" s="51">
        <f>ROUND('2008. évi 3,64MrdFt - 2. hitelc'!I92/1000,0)</f>
        <v>214118</v>
      </c>
      <c r="BB29" s="12">
        <f>ROUND('2008. évi 3,64MrdFt - 2. hitelc'!C92/1000,0)</f>
        <v>107059</v>
      </c>
      <c r="BC29" s="51">
        <f>ROUND('2008. évi 3,64MrdFt - 2. hitelc'!I94/1000,0)</f>
        <v>107059</v>
      </c>
      <c r="BD29" s="163" t="s">
        <v>332</v>
      </c>
    </row>
    <row r="30" spans="1:56" ht="12.75">
      <c r="A30" s="15" t="s">
        <v>284</v>
      </c>
      <c r="B30" s="8"/>
      <c r="C30" s="23"/>
      <c r="D30" s="12"/>
      <c r="E30" s="16"/>
      <c r="F30" s="8"/>
      <c r="G30" s="16"/>
      <c r="H30" s="12"/>
      <c r="I30" s="16"/>
      <c r="J30" s="48"/>
      <c r="K30" s="16"/>
      <c r="L30" s="28">
        <v>0</v>
      </c>
      <c r="M30" s="23">
        <f>ROUND('2007. évi fejl. hit 7. hitelcél'!I12/1000,0)</f>
        <v>0</v>
      </c>
      <c r="N30" s="48">
        <v>0</v>
      </c>
      <c r="O30" s="23">
        <f>'2008. évi 760 MFt - 3. hitelc'!I10</f>
        <v>0</v>
      </c>
      <c r="P30" s="12">
        <f>ROUND('2008. évi 760 MFt - 3. hitelc'!C10/1000,0)</f>
        <v>260000</v>
      </c>
      <c r="Q30" s="51">
        <f>ROUND('2008. évi 760 MFt - 3. hitelc'!I15/1000,0)</f>
        <v>0</v>
      </c>
      <c r="R30" s="12">
        <f>ROUND('2008. évi 760 MFt - 3. hitelc'!C15/1000,0)</f>
        <v>510000</v>
      </c>
      <c r="S30" s="23">
        <f>ROUND('2008. évi 760 MFt - 3. hitelc'!I20/1000,0)</f>
        <v>0</v>
      </c>
      <c r="T30" s="12">
        <f>ROUND('2008. évi 760 MFt - 3. hitelc'!C20/1000,0)</f>
        <v>760000</v>
      </c>
      <c r="U30" s="23">
        <f>ROUND('2008. évi 760 MFt - 3. hitelc'!I24/1000,0)</f>
        <v>22353</v>
      </c>
      <c r="V30" s="12">
        <f>ROUND('2008. évi 760 MFt - 3. hitelc'!C24/1000,0)</f>
        <v>737647</v>
      </c>
      <c r="W30" s="23">
        <f>ROUND('2008. évi 760 MFt - 3. hitelc'!I28/1000,0)</f>
        <v>44706</v>
      </c>
      <c r="X30" s="12">
        <f>ROUND('2008. évi 760 MFt - 3. hitelc'!C28/1000,0)</f>
        <v>692941</v>
      </c>
      <c r="Y30" s="23">
        <f>ROUND('2008. évi 760 MFt - 3. hitelc'!I32/1000,0)</f>
        <v>44706</v>
      </c>
      <c r="Z30" s="12">
        <f>ROUND('2008. évi 760 MFt - 3. hitelc'!C32/1000,0)</f>
        <v>648235</v>
      </c>
      <c r="AA30" s="23">
        <f>ROUND('2008. évi 760 MFt - 3. hitelc'!I36/1000,0)</f>
        <v>44706</v>
      </c>
      <c r="AB30" s="12">
        <f>ROUND('2008. évi 760 MFt - 3. hitelc'!C36/1000,0)</f>
        <v>603529</v>
      </c>
      <c r="AC30" s="23">
        <f>ROUND('2008. évi 760 MFt - 3. hitelc'!I40/1000,0)</f>
        <v>44706</v>
      </c>
      <c r="AD30" s="12">
        <f>ROUND('2008. évi 760 MFt - 3. hitelc'!C40/1000,0)</f>
        <v>558824</v>
      </c>
      <c r="AE30" s="23">
        <f>ROUND('2008. évi 760 MFt - 3. hitelc'!I44/1000,0)</f>
        <v>44706</v>
      </c>
      <c r="AF30" s="12">
        <f>ROUND('2008. évi 760 MFt - 3. hitelc'!C44/1000,0)</f>
        <v>514118</v>
      </c>
      <c r="AG30" s="23">
        <f>ROUND('2008. évi 760 MFt - 3. hitelc'!I48/1000,0)</f>
        <v>44706</v>
      </c>
      <c r="AH30" s="12">
        <f>ROUND('2008. évi 760 MFt - 3. hitelc'!C48/1000,0)</f>
        <v>469412</v>
      </c>
      <c r="AI30" s="23">
        <f>ROUND('2008. évi 760 MFt - 3. hitelc'!I52/1000,0)</f>
        <v>44706</v>
      </c>
      <c r="AJ30" s="12">
        <f>ROUND('2008. évi 760 MFt - 3. hitelc'!C52/1000,0)</f>
        <v>424706</v>
      </c>
      <c r="AK30" s="23">
        <f>ROUND('2008. évi 760 MFt - 3. hitelc'!I56/1000,0)</f>
        <v>44706</v>
      </c>
      <c r="AL30" s="12">
        <f>ROUND('2008. évi 760 MFt - 3. hitelc'!C56/1000,0)</f>
        <v>380000</v>
      </c>
      <c r="AM30" s="23">
        <f>ROUND('2008. évi 760 MFt - 3. hitelc'!I60/1000,0)</f>
        <v>44706</v>
      </c>
      <c r="AN30" s="12">
        <f>ROUND('2008. évi 760 MFt - 3. hitelc'!C60/1000,0)</f>
        <v>335294</v>
      </c>
      <c r="AO30" s="23">
        <f>ROUND('2008. évi 760 MFt - 3. hitelc'!I64/1000,0)</f>
        <v>44706</v>
      </c>
      <c r="AP30" s="12">
        <f>ROUND('2008. évi 760 MFt - 3. hitelc'!C64/1000,0)</f>
        <v>290588</v>
      </c>
      <c r="AQ30" s="23">
        <f>ROUND('2008. évi 760 MFt - 3. hitelc'!I68/1000,0)</f>
        <v>44706</v>
      </c>
      <c r="AR30" s="12">
        <f>ROUND('2008. évi 760 MFt - 3. hitelc'!C68/1000,0)</f>
        <v>245882</v>
      </c>
      <c r="AS30" s="51">
        <f>ROUND('2008. évi 760 MFt - 3. hitelc'!I72/1000,0)</f>
        <v>44706</v>
      </c>
      <c r="AT30" s="12">
        <f>ROUND('2008. évi 760 MFt - 3. hitelc'!C72/1000,0)</f>
        <v>201177</v>
      </c>
      <c r="AU30" s="51">
        <f>ROUND('2008. évi 760 MFt - 3. hitelc'!I76/1000,0)</f>
        <v>44706</v>
      </c>
      <c r="AV30" s="12">
        <f>ROUND('2008. évi 760 MFt - 3. hitelc'!C76/1000,0)</f>
        <v>156471</v>
      </c>
      <c r="AW30" s="51">
        <f>ROUND('2008. évi 760 MFt - 3. hitelc'!I80/1000,0)</f>
        <v>44706</v>
      </c>
      <c r="AX30" s="12">
        <f>ROUND('2008. évi 760 MFt - 3. hitelc'!C80/1000,0)</f>
        <v>111765</v>
      </c>
      <c r="AY30" s="51">
        <f>ROUND('2008. évi 760 MFt - 3. hitelc'!I84/1000,0)</f>
        <v>44706</v>
      </c>
      <c r="AZ30" s="12">
        <f>ROUND('2008. évi 760 MFt - 3. hitelc'!C84/1000,0)</f>
        <v>67059</v>
      </c>
      <c r="BA30" s="51">
        <f>ROUND('2008. évi 760 MFt - 3. hitelc'!I88/1000,0)</f>
        <v>44706</v>
      </c>
      <c r="BB30" s="12">
        <f>ROUND('2008. évi 760 MFt - 3. hitelc'!C88/1000,0)</f>
        <v>22353</v>
      </c>
      <c r="BC30" s="51">
        <f>ROUND('2008. évi 760 MFt - 3. hitelc'!I90/1000,0)</f>
        <v>22353</v>
      </c>
      <c r="BD30" s="163" t="s">
        <v>333</v>
      </c>
    </row>
    <row r="31" spans="1:56" ht="12.75">
      <c r="A31" s="15" t="s">
        <v>285</v>
      </c>
      <c r="B31" s="8"/>
      <c r="C31" s="23"/>
      <c r="D31" s="12"/>
      <c r="E31" s="16"/>
      <c r="F31" s="8"/>
      <c r="G31" s="16"/>
      <c r="H31" s="12"/>
      <c r="I31" s="16"/>
      <c r="J31" s="48"/>
      <c r="K31" s="16"/>
      <c r="L31" s="28">
        <v>0</v>
      </c>
      <c r="M31" s="23">
        <f>ROUND('2007. évi fejl. hit 7. hitelcél'!I13/1000,0)</f>
        <v>0</v>
      </c>
      <c r="N31" s="48">
        <v>0</v>
      </c>
      <c r="O31" s="23">
        <f>ROUND('2008. évi 3,25 mrdFt-8. hitelc'!I10/1000,0)</f>
        <v>0</v>
      </c>
      <c r="P31" s="12">
        <f>ROUND('2008. évi 3,25 mrdFt-8. hitelc'!C10/1000,0)</f>
        <v>0</v>
      </c>
      <c r="Q31" s="51">
        <f>ROUND('2008. évi 3,25 mrdFt-8. hitelc'!I16/1000,0)</f>
        <v>0</v>
      </c>
      <c r="R31" s="12">
        <f>ROUND('2008. évi 3,25 mrdFt-8. hitelc'!C16/1000,0)</f>
        <v>1080000</v>
      </c>
      <c r="S31" s="23">
        <f>ROUND('2008. évi 3,25 mrdFt-8. hitelc'!I24/1000,0)</f>
        <v>0</v>
      </c>
      <c r="T31" s="12">
        <f>ROUND('2008. évi 3,25 mrdFt-8. hitelc'!C24/1000,0)</f>
        <v>3250000</v>
      </c>
      <c r="U31" s="23">
        <f>ROUND('2008. évi 3,25 mrdFt-8. hitelc'!I28/1000,0)</f>
        <v>95588</v>
      </c>
      <c r="V31" s="12">
        <f>ROUND('2008. évi 3,25 mrdFt-8. hitelc'!C28/1000,0)</f>
        <v>3154412</v>
      </c>
      <c r="W31" s="23">
        <f>ROUND('2008. évi 3,25 mrdFt-8. hitelc'!I32/1000,0)</f>
        <v>191176</v>
      </c>
      <c r="X31" s="12">
        <f>ROUND('2008. évi 3,25 mrdFt-8. hitelc'!C32/1000,0)</f>
        <v>2963235</v>
      </c>
      <c r="Y31" s="23">
        <f>ROUND('2008. évi 3,25 mrdFt-8. hitelc'!I36/1000,0)</f>
        <v>191176</v>
      </c>
      <c r="Z31" s="12">
        <f>ROUND('2008. évi 3,25 mrdFt-8. hitelc'!C36/1000,0)</f>
        <v>2772059</v>
      </c>
      <c r="AA31" s="23">
        <f>ROUND('2008. évi 3,25 mrdFt-8. hitelc'!I40/1000,0)</f>
        <v>191176</v>
      </c>
      <c r="AB31" s="12">
        <f>ROUND('2008. évi 3,25 mrdFt-8. hitelc'!C40/1000,0)</f>
        <v>2580882</v>
      </c>
      <c r="AC31" s="23">
        <f>ROUND('2008. évi 3,25 mrdFt-8. hitelc'!I44/1000,0)</f>
        <v>191176</v>
      </c>
      <c r="AD31" s="12">
        <f>ROUND('2008. évi 3,25 mrdFt-8. hitelc'!C44/1000,0)</f>
        <v>2389706</v>
      </c>
      <c r="AE31" s="23">
        <f>ROUND('2008. évi 3,25 mrdFt-8. hitelc'!I48/1000,0)</f>
        <v>191176</v>
      </c>
      <c r="AF31" s="12">
        <f>ROUND('2008. évi 3,25 mrdFt-8. hitelc'!C48/1000,0)</f>
        <v>2198529</v>
      </c>
      <c r="AG31" s="23">
        <f>ROUND('2008. évi 3,25 mrdFt-8. hitelc'!I52/1000,0)</f>
        <v>191176</v>
      </c>
      <c r="AH31" s="12">
        <f>ROUND('2008. évi 3,25 mrdFt-8. hitelc'!C52/1000,0)</f>
        <v>2007353</v>
      </c>
      <c r="AI31" s="23">
        <f>ROUND('2008. évi 3,25 mrdFt-8. hitelc'!I56/1000,0)</f>
        <v>191176</v>
      </c>
      <c r="AJ31" s="12">
        <f>ROUND('2008. évi 3,25 mrdFt-8. hitelc'!C56/1000,0)</f>
        <v>1816176</v>
      </c>
      <c r="AK31" s="23">
        <f>ROUND('2008. évi 3,25 mrdFt-8. hitelc'!I60/1000,0)</f>
        <v>191176</v>
      </c>
      <c r="AL31" s="12">
        <f>ROUND('2008. évi 3,25 mrdFt-8. hitelc'!C60/1000,0)</f>
        <v>1625000</v>
      </c>
      <c r="AM31" s="23">
        <f>ROUND('2008. évi 3,25 mrdFt-8. hitelc'!I64/1000,0)</f>
        <v>191176</v>
      </c>
      <c r="AN31" s="12">
        <f>ROUND('2008. évi 3,25 mrdFt-8. hitelc'!C64/1000,0)</f>
        <v>1433824</v>
      </c>
      <c r="AO31" s="23">
        <f>ROUND('2008. évi 3,25 mrdFt-8. hitelc'!I68/1000,0)</f>
        <v>191176</v>
      </c>
      <c r="AP31" s="12">
        <f>ROUND('2008. évi 3,25 mrdFt-8. hitelc'!C68/1000,0)</f>
        <v>1242647</v>
      </c>
      <c r="AQ31" s="23">
        <f>ROUND('2008. évi 3,25 mrdFt-8. hitelc'!I72/1000,0)</f>
        <v>191176</v>
      </c>
      <c r="AR31" s="12">
        <f>ROUND('2008. évi 3,25 mrdFt-8. hitelc'!C72/1000,0)</f>
        <v>1051471</v>
      </c>
      <c r="AS31" s="51">
        <f>ROUND('2008. évi 3,25 mrdFt-8. hitelc'!I76/1000,0)</f>
        <v>191176</v>
      </c>
      <c r="AT31" s="12">
        <f>ROUND('2008. évi 3,25 mrdFt-8. hitelc'!C76/1000,0)</f>
        <v>860294</v>
      </c>
      <c r="AU31" s="51">
        <f>ROUND('2008. évi 3,25 mrdFt-8. hitelc'!I80/1000,0)</f>
        <v>191176</v>
      </c>
      <c r="AV31" s="12">
        <f>ROUND('2008. évi 3,25 mrdFt-8. hitelc'!C80/1000,0)</f>
        <v>669118</v>
      </c>
      <c r="AW31" s="51">
        <f>ROUND('2008. évi 3,25 mrdFt-8. hitelc'!I84/1000,0)</f>
        <v>191176</v>
      </c>
      <c r="AX31" s="12">
        <f>ROUND('2008. évi 3,25 mrdFt-8. hitelc'!C84/1000,0)</f>
        <v>477941</v>
      </c>
      <c r="AY31" s="51">
        <f>ROUND('2008. évi 3,25 mrdFt-8. hitelc'!I88/1000,0)</f>
        <v>191176</v>
      </c>
      <c r="AZ31" s="12">
        <f>ROUND('2008. évi 3,25 mrdFt-8. hitelc'!C88/1000,0)</f>
        <v>286765</v>
      </c>
      <c r="BA31" s="51">
        <f>ROUND('2008. évi 3,25 mrdFt-8. hitelc'!I92/1000,0)</f>
        <v>191176</v>
      </c>
      <c r="BB31" s="12">
        <f>ROUND('2008. évi 3,25 mrdFt-8. hitelc'!C92/1000,0)</f>
        <v>95588</v>
      </c>
      <c r="BC31" s="51">
        <f>ROUND('2008. évi 3,25 mrdFt-8. hitelc'!I94/1000,0)</f>
        <v>95588</v>
      </c>
      <c r="BD31" s="163" t="s">
        <v>334</v>
      </c>
    </row>
    <row r="32" spans="1:56" ht="12.75">
      <c r="A32" s="15" t="s">
        <v>286</v>
      </c>
      <c r="B32" s="8"/>
      <c r="C32" s="23"/>
      <c r="D32" s="12"/>
      <c r="E32" s="16"/>
      <c r="F32" s="8"/>
      <c r="G32" s="16"/>
      <c r="H32" s="12"/>
      <c r="I32" s="16"/>
      <c r="J32" s="48"/>
      <c r="K32" s="16"/>
      <c r="L32" s="28">
        <v>0</v>
      </c>
      <c r="M32" s="23">
        <f>ROUND('2007. évi fejl. hit 7. hitelcél'!I14/1000,0)</f>
        <v>0</v>
      </c>
      <c r="N32" s="48">
        <v>0</v>
      </c>
      <c r="O32" s="23">
        <f>'2008. évi 1,35 mrd Ft Bérlakás'!I10</f>
        <v>0</v>
      </c>
      <c r="P32" s="12">
        <f>ROUND('2008. évi 1,35 mrd Ft Bérlakás'!C10/1000,0)</f>
        <v>0</v>
      </c>
      <c r="Q32" s="51">
        <f>ROUND('2008. évi 1,35 mrd Ft Bérlakás'!I18/1000,0)</f>
        <v>0</v>
      </c>
      <c r="R32" s="12">
        <f>ROUND('2008. évi 1,35 mrd Ft Bérlakás'!C18/1000,0)</f>
        <v>970000</v>
      </c>
      <c r="S32" s="23">
        <f>ROUND('2008. évi 1,35 mrd Ft Bérlakás'!I24/1000,0)</f>
        <v>0</v>
      </c>
      <c r="T32" s="12">
        <f>ROUND('2008. évi 1,35 mrd Ft Bérlakás'!C24/1000,0)</f>
        <v>1350000</v>
      </c>
      <c r="U32" s="23">
        <f>ROUND('2008. évi 1,35 mrd Ft Bérlakás'!I28/1000,0)</f>
        <v>39706</v>
      </c>
      <c r="V32" s="12">
        <f>ROUND('2008. évi 1,35 mrd Ft Bérlakás'!C28/1000,0)</f>
        <v>1310294</v>
      </c>
      <c r="W32" s="23">
        <f>ROUND('2008. évi 1,35 mrd Ft Bérlakás'!I32/1000,0)</f>
        <v>79412</v>
      </c>
      <c r="X32" s="12">
        <f>ROUND('2008. évi 1,35 mrd Ft Bérlakás'!C32/1000,0)</f>
        <v>1230882</v>
      </c>
      <c r="Y32" s="23">
        <f>ROUND('2008. évi 1,35 mrd Ft Bérlakás'!I36/1000,0)</f>
        <v>79412</v>
      </c>
      <c r="Z32" s="12">
        <f>ROUND('2008. évi 1,35 mrd Ft Bérlakás'!C36/1000,0)</f>
        <v>1151471</v>
      </c>
      <c r="AA32" s="23">
        <f>ROUND('2008. évi 1,35 mrd Ft Bérlakás'!I40/1000,0)</f>
        <v>79412</v>
      </c>
      <c r="AB32" s="12">
        <f>ROUND('2008. évi 1,35 mrd Ft Bérlakás'!C40/1000,0)</f>
        <v>1072059</v>
      </c>
      <c r="AC32" s="23">
        <f>ROUND('2008. évi 1,35 mrd Ft Bérlakás'!I44/1000,0)</f>
        <v>79412</v>
      </c>
      <c r="AD32" s="12">
        <f>ROUND('2008. évi 1,35 mrd Ft Bérlakás'!C44/1000,0)</f>
        <v>992647</v>
      </c>
      <c r="AE32" s="23">
        <f>ROUND('2008. évi 1,35 mrd Ft Bérlakás'!I48/1000,0)</f>
        <v>79412</v>
      </c>
      <c r="AF32" s="12">
        <f>ROUND('2008. évi 1,35 mrd Ft Bérlakás'!C48/1000,0)</f>
        <v>913235</v>
      </c>
      <c r="AG32" s="23">
        <f>ROUND('2008. évi 1,35 mrd Ft Bérlakás'!I52/1000,0)</f>
        <v>79412</v>
      </c>
      <c r="AH32" s="12">
        <f>ROUND('2008. évi 1,35 mrd Ft Bérlakás'!C52/1000,0)</f>
        <v>833824</v>
      </c>
      <c r="AI32" s="23">
        <f>ROUND('2008. évi 1,35 mrd Ft Bérlakás'!I56/1000,0)</f>
        <v>79412</v>
      </c>
      <c r="AJ32" s="12">
        <f>ROUND('2008. évi 1,35 mrd Ft Bérlakás'!C56/1000,0)</f>
        <v>754412</v>
      </c>
      <c r="AK32" s="23">
        <f>ROUND('2008. évi 1,35 mrd Ft Bérlakás'!I60/1000,0)</f>
        <v>79412</v>
      </c>
      <c r="AL32" s="12">
        <f>ROUND('2008. évi 1,35 mrd Ft Bérlakás'!C60/1000,0)</f>
        <v>675000</v>
      </c>
      <c r="AM32" s="23">
        <f>ROUND('2008. évi 1,35 mrd Ft Bérlakás'!I64/1000,0)</f>
        <v>79412</v>
      </c>
      <c r="AN32" s="12">
        <f>ROUND('2008. évi 1,35 mrd Ft Bérlakás'!C64/1000,0)</f>
        <v>595588</v>
      </c>
      <c r="AO32" s="23">
        <f>ROUND('2008. évi 1,35 mrd Ft Bérlakás'!I68/1000,0)</f>
        <v>79412</v>
      </c>
      <c r="AP32" s="12">
        <f>ROUND('2008. évi 1,35 mrd Ft Bérlakás'!C68/1000,0)</f>
        <v>516176</v>
      </c>
      <c r="AQ32" s="23">
        <f>ROUND('2008. évi 1,35 mrd Ft Bérlakás'!I72/1000,0)</f>
        <v>79412</v>
      </c>
      <c r="AR32" s="12">
        <f>ROUND('2008. évi 1,35 mrd Ft Bérlakás'!C72/1000,0)</f>
        <v>436765</v>
      </c>
      <c r="AS32" s="51">
        <f>ROUND('2008. évi 1,35 mrd Ft Bérlakás'!I76/1000,0)</f>
        <v>79412</v>
      </c>
      <c r="AT32" s="12">
        <f>ROUND('2008. évi 1,35 mrd Ft Bérlakás'!C76/1000,0)</f>
        <v>357353</v>
      </c>
      <c r="AU32" s="51">
        <f>ROUND('2008. évi 1,35 mrd Ft Bérlakás'!I80/1000,0)</f>
        <v>79412</v>
      </c>
      <c r="AV32" s="12">
        <f>ROUND('2008. évi 1,35 mrd Ft Bérlakás'!C80/1000,0)</f>
        <v>277941</v>
      </c>
      <c r="AW32" s="51">
        <f>ROUND('2008. évi 1,35 mrd Ft Bérlakás'!I84/1000,0)</f>
        <v>79412</v>
      </c>
      <c r="AX32" s="12">
        <f>ROUND('2008. évi 1,35 mrd Ft Bérlakás'!C84/1000,0)</f>
        <v>198529</v>
      </c>
      <c r="AY32" s="51">
        <f>ROUND('2008. évi 1,35 mrd Ft Bérlakás'!I88/1000,0)</f>
        <v>79412</v>
      </c>
      <c r="AZ32" s="12">
        <f>ROUND('2008. évi 1,35 mrd Ft Bérlakás'!C88/1000,0)</f>
        <v>119118</v>
      </c>
      <c r="BA32" s="51">
        <f>ROUND('2008. évi 1,35 mrd Ft Bérlakás'!I92/1000,0)</f>
        <v>79412</v>
      </c>
      <c r="BB32" s="12">
        <f>ROUND('2008. évi 1,35 mrd Ft Bérlakás'!C92/1000,0)</f>
        <v>39706</v>
      </c>
      <c r="BC32" s="51">
        <f>ROUND('2008. évi 1,35 mrd Ft Bérlakás'!I94/1000,0)</f>
        <v>39706</v>
      </c>
      <c r="BD32" s="163" t="s">
        <v>336</v>
      </c>
    </row>
    <row r="33" spans="1:56" ht="12.75">
      <c r="A33" s="15" t="s">
        <v>292</v>
      </c>
      <c r="B33" s="8"/>
      <c r="C33" s="23"/>
      <c r="D33" s="12"/>
      <c r="E33" s="16"/>
      <c r="F33" s="8"/>
      <c r="G33" s="16"/>
      <c r="H33" s="12"/>
      <c r="I33" s="16"/>
      <c r="J33" s="48"/>
      <c r="K33" s="16"/>
      <c r="L33" s="28"/>
      <c r="M33" s="23"/>
      <c r="N33" s="48">
        <v>24183</v>
      </c>
      <c r="O33" s="23">
        <v>24183</v>
      </c>
      <c r="P33" s="13" t="s">
        <v>35</v>
      </c>
      <c r="Q33" s="14" t="s">
        <v>35</v>
      </c>
      <c r="R33" s="13" t="s">
        <v>35</v>
      </c>
      <c r="S33" s="14" t="s">
        <v>35</v>
      </c>
      <c r="T33" s="13" t="s">
        <v>35</v>
      </c>
      <c r="U33" s="14" t="s">
        <v>35</v>
      </c>
      <c r="V33" s="13" t="s">
        <v>35</v>
      </c>
      <c r="W33" s="14" t="s">
        <v>35</v>
      </c>
      <c r="X33" s="13" t="s">
        <v>35</v>
      </c>
      <c r="Y33" s="14" t="s">
        <v>35</v>
      </c>
      <c r="Z33" s="13" t="s">
        <v>35</v>
      </c>
      <c r="AA33" s="14" t="s">
        <v>35</v>
      </c>
      <c r="AB33" s="13" t="s">
        <v>35</v>
      </c>
      <c r="AC33" s="14" t="s">
        <v>35</v>
      </c>
      <c r="AD33" s="13" t="s">
        <v>35</v>
      </c>
      <c r="AE33" s="14" t="s">
        <v>35</v>
      </c>
      <c r="AF33" s="13" t="s">
        <v>35</v>
      </c>
      <c r="AG33" s="14" t="s">
        <v>35</v>
      </c>
      <c r="AH33" s="13" t="s">
        <v>35</v>
      </c>
      <c r="AI33" s="14" t="s">
        <v>35</v>
      </c>
      <c r="AJ33" s="13" t="s">
        <v>35</v>
      </c>
      <c r="AK33" s="14" t="s">
        <v>35</v>
      </c>
      <c r="AL33" s="13" t="s">
        <v>35</v>
      </c>
      <c r="AM33" s="14" t="s">
        <v>35</v>
      </c>
      <c r="AN33" s="13" t="s">
        <v>35</v>
      </c>
      <c r="AO33" s="14" t="s">
        <v>35</v>
      </c>
      <c r="AP33" s="13" t="s">
        <v>35</v>
      </c>
      <c r="AQ33" s="14" t="s">
        <v>35</v>
      </c>
      <c r="AR33" s="13" t="s">
        <v>35</v>
      </c>
      <c r="AS33" s="14" t="s">
        <v>35</v>
      </c>
      <c r="AT33" s="13" t="s">
        <v>35</v>
      </c>
      <c r="AU33" s="14" t="s">
        <v>35</v>
      </c>
      <c r="AV33" s="13" t="s">
        <v>35</v>
      </c>
      <c r="AW33" s="14" t="s">
        <v>35</v>
      </c>
      <c r="AX33" s="13" t="s">
        <v>35</v>
      </c>
      <c r="AY33" s="14" t="s">
        <v>35</v>
      </c>
      <c r="AZ33" s="13" t="s">
        <v>35</v>
      </c>
      <c r="BA33" s="14" t="s">
        <v>35</v>
      </c>
      <c r="BB33" s="13" t="s">
        <v>35</v>
      </c>
      <c r="BC33" s="14" t="s">
        <v>35</v>
      </c>
      <c r="BD33" s="163" t="s">
        <v>335</v>
      </c>
    </row>
    <row r="34" spans="1:59" ht="13.5" thickBot="1">
      <c r="A34" s="15" t="s">
        <v>282</v>
      </c>
      <c r="B34" s="8"/>
      <c r="C34" s="23"/>
      <c r="D34" s="12"/>
      <c r="E34" s="16"/>
      <c r="F34" s="8"/>
      <c r="G34" s="16"/>
      <c r="H34" s="12"/>
      <c r="I34" s="16"/>
      <c r="J34" s="48"/>
      <c r="K34" s="16"/>
      <c r="L34" s="28">
        <v>0</v>
      </c>
      <c r="M34" s="23">
        <v>0</v>
      </c>
      <c r="N34" s="12">
        <f>P34+O34</f>
        <v>5867586</v>
      </c>
      <c r="O34" s="23">
        <f>ROUND('kötvény 5,2 Mrd Ft'!K10/1000,0)</f>
        <v>0</v>
      </c>
      <c r="P34" s="12">
        <f>R34+Q34</f>
        <v>5867586</v>
      </c>
      <c r="Q34" s="51">
        <f>ROUND('kötvény 5,2 Mrd Ft'!K12/1000,0)</f>
        <v>0</v>
      </c>
      <c r="R34" s="12">
        <f>T34+S34</f>
        <v>5867586</v>
      </c>
      <c r="S34" s="23">
        <f>ROUND('kötvény 5,2 Mrd Ft'!K14/1000,0)</f>
        <v>0</v>
      </c>
      <c r="T34" s="12">
        <f>V34+U34</f>
        <v>5867586</v>
      </c>
      <c r="U34" s="23">
        <f>ROUND('kötvény 5,2 Mrd Ft'!AC16/1000,0)</f>
        <v>340320</v>
      </c>
      <c r="V34" s="12">
        <f>X34+W34</f>
        <v>5527266</v>
      </c>
      <c r="W34" s="23">
        <f>ROUND('kötvény 5,2 Mrd Ft'!AC18/1000,0)</f>
        <v>340320</v>
      </c>
      <c r="X34" s="12">
        <f>Z34+Y34</f>
        <v>5186946</v>
      </c>
      <c r="Y34" s="23">
        <f>ROUND('kötvény 5,2 Mrd Ft'!AC20/1000,0)</f>
        <v>340320</v>
      </c>
      <c r="Z34" s="12">
        <f>AB34+AA34</f>
        <v>4846626</v>
      </c>
      <c r="AA34" s="23">
        <f>ROUND('kötvény 5,2 Mrd Ft'!AC22/1000,0)</f>
        <v>340320</v>
      </c>
      <c r="AB34" s="12">
        <f>AD34+AC34</f>
        <v>4506306</v>
      </c>
      <c r="AC34" s="23">
        <f>ROUND('kötvény 5,2 Mrd Ft'!AC24/1000,0)</f>
        <v>340320</v>
      </c>
      <c r="AD34" s="12">
        <f>AF34+AE34</f>
        <v>4165986</v>
      </c>
      <c r="AE34" s="23">
        <f>ROUND('kötvény 5,2 Mrd Ft'!AC26/1000,0)</f>
        <v>340320</v>
      </c>
      <c r="AF34" s="12">
        <f>AH34+AG34</f>
        <v>3825666</v>
      </c>
      <c r="AG34" s="23">
        <f>ROUND('kötvény 5,2 Mrd Ft'!AC28/1000,0)</f>
        <v>340320</v>
      </c>
      <c r="AH34" s="12">
        <f>AJ34+AI34</f>
        <v>3485346</v>
      </c>
      <c r="AI34" s="23">
        <f>ROUND('kötvény 5,2 Mrd Ft'!AC30/1000,0)</f>
        <v>340320</v>
      </c>
      <c r="AJ34" s="12">
        <f>AL34+AK34</f>
        <v>3145026</v>
      </c>
      <c r="AK34" s="23">
        <f>ROUND('kötvény 5,2 Mrd Ft'!AC32/1000,0)</f>
        <v>340320</v>
      </c>
      <c r="AL34" s="12">
        <f>AN34+AM34</f>
        <v>2804706</v>
      </c>
      <c r="AM34" s="23">
        <f>ROUND('kötvény 5,2 Mrd Ft'!AC34/1000,0)</f>
        <v>340320</v>
      </c>
      <c r="AN34" s="12">
        <f>AP34+AO34</f>
        <v>2464386</v>
      </c>
      <c r="AO34" s="23">
        <f>ROUND('kötvény 5,2 Mrd Ft'!AC36/1000,0)</f>
        <v>340320</v>
      </c>
      <c r="AP34" s="12">
        <f>AR34+AQ34</f>
        <v>2124066</v>
      </c>
      <c r="AQ34" s="23">
        <f>ROUND('kötvény 5,2 Mrd Ft'!AC38/1000,0)</f>
        <v>340320</v>
      </c>
      <c r="AR34" s="12">
        <f>AT34+AS34</f>
        <v>1783746</v>
      </c>
      <c r="AS34" s="51">
        <f>ROUND('kötvény 5,2 Mrd Ft'!AC40/1000,0)</f>
        <v>340320</v>
      </c>
      <c r="AT34" s="12">
        <f>AV34+AU34</f>
        <v>1443426</v>
      </c>
      <c r="AU34" s="51">
        <f>ROUND('kötvény 5,2 Mrd Ft'!AC42/1000,0)</f>
        <v>340320</v>
      </c>
      <c r="AV34" s="12">
        <f>AX34+AW34</f>
        <v>1103106</v>
      </c>
      <c r="AW34" s="51">
        <f>ROUND('kötvény 5,2 Mrd Ft'!AC44/1000,0)</f>
        <v>340320</v>
      </c>
      <c r="AX34" s="12">
        <f>AZ34+AY34</f>
        <v>762786</v>
      </c>
      <c r="AY34" s="51">
        <f>ROUND('kötvény 5,2 Mrd Ft'!AC46/1000,0)</f>
        <v>340320</v>
      </c>
      <c r="AZ34" s="12">
        <f>BA34</f>
        <v>422466</v>
      </c>
      <c r="BA34" s="51">
        <f>ROUND('kötvény 5,2 Mrd Ft'!AC49/1000,0)</f>
        <v>422466</v>
      </c>
      <c r="BB34" s="13" t="s">
        <v>35</v>
      </c>
      <c r="BC34" s="14" t="s">
        <v>35</v>
      </c>
      <c r="BD34" s="163" t="s">
        <v>298</v>
      </c>
      <c r="BG34" s="4" t="s">
        <v>337</v>
      </c>
    </row>
    <row r="35" spans="1:56" ht="13.5" thickTop="1">
      <c r="A35" s="10" t="s">
        <v>37</v>
      </c>
      <c r="B35" s="11">
        <f aca="true" t="shared" si="15" ref="B35:I35">SUM(B6:B19)</f>
        <v>1050811</v>
      </c>
      <c r="C35" s="2">
        <f t="shared" si="15"/>
        <v>248956</v>
      </c>
      <c r="D35" s="11">
        <f t="shared" si="15"/>
        <v>1463053</v>
      </c>
      <c r="E35" s="2">
        <f t="shared" si="15"/>
        <v>171178</v>
      </c>
      <c r="F35" s="29">
        <f t="shared" si="15"/>
        <v>2179890</v>
      </c>
      <c r="G35" s="2">
        <f t="shared" si="15"/>
        <v>270220</v>
      </c>
      <c r="H35" s="29">
        <f t="shared" si="15"/>
        <v>2660595</v>
      </c>
      <c r="I35" s="2">
        <f t="shared" si="15"/>
        <v>323324</v>
      </c>
      <c r="J35" s="29">
        <f>SUM(J6:J28)</f>
        <v>2839622</v>
      </c>
      <c r="K35" s="2">
        <f>SUM(K6:K28)</f>
        <v>363239</v>
      </c>
      <c r="L35" s="29">
        <f aca="true" t="shared" si="16" ref="L35:BA35">SUM(L6:L34)</f>
        <v>3669223</v>
      </c>
      <c r="M35" s="2" t="e">
        <f t="shared" si="16"/>
        <v>#REF!</v>
      </c>
      <c r="N35" s="29">
        <f t="shared" si="16"/>
        <v>8759767</v>
      </c>
      <c r="O35" s="2">
        <f t="shared" si="16"/>
        <v>90482</v>
      </c>
      <c r="P35" s="29">
        <f t="shared" si="16"/>
        <v>10808713</v>
      </c>
      <c r="Q35" s="2">
        <f t="shared" si="16"/>
        <v>156690</v>
      </c>
      <c r="R35" s="29">
        <f t="shared" si="16"/>
        <v>14152023</v>
      </c>
      <c r="S35" s="2">
        <f t="shared" si="16"/>
        <v>233538</v>
      </c>
      <c r="T35" s="29">
        <f t="shared" si="16"/>
        <v>17918485</v>
      </c>
      <c r="U35" s="2">
        <f t="shared" si="16"/>
        <v>845935</v>
      </c>
      <c r="V35" s="29">
        <f t="shared" si="16"/>
        <v>17072550</v>
      </c>
      <c r="W35" s="2">
        <f t="shared" si="16"/>
        <v>1104674</v>
      </c>
      <c r="X35" s="29">
        <f t="shared" si="16"/>
        <v>15967876</v>
      </c>
      <c r="Y35" s="2">
        <f t="shared" si="16"/>
        <v>1104673</v>
      </c>
      <c r="Z35" s="29">
        <f t="shared" si="16"/>
        <v>14863204</v>
      </c>
      <c r="AA35" s="2">
        <f t="shared" si="16"/>
        <v>1092826</v>
      </c>
      <c r="AB35" s="29">
        <f t="shared" si="16"/>
        <v>13770377</v>
      </c>
      <c r="AC35" s="2">
        <f t="shared" si="16"/>
        <v>1092824</v>
      </c>
      <c r="AD35" s="29">
        <f t="shared" si="16"/>
        <v>12677555</v>
      </c>
      <c r="AE35" s="2">
        <f t="shared" si="16"/>
        <v>1092826</v>
      </c>
      <c r="AF35" s="29">
        <f t="shared" si="16"/>
        <v>11584728</v>
      </c>
      <c r="AG35" s="2">
        <f t="shared" si="16"/>
        <v>1092824</v>
      </c>
      <c r="AH35" s="29">
        <f t="shared" si="16"/>
        <v>10491905</v>
      </c>
      <c r="AI35" s="2">
        <f t="shared" si="16"/>
        <v>1092826</v>
      </c>
      <c r="AJ35" s="29">
        <f t="shared" si="16"/>
        <v>9399079</v>
      </c>
      <c r="AK35" s="2">
        <f t="shared" si="16"/>
        <v>1092824</v>
      </c>
      <c r="AL35" s="29">
        <f t="shared" si="16"/>
        <v>8306255</v>
      </c>
      <c r="AM35" s="2">
        <f t="shared" si="16"/>
        <v>1092826</v>
      </c>
      <c r="AN35" s="29">
        <f t="shared" si="16"/>
        <v>7213429</v>
      </c>
      <c r="AO35" s="2">
        <f t="shared" si="16"/>
        <v>1055895</v>
      </c>
      <c r="AP35" s="29">
        <f t="shared" si="16"/>
        <v>6157534</v>
      </c>
      <c r="AQ35" s="2">
        <f t="shared" si="16"/>
        <v>1003190</v>
      </c>
      <c r="AR35" s="29">
        <f t="shared" si="16"/>
        <v>5154345</v>
      </c>
      <c r="AS35" s="2">
        <f t="shared" si="16"/>
        <v>994871</v>
      </c>
      <c r="AT35" s="29">
        <f t="shared" si="16"/>
        <v>4159474</v>
      </c>
      <c r="AU35" s="2">
        <f t="shared" si="16"/>
        <v>994875</v>
      </c>
      <c r="AV35" s="29">
        <f t="shared" si="16"/>
        <v>3164600</v>
      </c>
      <c r="AW35" s="2">
        <f t="shared" si="16"/>
        <v>971960</v>
      </c>
      <c r="AX35" s="29">
        <f t="shared" si="16"/>
        <v>2192639</v>
      </c>
      <c r="AY35" s="2">
        <f t="shared" si="16"/>
        <v>936176</v>
      </c>
      <c r="AZ35" s="29">
        <f t="shared" si="16"/>
        <v>1256603</v>
      </c>
      <c r="BA35" s="2">
        <f t="shared" si="16"/>
        <v>991897</v>
      </c>
      <c r="BB35" s="29">
        <f>SUM(BB6:BB34)</f>
        <v>264706</v>
      </c>
      <c r="BC35" s="2">
        <f>SUM(BC6:BC34)</f>
        <v>264706</v>
      </c>
      <c r="BD35" s="132"/>
    </row>
    <row r="36" spans="1:56" ht="12.75" customHeight="1" hidden="1">
      <c r="A36" s="5" t="s">
        <v>64</v>
      </c>
      <c r="B36" s="8">
        <f aca="true" t="shared" si="17" ref="B36:B41">C36+D36</f>
        <v>31088</v>
      </c>
      <c r="C36" s="16">
        <v>9644</v>
      </c>
      <c r="D36" s="8">
        <f>SUM(E36,G36,I36,K36,M36,O36)</f>
        <v>21444</v>
      </c>
      <c r="E36" s="16">
        <f>ROUND('1998. évi 200 MFt (...03)'!G55/1000,0)</f>
        <v>6222</v>
      </c>
      <c r="F36" s="8">
        <f aca="true" t="shared" si="18" ref="F36:F49">G36+H36</f>
        <v>15222</v>
      </c>
      <c r="G36" s="16">
        <f>ROUND('1998. évi 200 MFt (...03)'!G67/1000,0)</f>
        <v>7323</v>
      </c>
      <c r="H36" s="8">
        <f aca="true" t="shared" si="19" ref="H36:H49">I36+J36</f>
        <v>7899</v>
      </c>
      <c r="I36" s="16">
        <f>ROUND('1998. évi 200 MFt (...03)'!G79/1000,0)</f>
        <v>3755</v>
      </c>
      <c r="J36" s="27">
        <f>K36+L36</f>
        <v>4144</v>
      </c>
      <c r="K36" s="16">
        <f>ROUND('1998. évi 200 MFt (...03)'!G92/1000,0)</f>
        <v>2416</v>
      </c>
      <c r="L36" s="19">
        <f aca="true" t="shared" si="20" ref="L36:L44">M36</f>
        <v>1728</v>
      </c>
      <c r="M36" s="16">
        <f>ROUND('1998. évi 200 MFt (...03)'!G104/1000,0)</f>
        <v>1728</v>
      </c>
      <c r="N36" s="13" t="s">
        <v>35</v>
      </c>
      <c r="O36" s="14" t="s">
        <v>35</v>
      </c>
      <c r="P36" s="13" t="s">
        <v>35</v>
      </c>
      <c r="Q36" s="14" t="s">
        <v>35</v>
      </c>
      <c r="R36" s="20" t="s">
        <v>35</v>
      </c>
      <c r="S36" s="24" t="s">
        <v>35</v>
      </c>
      <c r="T36" s="39" t="s">
        <v>35</v>
      </c>
      <c r="U36" s="24" t="s">
        <v>35</v>
      </c>
      <c r="V36" s="20" t="s">
        <v>35</v>
      </c>
      <c r="W36" s="24" t="s">
        <v>35</v>
      </c>
      <c r="X36" s="39" t="s">
        <v>35</v>
      </c>
      <c r="Y36" s="24" t="s">
        <v>35</v>
      </c>
      <c r="Z36" s="13" t="s">
        <v>35</v>
      </c>
      <c r="AA36" s="14" t="s">
        <v>35</v>
      </c>
      <c r="AB36" s="13" t="s">
        <v>35</v>
      </c>
      <c r="AC36" s="14" t="s">
        <v>35</v>
      </c>
      <c r="AD36" s="13" t="s">
        <v>35</v>
      </c>
      <c r="AE36" s="14" t="s">
        <v>35</v>
      </c>
      <c r="AF36" s="13" t="s">
        <v>35</v>
      </c>
      <c r="AG36" s="14" t="s">
        <v>35</v>
      </c>
      <c r="AH36" s="13" t="s">
        <v>35</v>
      </c>
      <c r="AI36" s="14" t="s">
        <v>35</v>
      </c>
      <c r="AJ36" s="13" t="s">
        <v>35</v>
      </c>
      <c r="AK36" s="14" t="s">
        <v>35</v>
      </c>
      <c r="AL36" s="13" t="s">
        <v>35</v>
      </c>
      <c r="AM36" s="14" t="s">
        <v>35</v>
      </c>
      <c r="AN36" s="13" t="s">
        <v>35</v>
      </c>
      <c r="AO36" s="14" t="s">
        <v>35</v>
      </c>
      <c r="AP36" s="13" t="s">
        <v>35</v>
      </c>
      <c r="AQ36" s="14" t="s">
        <v>35</v>
      </c>
      <c r="AR36" s="13" t="s">
        <v>35</v>
      </c>
      <c r="AS36" s="14" t="s">
        <v>35</v>
      </c>
      <c r="AT36" s="13" t="s">
        <v>35</v>
      </c>
      <c r="AU36" s="14" t="s">
        <v>35</v>
      </c>
      <c r="AV36" s="13" t="s">
        <v>35</v>
      </c>
      <c r="AW36" s="14" t="s">
        <v>35</v>
      </c>
      <c r="AX36" s="13" t="s">
        <v>35</v>
      </c>
      <c r="AY36" s="14" t="s">
        <v>35</v>
      </c>
      <c r="AZ36" s="13" t="s">
        <v>35</v>
      </c>
      <c r="BA36" s="14" t="s">
        <v>35</v>
      </c>
      <c r="BB36" s="13" t="s">
        <v>35</v>
      </c>
      <c r="BC36" s="14" t="s">
        <v>35</v>
      </c>
      <c r="BD36" s="132"/>
    </row>
    <row r="37" spans="1:55" ht="12.75" hidden="1">
      <c r="A37" s="5" t="s">
        <v>65</v>
      </c>
      <c r="B37" s="8">
        <f t="shared" si="17"/>
        <v>36864</v>
      </c>
      <c r="C37" s="16">
        <v>11246</v>
      </c>
      <c r="D37" s="8">
        <f>SUM(E37,G37,I37,K37,M37,O37)</f>
        <v>25618</v>
      </c>
      <c r="E37" s="16">
        <f>ROUND('1999. évi 200 MFt (...04)'!G66/1000,0)</f>
        <v>7575</v>
      </c>
      <c r="F37" s="8">
        <f t="shared" si="18"/>
        <v>18043</v>
      </c>
      <c r="G37" s="16">
        <f>ROUND('1999. évi 200 MFt (...04)'!G82/1000,0)</f>
        <v>8811</v>
      </c>
      <c r="H37" s="8">
        <f t="shared" si="19"/>
        <v>9232</v>
      </c>
      <c r="I37" s="16">
        <f>ROUND('1999. évi 200 MFt (...04)'!G98/1000,0)</f>
        <v>4435</v>
      </c>
      <c r="J37" s="27">
        <f aca="true" t="shared" si="21" ref="J37:J43">K37+L37</f>
        <v>4797</v>
      </c>
      <c r="K37" s="16">
        <f>ROUND('1999. évi 200 MFt (...04)'!G115/1000,0)</f>
        <v>2818</v>
      </c>
      <c r="L37" s="19">
        <f t="shared" si="20"/>
        <v>1979</v>
      </c>
      <c r="M37" s="16">
        <f>ROUND('1999. évi 200 MFt (...04)'!G131/1000,0)</f>
        <v>1979</v>
      </c>
      <c r="N37" s="13" t="s">
        <v>35</v>
      </c>
      <c r="O37" s="14" t="s">
        <v>35</v>
      </c>
      <c r="P37" s="13" t="s">
        <v>35</v>
      </c>
      <c r="Q37" s="14" t="s">
        <v>35</v>
      </c>
      <c r="R37" s="13" t="s">
        <v>35</v>
      </c>
      <c r="S37" s="14" t="s">
        <v>35</v>
      </c>
      <c r="T37" s="13" t="s">
        <v>35</v>
      </c>
      <c r="U37" s="14" t="s">
        <v>35</v>
      </c>
      <c r="V37" s="13" t="s">
        <v>35</v>
      </c>
      <c r="W37" s="14" t="s">
        <v>35</v>
      </c>
      <c r="X37" s="13" t="s">
        <v>35</v>
      </c>
      <c r="Y37" s="14" t="s">
        <v>35</v>
      </c>
      <c r="Z37" s="13" t="s">
        <v>35</v>
      </c>
      <c r="AA37" s="14" t="s">
        <v>35</v>
      </c>
      <c r="AB37" s="13" t="s">
        <v>35</v>
      </c>
      <c r="AC37" s="14" t="s">
        <v>35</v>
      </c>
      <c r="AD37" s="13" t="s">
        <v>35</v>
      </c>
      <c r="AE37" s="14" t="s">
        <v>35</v>
      </c>
      <c r="AF37" s="13" t="s">
        <v>35</v>
      </c>
      <c r="AG37" s="14" t="s">
        <v>35</v>
      </c>
      <c r="AH37" s="13" t="s">
        <v>35</v>
      </c>
      <c r="AI37" s="14" t="s">
        <v>35</v>
      </c>
      <c r="AJ37" s="13" t="s">
        <v>35</v>
      </c>
      <c r="AK37" s="14" t="s">
        <v>35</v>
      </c>
      <c r="AL37" s="13" t="s">
        <v>35</v>
      </c>
      <c r="AM37" s="14" t="s">
        <v>35</v>
      </c>
      <c r="AN37" s="13" t="s">
        <v>35</v>
      </c>
      <c r="AO37" s="14" t="s">
        <v>35</v>
      </c>
      <c r="AP37" s="13" t="s">
        <v>35</v>
      </c>
      <c r="AQ37" s="14" t="s">
        <v>35</v>
      </c>
      <c r="AR37" s="13" t="s">
        <v>35</v>
      </c>
      <c r="AS37" s="14" t="s">
        <v>35</v>
      </c>
      <c r="AT37" s="13" t="s">
        <v>35</v>
      </c>
      <c r="AU37" s="14" t="s">
        <v>35</v>
      </c>
      <c r="AV37" s="13" t="s">
        <v>35</v>
      </c>
      <c r="AW37" s="14" t="s">
        <v>35</v>
      </c>
      <c r="AX37" s="13" t="s">
        <v>35</v>
      </c>
      <c r="AY37" s="14" t="s">
        <v>35</v>
      </c>
      <c r="AZ37" s="13" t="s">
        <v>35</v>
      </c>
      <c r="BA37" s="14" t="s">
        <v>35</v>
      </c>
      <c r="BB37" s="13" t="s">
        <v>35</v>
      </c>
      <c r="BC37" s="14" t="s">
        <v>35</v>
      </c>
    </row>
    <row r="38" spans="1:55" ht="12.75" hidden="1">
      <c r="A38" s="15" t="s">
        <v>202</v>
      </c>
      <c r="B38" s="8">
        <f t="shared" si="17"/>
        <v>37420</v>
      </c>
      <c r="C38" s="23">
        <v>13518</v>
      </c>
      <c r="D38" s="12">
        <f>SUM(E38,G38,I38,K38,M38)</f>
        <v>23902</v>
      </c>
      <c r="E38" s="16">
        <f>ROUND('2000. júl-i 200 MFt (...06)'!G31/1000,0)</f>
        <v>7847</v>
      </c>
      <c r="F38" s="8">
        <f t="shared" si="18"/>
        <v>16055</v>
      </c>
      <c r="G38" s="16">
        <f>ROUND('2000. júl-i 200 MFt (...06)'!G39/1000,0)</f>
        <v>8720</v>
      </c>
      <c r="H38" s="8">
        <f t="shared" si="19"/>
        <v>7335</v>
      </c>
      <c r="I38" s="16">
        <f>ROUND('2000. júl-i 200 MFt (...06)'!G47/1000,0)</f>
        <v>4099</v>
      </c>
      <c r="J38" s="27">
        <f t="shared" si="21"/>
        <v>3236</v>
      </c>
      <c r="K38" s="16">
        <f>ROUND('2000. júl-i 200 MFt (...06)'!G56/1000,0)</f>
        <v>2225</v>
      </c>
      <c r="L38" s="19">
        <f t="shared" si="20"/>
        <v>1011</v>
      </c>
      <c r="M38" s="16">
        <f>ROUND('2000. júl-i 200 MFt (...06)'!G63/1000,0)</f>
        <v>1011</v>
      </c>
      <c r="N38" s="13" t="s">
        <v>35</v>
      </c>
      <c r="O38" s="14" t="s">
        <v>35</v>
      </c>
      <c r="P38" s="13" t="s">
        <v>35</v>
      </c>
      <c r="Q38" s="14" t="s">
        <v>35</v>
      </c>
      <c r="R38" s="13" t="s">
        <v>35</v>
      </c>
      <c r="S38" s="14" t="s">
        <v>35</v>
      </c>
      <c r="T38" s="13" t="s">
        <v>35</v>
      </c>
      <c r="U38" s="14" t="s">
        <v>35</v>
      </c>
      <c r="V38" s="13" t="s">
        <v>35</v>
      </c>
      <c r="W38" s="14" t="s">
        <v>35</v>
      </c>
      <c r="X38" s="13" t="s">
        <v>35</v>
      </c>
      <c r="Y38" s="14" t="s">
        <v>35</v>
      </c>
      <c r="Z38" s="13" t="s">
        <v>35</v>
      </c>
      <c r="AA38" s="14" t="s">
        <v>35</v>
      </c>
      <c r="AB38" s="13" t="s">
        <v>35</v>
      </c>
      <c r="AC38" s="14" t="s">
        <v>35</v>
      </c>
      <c r="AD38" s="13" t="s">
        <v>35</v>
      </c>
      <c r="AE38" s="14" t="s">
        <v>35</v>
      </c>
      <c r="AF38" s="13" t="s">
        <v>35</v>
      </c>
      <c r="AG38" s="14" t="s">
        <v>35</v>
      </c>
      <c r="AH38" s="13" t="s">
        <v>35</v>
      </c>
      <c r="AI38" s="14" t="s">
        <v>35</v>
      </c>
      <c r="AJ38" s="13" t="s">
        <v>35</v>
      </c>
      <c r="AK38" s="14" t="s">
        <v>35</v>
      </c>
      <c r="AL38" s="13" t="s">
        <v>35</v>
      </c>
      <c r="AM38" s="14" t="s">
        <v>35</v>
      </c>
      <c r="AN38" s="13" t="s">
        <v>35</v>
      </c>
      <c r="AO38" s="14" t="s">
        <v>35</v>
      </c>
      <c r="AP38" s="13" t="s">
        <v>35</v>
      </c>
      <c r="AQ38" s="14" t="s">
        <v>35</v>
      </c>
      <c r="AR38" s="13" t="s">
        <v>35</v>
      </c>
      <c r="AS38" s="14" t="s">
        <v>35</v>
      </c>
      <c r="AT38" s="13" t="s">
        <v>35</v>
      </c>
      <c r="AU38" s="14" t="s">
        <v>35</v>
      </c>
      <c r="AV38" s="13" t="s">
        <v>35</v>
      </c>
      <c r="AW38" s="14" t="s">
        <v>35</v>
      </c>
      <c r="AX38" s="13" t="s">
        <v>35</v>
      </c>
      <c r="AY38" s="14" t="s">
        <v>35</v>
      </c>
      <c r="AZ38" s="13" t="s">
        <v>35</v>
      </c>
      <c r="BA38" s="14" t="s">
        <v>35</v>
      </c>
      <c r="BB38" s="13" t="s">
        <v>35</v>
      </c>
      <c r="BC38" s="14" t="s">
        <v>35</v>
      </c>
    </row>
    <row r="39" spans="1:55" ht="12.75" hidden="1">
      <c r="A39" s="15" t="s">
        <v>203</v>
      </c>
      <c r="B39" s="8">
        <f t="shared" si="17"/>
        <v>76044</v>
      </c>
      <c r="C39" s="23">
        <v>20909</v>
      </c>
      <c r="D39" s="12">
        <f>SUM(E39,G39,I39,K39,M39,O39,Q39)</f>
        <v>55135</v>
      </c>
      <c r="E39" s="16">
        <f>ROUND('2000. dec-i 250 MFt (...05)'!G29/1000,0)</f>
        <v>15089</v>
      </c>
      <c r="F39" s="8">
        <f t="shared" si="18"/>
        <v>40046</v>
      </c>
      <c r="G39" s="16">
        <f>ROUND('2000. dec-i 250 MFt (...05)'!G37/1000,0)</f>
        <v>18124</v>
      </c>
      <c r="H39" s="8">
        <f t="shared" si="19"/>
        <v>21922</v>
      </c>
      <c r="I39" s="16">
        <f>ROUND('2000. dec-i 250 MFt (...05)'!G45/1000,0)</f>
        <v>9618</v>
      </c>
      <c r="J39" s="27">
        <f t="shared" si="21"/>
        <v>12304</v>
      </c>
      <c r="K39" s="16">
        <f>ROUND('2000. dec-i 250 MFt (...05)'!G54/1000,0)</f>
        <v>6717</v>
      </c>
      <c r="L39" s="19">
        <f t="shared" si="20"/>
        <v>5587</v>
      </c>
      <c r="M39" s="16">
        <f>ROUND('2000. dec-i 250 MFt (...05)'!G62/1000,0)</f>
        <v>5587</v>
      </c>
      <c r="N39" s="13" t="s">
        <v>35</v>
      </c>
      <c r="O39" s="14" t="s">
        <v>35</v>
      </c>
      <c r="P39" s="13" t="s">
        <v>35</v>
      </c>
      <c r="Q39" s="14" t="s">
        <v>35</v>
      </c>
      <c r="R39" s="13" t="s">
        <v>35</v>
      </c>
      <c r="S39" s="14" t="s">
        <v>35</v>
      </c>
      <c r="T39" s="13" t="s">
        <v>35</v>
      </c>
      <c r="U39" s="14" t="s">
        <v>35</v>
      </c>
      <c r="V39" s="13" t="s">
        <v>35</v>
      </c>
      <c r="W39" s="14" t="s">
        <v>35</v>
      </c>
      <c r="X39" s="13" t="s">
        <v>35</v>
      </c>
      <c r="Y39" s="14" t="s">
        <v>35</v>
      </c>
      <c r="Z39" s="13" t="s">
        <v>35</v>
      </c>
      <c r="AA39" s="14" t="s">
        <v>35</v>
      </c>
      <c r="AB39" s="13" t="s">
        <v>35</v>
      </c>
      <c r="AC39" s="14" t="s">
        <v>35</v>
      </c>
      <c r="AD39" s="13" t="s">
        <v>35</v>
      </c>
      <c r="AE39" s="14" t="s">
        <v>35</v>
      </c>
      <c r="AF39" s="13" t="s">
        <v>35</v>
      </c>
      <c r="AG39" s="14" t="s">
        <v>35</v>
      </c>
      <c r="AH39" s="13" t="s">
        <v>35</v>
      </c>
      <c r="AI39" s="14" t="s">
        <v>35</v>
      </c>
      <c r="AJ39" s="13" t="s">
        <v>35</v>
      </c>
      <c r="AK39" s="14" t="s">
        <v>35</v>
      </c>
      <c r="AL39" s="13" t="s">
        <v>35</v>
      </c>
      <c r="AM39" s="14" t="s">
        <v>35</v>
      </c>
      <c r="AN39" s="13" t="s">
        <v>35</v>
      </c>
      <c r="AO39" s="14" t="s">
        <v>35</v>
      </c>
      <c r="AP39" s="13" t="s">
        <v>35</v>
      </c>
      <c r="AQ39" s="14" t="s">
        <v>35</v>
      </c>
      <c r="AR39" s="13" t="s">
        <v>35</v>
      </c>
      <c r="AS39" s="14" t="s">
        <v>35</v>
      </c>
      <c r="AT39" s="13" t="s">
        <v>35</v>
      </c>
      <c r="AU39" s="14" t="s">
        <v>35</v>
      </c>
      <c r="AV39" s="13" t="s">
        <v>35</v>
      </c>
      <c r="AW39" s="14" t="s">
        <v>35</v>
      </c>
      <c r="AX39" s="13" t="s">
        <v>35</v>
      </c>
      <c r="AY39" s="14" t="s">
        <v>35</v>
      </c>
      <c r="AZ39" s="13" t="s">
        <v>35</v>
      </c>
      <c r="BA39" s="14" t="s">
        <v>35</v>
      </c>
      <c r="BB39" s="13" t="s">
        <v>35</v>
      </c>
      <c r="BC39" s="14" t="s">
        <v>35</v>
      </c>
    </row>
    <row r="40" spans="1:55" ht="12.75" hidden="1">
      <c r="A40" s="15" t="s">
        <v>36</v>
      </c>
      <c r="B40" s="8">
        <f t="shared" si="17"/>
        <v>90039</v>
      </c>
      <c r="C40" s="23">
        <v>13938</v>
      </c>
      <c r="D40" s="12">
        <f>SUM(E40,G40,I40,K40,M40,O40,Q40,S40,U40,W40)</f>
        <v>76101</v>
      </c>
      <c r="E40" s="16">
        <f>ROUND('NA600-as vezeték (...07)'!G27/1000,0)</f>
        <v>17917</v>
      </c>
      <c r="F40" s="8">
        <f t="shared" si="18"/>
        <v>58184</v>
      </c>
      <c r="G40" s="16">
        <f>ROUND('NA600-as vezeték (...07)'!G35/1000,0)</f>
        <v>23823</v>
      </c>
      <c r="H40" s="8">
        <f t="shared" si="19"/>
        <v>34361</v>
      </c>
      <c r="I40" s="16">
        <f>ROUND('NA600-as vezeték (...07)'!G43/1000,0)</f>
        <v>13553</v>
      </c>
      <c r="J40" s="27">
        <f t="shared" si="21"/>
        <v>20808</v>
      </c>
      <c r="K40" s="16">
        <f>ROUND('NA600-as vezeték (...07)'!G52/1000,0)</f>
        <v>10565</v>
      </c>
      <c r="L40" s="19">
        <f t="shared" si="20"/>
        <v>10243</v>
      </c>
      <c r="M40" s="16">
        <f>ROUND('NA600-as vezeték (...07)'!G60/1000,0)</f>
        <v>10243</v>
      </c>
      <c r="N40" s="13" t="s">
        <v>35</v>
      </c>
      <c r="O40" s="14" t="s">
        <v>35</v>
      </c>
      <c r="P40" s="13" t="s">
        <v>35</v>
      </c>
      <c r="Q40" s="14" t="s">
        <v>35</v>
      </c>
      <c r="R40" s="13" t="s">
        <v>35</v>
      </c>
      <c r="S40" s="14" t="s">
        <v>35</v>
      </c>
      <c r="T40" s="13" t="s">
        <v>35</v>
      </c>
      <c r="U40" s="14" t="s">
        <v>35</v>
      </c>
      <c r="V40" s="13" t="s">
        <v>35</v>
      </c>
      <c r="W40" s="14" t="s">
        <v>35</v>
      </c>
      <c r="X40" s="13" t="s">
        <v>35</v>
      </c>
      <c r="Y40" s="14" t="s">
        <v>35</v>
      </c>
      <c r="Z40" s="13" t="s">
        <v>35</v>
      </c>
      <c r="AA40" s="14" t="s">
        <v>35</v>
      </c>
      <c r="AB40" s="13" t="s">
        <v>35</v>
      </c>
      <c r="AC40" s="14" t="s">
        <v>35</v>
      </c>
      <c r="AD40" s="13" t="s">
        <v>35</v>
      </c>
      <c r="AE40" s="14" t="s">
        <v>35</v>
      </c>
      <c r="AF40" s="13" t="s">
        <v>35</v>
      </c>
      <c r="AG40" s="14" t="s">
        <v>35</v>
      </c>
      <c r="AH40" s="13" t="s">
        <v>35</v>
      </c>
      <c r="AI40" s="14" t="s">
        <v>35</v>
      </c>
      <c r="AJ40" s="13" t="s">
        <v>35</v>
      </c>
      <c r="AK40" s="14" t="s">
        <v>35</v>
      </c>
      <c r="AL40" s="13" t="s">
        <v>35</v>
      </c>
      <c r="AM40" s="14" t="s">
        <v>35</v>
      </c>
      <c r="AN40" s="13" t="s">
        <v>35</v>
      </c>
      <c r="AO40" s="14" t="s">
        <v>35</v>
      </c>
      <c r="AP40" s="13" t="s">
        <v>35</v>
      </c>
      <c r="AQ40" s="14" t="s">
        <v>35</v>
      </c>
      <c r="AR40" s="13" t="s">
        <v>35</v>
      </c>
      <c r="AS40" s="14" t="s">
        <v>35</v>
      </c>
      <c r="AT40" s="13" t="s">
        <v>35</v>
      </c>
      <c r="AU40" s="14" t="s">
        <v>35</v>
      </c>
      <c r="AV40" s="13" t="s">
        <v>35</v>
      </c>
      <c r="AW40" s="14" t="s">
        <v>35</v>
      </c>
      <c r="AX40" s="13" t="s">
        <v>35</v>
      </c>
      <c r="AY40" s="14" t="s">
        <v>35</v>
      </c>
      <c r="AZ40" s="13" t="s">
        <v>35</v>
      </c>
      <c r="BA40" s="14" t="s">
        <v>35</v>
      </c>
      <c r="BB40" s="13" t="s">
        <v>35</v>
      </c>
      <c r="BC40" s="14" t="s">
        <v>35</v>
      </c>
    </row>
    <row r="41" spans="1:55" ht="12.75" hidden="1">
      <c r="A41" s="15" t="s">
        <v>117</v>
      </c>
      <c r="B41" s="8">
        <f t="shared" si="17"/>
        <v>100449</v>
      </c>
      <c r="C41" s="23">
        <v>20186</v>
      </c>
      <c r="D41" s="12">
        <f>SUM(E41,G41,I41,K41,M41,O41,Q41,S41)</f>
        <v>80263</v>
      </c>
      <c r="E41" s="16">
        <f>ROUND('2001.dec. - 2002.jún. (...08) '!G23/1000,0)</f>
        <v>20914</v>
      </c>
      <c r="F41" s="8">
        <f t="shared" si="18"/>
        <v>59349</v>
      </c>
      <c r="G41" s="16">
        <f>ROUND('2001.dec. - 2002.jún. (...08) '!G31/1000,0)</f>
        <v>25686</v>
      </c>
      <c r="H41" s="8">
        <f t="shared" si="19"/>
        <v>33663</v>
      </c>
      <c r="I41" s="16">
        <f>ROUND('2001.dec. - 2002.jún. (...08) '!G39/1000,0)</f>
        <v>14057</v>
      </c>
      <c r="J41" s="27">
        <f t="shared" si="21"/>
        <v>19606</v>
      </c>
      <c r="K41" s="16">
        <f>ROUND('2001.dec. - 2002.jún. (...08) '!G48/1000,0)</f>
        <v>10332</v>
      </c>
      <c r="L41" s="19">
        <f t="shared" si="20"/>
        <v>9274</v>
      </c>
      <c r="M41" s="16">
        <f>ROUND('2001.dec. - 2002.jún. (...08) '!G56/1000,0)</f>
        <v>9274</v>
      </c>
      <c r="N41" s="13" t="s">
        <v>35</v>
      </c>
      <c r="O41" s="14" t="s">
        <v>35</v>
      </c>
      <c r="P41" s="13" t="s">
        <v>35</v>
      </c>
      <c r="Q41" s="14" t="s">
        <v>35</v>
      </c>
      <c r="R41" s="13" t="s">
        <v>35</v>
      </c>
      <c r="S41" s="14" t="s">
        <v>35</v>
      </c>
      <c r="T41" s="13" t="s">
        <v>35</v>
      </c>
      <c r="U41" s="14" t="s">
        <v>35</v>
      </c>
      <c r="V41" s="13" t="s">
        <v>35</v>
      </c>
      <c r="W41" s="14" t="s">
        <v>35</v>
      </c>
      <c r="X41" s="13" t="s">
        <v>35</v>
      </c>
      <c r="Y41" s="14" t="s">
        <v>35</v>
      </c>
      <c r="Z41" s="13" t="s">
        <v>35</v>
      </c>
      <c r="AA41" s="14" t="s">
        <v>35</v>
      </c>
      <c r="AB41" s="13" t="s">
        <v>35</v>
      </c>
      <c r="AC41" s="14" t="s">
        <v>35</v>
      </c>
      <c r="AD41" s="13" t="s">
        <v>35</v>
      </c>
      <c r="AE41" s="14" t="s">
        <v>35</v>
      </c>
      <c r="AF41" s="13" t="s">
        <v>35</v>
      </c>
      <c r="AG41" s="14" t="s">
        <v>35</v>
      </c>
      <c r="AH41" s="13" t="s">
        <v>35</v>
      </c>
      <c r="AI41" s="14" t="s">
        <v>35</v>
      </c>
      <c r="AJ41" s="13" t="s">
        <v>35</v>
      </c>
      <c r="AK41" s="14" t="s">
        <v>35</v>
      </c>
      <c r="AL41" s="13" t="s">
        <v>35</v>
      </c>
      <c r="AM41" s="14" t="s">
        <v>35</v>
      </c>
      <c r="AN41" s="13" t="s">
        <v>35</v>
      </c>
      <c r="AO41" s="14" t="s">
        <v>35</v>
      </c>
      <c r="AP41" s="13" t="s">
        <v>35</v>
      </c>
      <c r="AQ41" s="14" t="s">
        <v>35</v>
      </c>
      <c r="AR41" s="13" t="s">
        <v>35</v>
      </c>
      <c r="AS41" s="14" t="s">
        <v>35</v>
      </c>
      <c r="AT41" s="13" t="s">
        <v>35</v>
      </c>
      <c r="AU41" s="14" t="s">
        <v>35</v>
      </c>
      <c r="AV41" s="13" t="s">
        <v>35</v>
      </c>
      <c r="AW41" s="14" t="s">
        <v>35</v>
      </c>
      <c r="AX41" s="13" t="s">
        <v>35</v>
      </c>
      <c r="AY41" s="14" t="s">
        <v>35</v>
      </c>
      <c r="AZ41" s="13" t="s">
        <v>35</v>
      </c>
      <c r="BA41" s="14" t="s">
        <v>35</v>
      </c>
      <c r="BB41" s="13" t="s">
        <v>35</v>
      </c>
      <c r="BC41" s="14" t="s">
        <v>35</v>
      </c>
    </row>
    <row r="42" spans="1:55" ht="12.75" hidden="1">
      <c r="A42" s="15" t="s">
        <v>61</v>
      </c>
      <c r="B42" s="8">
        <v>0</v>
      </c>
      <c r="C42" s="23">
        <v>1157</v>
      </c>
      <c r="D42" s="12">
        <f>SUM(E42,G42,I42,K42,M42,O42,Q42,S42)</f>
        <v>100673</v>
      </c>
      <c r="E42" s="16">
        <f>ROUND('2002. dec-i 305.133 eFt (...09)'!G15/1000,0)</f>
        <v>25808</v>
      </c>
      <c r="F42" s="8">
        <f t="shared" si="18"/>
        <v>74865</v>
      </c>
      <c r="G42" s="16">
        <f>ROUND('2002. dec-i 305.133 eFt (...09)'!G23/1000,0)</f>
        <v>32401</v>
      </c>
      <c r="H42" s="8">
        <f t="shared" si="19"/>
        <v>42464</v>
      </c>
      <c r="I42" s="16">
        <f>ROUND('2002. dec-i 305.133 eFt (...09)'!G31/1000,0)</f>
        <v>17732</v>
      </c>
      <c r="J42" s="27">
        <f t="shared" si="21"/>
        <v>24732</v>
      </c>
      <c r="K42" s="16">
        <f>ROUND('2002. dec-i 305.133 eFt (...09)'!G40/1000,0)</f>
        <v>13033</v>
      </c>
      <c r="L42" s="19">
        <f t="shared" si="20"/>
        <v>11699</v>
      </c>
      <c r="M42" s="23">
        <f>ROUND('2002. dec-i 305.133 eFt (...09)'!G48/1000,0)</f>
        <v>11699</v>
      </c>
      <c r="N42" s="13" t="s">
        <v>35</v>
      </c>
      <c r="O42" s="14" t="s">
        <v>35</v>
      </c>
      <c r="P42" s="13" t="s">
        <v>35</v>
      </c>
      <c r="Q42" s="14" t="s">
        <v>35</v>
      </c>
      <c r="R42" s="13" t="s">
        <v>35</v>
      </c>
      <c r="S42" s="14" t="s">
        <v>35</v>
      </c>
      <c r="T42" s="13" t="s">
        <v>35</v>
      </c>
      <c r="U42" s="14" t="s">
        <v>35</v>
      </c>
      <c r="V42" s="13" t="s">
        <v>35</v>
      </c>
      <c r="W42" s="14" t="s">
        <v>35</v>
      </c>
      <c r="X42" s="13" t="s">
        <v>35</v>
      </c>
      <c r="Y42" s="14" t="s">
        <v>35</v>
      </c>
      <c r="Z42" s="13" t="s">
        <v>35</v>
      </c>
      <c r="AA42" s="14" t="s">
        <v>35</v>
      </c>
      <c r="AB42" s="13" t="s">
        <v>35</v>
      </c>
      <c r="AC42" s="14" t="s">
        <v>35</v>
      </c>
      <c r="AD42" s="13" t="s">
        <v>35</v>
      </c>
      <c r="AE42" s="14" t="s">
        <v>35</v>
      </c>
      <c r="AF42" s="13" t="s">
        <v>35</v>
      </c>
      <c r="AG42" s="14" t="s">
        <v>35</v>
      </c>
      <c r="AH42" s="13" t="s">
        <v>35</v>
      </c>
      <c r="AI42" s="14" t="s">
        <v>35</v>
      </c>
      <c r="AJ42" s="13" t="s">
        <v>35</v>
      </c>
      <c r="AK42" s="14" t="s">
        <v>35</v>
      </c>
      <c r="AL42" s="13" t="s">
        <v>35</v>
      </c>
      <c r="AM42" s="14" t="s">
        <v>35</v>
      </c>
      <c r="AN42" s="13" t="s">
        <v>35</v>
      </c>
      <c r="AO42" s="14" t="s">
        <v>35</v>
      </c>
      <c r="AP42" s="13" t="s">
        <v>35</v>
      </c>
      <c r="AQ42" s="14" t="s">
        <v>35</v>
      </c>
      <c r="AR42" s="13" t="s">
        <v>35</v>
      </c>
      <c r="AS42" s="14" t="s">
        <v>35</v>
      </c>
      <c r="AT42" s="13" t="s">
        <v>35</v>
      </c>
      <c r="AU42" s="14" t="s">
        <v>35</v>
      </c>
      <c r="AV42" s="13" t="s">
        <v>35</v>
      </c>
      <c r="AW42" s="14" t="s">
        <v>35</v>
      </c>
      <c r="AX42" s="13" t="s">
        <v>35</v>
      </c>
      <c r="AY42" s="14" t="s">
        <v>35</v>
      </c>
      <c r="AZ42" s="13" t="s">
        <v>35</v>
      </c>
      <c r="BA42" s="14" t="s">
        <v>35</v>
      </c>
      <c r="BB42" s="13" t="s">
        <v>35</v>
      </c>
      <c r="BC42" s="14" t="s">
        <v>35</v>
      </c>
    </row>
    <row r="43" spans="1:55" ht="12.75" hidden="1">
      <c r="A43" s="15" t="s">
        <v>66</v>
      </c>
      <c r="B43" s="8">
        <v>0</v>
      </c>
      <c r="C43" s="23">
        <v>0</v>
      </c>
      <c r="D43" s="12">
        <f>SUM(Y43,W43,U43,S43,Q43,O43,M43,K43,I43,G43,E43)</f>
        <v>217887</v>
      </c>
      <c r="E43" s="16">
        <f>ROUND('2003. okt. és dec. (...10)'!G11/1000,0)</f>
        <v>7975</v>
      </c>
      <c r="F43" s="8">
        <f>G43+H43</f>
        <v>209912</v>
      </c>
      <c r="G43" s="16">
        <f>ROUND('2003. okt. és dec. (...10)'!G20/1000,0)</f>
        <v>82483</v>
      </c>
      <c r="H43" s="8">
        <f t="shared" si="19"/>
        <v>127429</v>
      </c>
      <c r="I43" s="16">
        <f>ROUND('2003. okt. és dec. (...10)'!G28/1000,0)</f>
        <v>49783</v>
      </c>
      <c r="J43" s="27">
        <f t="shared" si="21"/>
        <v>77646</v>
      </c>
      <c r="K43" s="16">
        <f>ROUND('2003. okt. és dec. (...10)'!G37/1000,0)</f>
        <v>39191</v>
      </c>
      <c r="L43" s="19">
        <f t="shared" si="20"/>
        <v>38455</v>
      </c>
      <c r="M43" s="16">
        <f>ROUND('2003. okt. és dec. (...10)'!G45/1000,0)</f>
        <v>38455</v>
      </c>
      <c r="N43" s="13" t="s">
        <v>35</v>
      </c>
      <c r="O43" s="14" t="s">
        <v>35</v>
      </c>
      <c r="P43" s="13" t="s">
        <v>35</v>
      </c>
      <c r="Q43" s="14" t="s">
        <v>35</v>
      </c>
      <c r="R43" s="13" t="s">
        <v>35</v>
      </c>
      <c r="S43" s="14" t="s">
        <v>35</v>
      </c>
      <c r="T43" s="13" t="s">
        <v>35</v>
      </c>
      <c r="U43" s="14" t="s">
        <v>35</v>
      </c>
      <c r="V43" s="13" t="s">
        <v>35</v>
      </c>
      <c r="W43" s="14" t="s">
        <v>35</v>
      </c>
      <c r="X43" s="13" t="s">
        <v>35</v>
      </c>
      <c r="Y43" s="14" t="s">
        <v>35</v>
      </c>
      <c r="Z43" s="13" t="s">
        <v>35</v>
      </c>
      <c r="AA43" s="14" t="s">
        <v>35</v>
      </c>
      <c r="AB43" s="13" t="s">
        <v>35</v>
      </c>
      <c r="AC43" s="14" t="s">
        <v>35</v>
      </c>
      <c r="AD43" s="13" t="s">
        <v>35</v>
      </c>
      <c r="AE43" s="14" t="s">
        <v>35</v>
      </c>
      <c r="AF43" s="13" t="s">
        <v>35</v>
      </c>
      <c r="AG43" s="14" t="s">
        <v>35</v>
      </c>
      <c r="AH43" s="13" t="s">
        <v>35</v>
      </c>
      <c r="AI43" s="14" t="s">
        <v>35</v>
      </c>
      <c r="AJ43" s="13" t="s">
        <v>35</v>
      </c>
      <c r="AK43" s="14" t="s">
        <v>35</v>
      </c>
      <c r="AL43" s="13" t="s">
        <v>35</v>
      </c>
      <c r="AM43" s="14" t="s">
        <v>35</v>
      </c>
      <c r="AN43" s="13" t="s">
        <v>35</v>
      </c>
      <c r="AO43" s="14" t="s">
        <v>35</v>
      </c>
      <c r="AP43" s="13" t="s">
        <v>35</v>
      </c>
      <c r="AQ43" s="14" t="s">
        <v>35</v>
      </c>
      <c r="AR43" s="13" t="s">
        <v>35</v>
      </c>
      <c r="AS43" s="14" t="s">
        <v>35</v>
      </c>
      <c r="AT43" s="13" t="s">
        <v>35</v>
      </c>
      <c r="AU43" s="14" t="s">
        <v>35</v>
      </c>
      <c r="AV43" s="13" t="s">
        <v>35</v>
      </c>
      <c r="AW43" s="14" t="s">
        <v>35</v>
      </c>
      <c r="AX43" s="13" t="s">
        <v>35</v>
      </c>
      <c r="AY43" s="14" t="s">
        <v>35</v>
      </c>
      <c r="AZ43" s="13" t="s">
        <v>35</v>
      </c>
      <c r="BA43" s="14" t="s">
        <v>35</v>
      </c>
      <c r="BB43" s="13" t="s">
        <v>35</v>
      </c>
      <c r="BC43" s="14" t="s">
        <v>35</v>
      </c>
    </row>
    <row r="44" spans="1:55" ht="12.75" hidden="1">
      <c r="A44" s="15" t="s">
        <v>85</v>
      </c>
      <c r="B44" s="8"/>
      <c r="C44" s="23"/>
      <c r="D44" s="12">
        <v>0</v>
      </c>
      <c r="E44" s="16">
        <v>0</v>
      </c>
      <c r="F44" s="8">
        <f>G44+H44</f>
        <v>135908</v>
      </c>
      <c r="G44" s="16">
        <f>ROUND('2004. szept. 718.793 eFt (..11)'!G12/1000,0)</f>
        <v>7525</v>
      </c>
      <c r="H44" s="8">
        <f>I44+J44</f>
        <v>128383</v>
      </c>
      <c r="I44" s="16">
        <f>ROUND('2004. szept. 718.793 eFt (..11)'!G19/1000,0)</f>
        <v>38241</v>
      </c>
      <c r="J44" s="8">
        <f>K44+L44</f>
        <v>90142</v>
      </c>
      <c r="K44" s="16">
        <f>ROUND('2004. szept. 718.793 eFt (..11)'!G28/1000,0)</f>
        <v>45066</v>
      </c>
      <c r="L44" s="8">
        <f t="shared" si="20"/>
        <v>45076</v>
      </c>
      <c r="M44" s="16">
        <f>ROUND('2004. szept. 718.793 eFt (..11)'!G36/1000,0)</f>
        <v>45076</v>
      </c>
      <c r="N44" s="13" t="s">
        <v>35</v>
      </c>
      <c r="O44" s="14" t="s">
        <v>35</v>
      </c>
      <c r="P44" s="13" t="s">
        <v>35</v>
      </c>
      <c r="Q44" s="14" t="s">
        <v>35</v>
      </c>
      <c r="R44" s="13" t="s">
        <v>35</v>
      </c>
      <c r="S44" s="14" t="s">
        <v>35</v>
      </c>
      <c r="T44" s="13" t="s">
        <v>35</v>
      </c>
      <c r="U44" s="14" t="s">
        <v>35</v>
      </c>
      <c r="V44" s="13" t="s">
        <v>35</v>
      </c>
      <c r="W44" s="14" t="s">
        <v>35</v>
      </c>
      <c r="X44" s="13" t="s">
        <v>35</v>
      </c>
      <c r="Y44" s="14" t="s">
        <v>35</v>
      </c>
      <c r="Z44" s="13" t="s">
        <v>35</v>
      </c>
      <c r="AA44" s="14" t="s">
        <v>35</v>
      </c>
      <c r="AB44" s="13" t="s">
        <v>35</v>
      </c>
      <c r="AC44" s="14" t="s">
        <v>35</v>
      </c>
      <c r="AD44" s="13" t="s">
        <v>35</v>
      </c>
      <c r="AE44" s="14" t="s">
        <v>35</v>
      </c>
      <c r="AF44" s="13" t="s">
        <v>35</v>
      </c>
      <c r="AG44" s="14" t="s">
        <v>35</v>
      </c>
      <c r="AH44" s="13" t="s">
        <v>35</v>
      </c>
      <c r="AI44" s="14" t="s">
        <v>35</v>
      </c>
      <c r="AJ44" s="13" t="s">
        <v>35</v>
      </c>
      <c r="AK44" s="14" t="s">
        <v>35</v>
      </c>
      <c r="AL44" s="13" t="s">
        <v>35</v>
      </c>
      <c r="AM44" s="14" t="s">
        <v>35</v>
      </c>
      <c r="AN44" s="13" t="s">
        <v>35</v>
      </c>
      <c r="AO44" s="14" t="s">
        <v>35</v>
      </c>
      <c r="AP44" s="13" t="s">
        <v>35</v>
      </c>
      <c r="AQ44" s="14" t="s">
        <v>35</v>
      </c>
      <c r="AR44" s="13" t="s">
        <v>35</v>
      </c>
      <c r="AS44" s="14" t="s">
        <v>35</v>
      </c>
      <c r="AT44" s="13" t="s">
        <v>35</v>
      </c>
      <c r="AU44" s="14" t="s">
        <v>35</v>
      </c>
      <c r="AV44" s="13" t="s">
        <v>35</v>
      </c>
      <c r="AW44" s="14" t="s">
        <v>35</v>
      </c>
      <c r="AX44" s="13" t="s">
        <v>35</v>
      </c>
      <c r="AY44" s="14" t="s">
        <v>35</v>
      </c>
      <c r="AZ44" s="13" t="s">
        <v>35</v>
      </c>
      <c r="BA44" s="14" t="s">
        <v>35</v>
      </c>
      <c r="BB44" s="13" t="s">
        <v>35</v>
      </c>
      <c r="BC44" s="14" t="s">
        <v>35</v>
      </c>
    </row>
    <row r="45" spans="1:55" ht="12.75">
      <c r="A45" s="15" t="s">
        <v>171</v>
      </c>
      <c r="B45" s="8"/>
      <c r="C45" s="23"/>
      <c r="D45" s="12"/>
      <c r="E45" s="16"/>
      <c r="F45" s="13" t="s">
        <v>35</v>
      </c>
      <c r="G45" s="24" t="s">
        <v>35</v>
      </c>
      <c r="H45" s="8">
        <f>I45+J45</f>
        <v>441678</v>
      </c>
      <c r="I45" s="23">
        <f>ROUND('2005. évi 607.314 eFt (..13)'!H8/1000,0)</f>
        <v>641</v>
      </c>
      <c r="J45" s="12">
        <f>SUM(K45:L45)</f>
        <v>441037</v>
      </c>
      <c r="K45" s="23">
        <f>ROUND('2005. évi 607.314 eFt (..13)'!H14/1000,0)</f>
        <v>23245</v>
      </c>
      <c r="L45" s="12">
        <f>SUM(M45:N45)</f>
        <v>417792</v>
      </c>
      <c r="M45" s="23">
        <f>ROUND('2005. évi 607.314 eFt (..13)'!H18/1000,0)</f>
        <v>36131</v>
      </c>
      <c r="N45" s="12">
        <f>SUM(O45:P45)</f>
        <v>381661</v>
      </c>
      <c r="O45" s="23">
        <f>ROUND('2005. évi 607.314 eFt (..13)'!H25/1000,0)</f>
        <v>40694</v>
      </c>
      <c r="P45" s="12">
        <f>SUM(Q45:R45)</f>
        <v>340967</v>
      </c>
      <c r="Q45" s="23">
        <f>ROUND('2005. évi 607.314 eFt (..13)'!H33/1000,0)</f>
        <v>39922</v>
      </c>
      <c r="R45" s="12">
        <f>SUM(S45:T45)</f>
        <v>301045</v>
      </c>
      <c r="S45" s="23">
        <f>ROUND('2005. évi 607.314 eFt (..13)'!H41/1000,0)</f>
        <v>37436</v>
      </c>
      <c r="T45" s="12">
        <f>SUM(U45:V45)</f>
        <v>263609</v>
      </c>
      <c r="U45" s="23">
        <f>ROUND('2005. évi 607.314 eFt (..13)'!H49/1000,0)</f>
        <v>34949</v>
      </c>
      <c r="V45" s="12">
        <f>SUM(W45:X45)</f>
        <v>228660</v>
      </c>
      <c r="W45" s="23">
        <f>ROUND('2005. évi 607.314 eFt (..13)'!H57/1000,0)</f>
        <v>32555</v>
      </c>
      <c r="X45" s="12">
        <f>SUM(Y45:Z45)</f>
        <v>196105</v>
      </c>
      <c r="Y45" s="23">
        <f>ROUND('2005. évi 607.314 eFt (..13)'!H65/1000,0)</f>
        <v>29977</v>
      </c>
      <c r="Z45" s="12">
        <f>SUM(AA45:AB45)</f>
        <v>166128</v>
      </c>
      <c r="AA45" s="23">
        <f>ROUND('2005. évi 607.314 eFt (..13)'!H73/1000,0)</f>
        <v>27490</v>
      </c>
      <c r="AB45" s="12">
        <f>SUM(AC45:AD45)</f>
        <v>138638</v>
      </c>
      <c r="AC45" s="23">
        <f>ROUND('2005. évi 607.314 eFt (..13)'!H81/1000,0)</f>
        <v>25004</v>
      </c>
      <c r="AD45" s="12">
        <f>SUM(AE45:AF45)</f>
        <v>113634</v>
      </c>
      <c r="AE45" s="23">
        <f>ROUND('2005. évi 607.314 eFt (..13)'!H89/1000,0)</f>
        <v>22582</v>
      </c>
      <c r="AF45" s="12">
        <f>SUM(AG45:AH45)</f>
        <v>91052</v>
      </c>
      <c r="AG45" s="23">
        <f>ROUND('2005. évi 607.314 eFt (..13)'!H97/1000,0)</f>
        <v>20031</v>
      </c>
      <c r="AH45" s="12">
        <f>SUM(AI45:AJ45)</f>
        <v>71021</v>
      </c>
      <c r="AI45" s="23">
        <f>ROUND('2005. évi 607.314 eFt (..13)'!H105/1000,0)</f>
        <v>17544</v>
      </c>
      <c r="AJ45" s="12">
        <f>SUM(AK45:AL45)</f>
        <v>53477</v>
      </c>
      <c r="AK45" s="23">
        <f>ROUND('2005. évi 607.314 eFt (..13)'!H113/1000,0)</f>
        <v>15058</v>
      </c>
      <c r="AL45" s="12">
        <f>SUM(AM45:AN45)</f>
        <v>38419</v>
      </c>
      <c r="AM45" s="23">
        <f>ROUND('2005. évi 607.314 eFt (..13)'!H121/1000,0)</f>
        <v>12609</v>
      </c>
      <c r="AN45" s="12">
        <f>SUM(AO45:AP45)</f>
        <v>25810</v>
      </c>
      <c r="AO45" s="23">
        <f>ROUND('2005. évi 607.314 eFt (..13)'!H129/1000,0)</f>
        <v>10085</v>
      </c>
      <c r="AP45" s="12">
        <f>SUM(AQ45:AR45)</f>
        <v>15725</v>
      </c>
      <c r="AQ45" s="23">
        <f>ROUND('2005. évi 607.314 eFt (..13)'!H137/1000,0)</f>
        <v>7599</v>
      </c>
      <c r="AR45" s="12">
        <f>SUM(AS45:AT45)</f>
        <v>8126</v>
      </c>
      <c r="AS45" s="23">
        <f>ROUND('2005. évi 607.314 eFt (..13)'!H145/1000,0)</f>
        <v>5112</v>
      </c>
      <c r="AT45" s="12">
        <f>SUM(AU45:AV45)</f>
        <v>3014</v>
      </c>
      <c r="AU45" s="23">
        <f>ROUND('2005. évi 607.314 eFt (..13)'!H153/1000,0)</f>
        <v>2636</v>
      </c>
      <c r="AV45" s="12">
        <f>SUM(AW45:AX45)</f>
        <v>378</v>
      </c>
      <c r="AW45" s="23">
        <f>ROUND('2005. évi 607.314 eFt (..13)'!H156/1000,0)</f>
        <v>378</v>
      </c>
      <c r="AX45" s="13" t="s">
        <v>35</v>
      </c>
      <c r="AY45" s="14" t="s">
        <v>35</v>
      </c>
      <c r="AZ45" s="13" t="s">
        <v>35</v>
      </c>
      <c r="BA45" s="14" t="s">
        <v>35</v>
      </c>
      <c r="BB45" s="13" t="s">
        <v>35</v>
      </c>
      <c r="BC45" s="14" t="s">
        <v>35</v>
      </c>
    </row>
    <row r="46" spans="1:55" ht="12.75">
      <c r="A46" s="15" t="s">
        <v>172</v>
      </c>
      <c r="B46" s="8"/>
      <c r="C46" s="23"/>
      <c r="D46" s="12"/>
      <c r="E46" s="16"/>
      <c r="F46" s="13"/>
      <c r="G46" s="24"/>
      <c r="H46" s="8">
        <f>I46+J46</f>
        <v>116713</v>
      </c>
      <c r="I46" s="23">
        <f>ROUND('2005. évi 179.173 eFt (..12)'!H8/1000,0)</f>
        <v>98</v>
      </c>
      <c r="J46" s="12">
        <f>SUM(K46:L46)</f>
        <v>116615</v>
      </c>
      <c r="K46" s="23">
        <f>ROUND('2005. évi 179.173 eFt (..12)'!H15/1000,0)</f>
        <v>4336</v>
      </c>
      <c r="L46" s="12">
        <f>SUM(M46:N46)</f>
        <v>112279</v>
      </c>
      <c r="M46" s="23">
        <f>ROUND('2005. évi 179.173 eFt (..12)'!H19/1000,0)</f>
        <v>9570</v>
      </c>
      <c r="N46" s="12">
        <f>SUM(O46:P46)</f>
        <v>102709</v>
      </c>
      <c r="O46" s="23">
        <f>ROUND('2005. évi 179.173 eFt (..12)'!H26/1000,0)</f>
        <v>10922</v>
      </c>
      <c r="P46" s="12">
        <f>SUM(Q46:R46)</f>
        <v>91787</v>
      </c>
      <c r="Q46" s="23">
        <f>ROUND('2005. évi 179.173 eFt (..12)'!H34/1000,0)</f>
        <v>10763</v>
      </c>
      <c r="R46" s="12">
        <f>SUM(S46:T46)</f>
        <v>81024</v>
      </c>
      <c r="S46" s="23">
        <f>ROUND('2005. évi 179.173 eFt (..12)'!H42/1000,0)</f>
        <v>10091</v>
      </c>
      <c r="T46" s="12">
        <f>SUM(U46:V46)</f>
        <v>70933</v>
      </c>
      <c r="U46" s="23">
        <f>ROUND('2005. évi 179.173 eFt (..12)'!H50/1000,0)</f>
        <v>9420</v>
      </c>
      <c r="V46" s="12">
        <f>SUM(W46:X46)</f>
        <v>61513</v>
      </c>
      <c r="W46" s="23">
        <f>ROUND('2005. évi 179.173 eFt (..12)'!H58/1000,0)</f>
        <v>8773</v>
      </c>
      <c r="X46" s="12">
        <f>SUM(Y46:Z46)</f>
        <v>52740</v>
      </c>
      <c r="Y46" s="23">
        <f>ROUND('2005. évi 179.173 eFt (..12)'!H66/1000,0)</f>
        <v>8077</v>
      </c>
      <c r="Z46" s="12">
        <f>SUM(AA46:AB46)</f>
        <v>44663</v>
      </c>
      <c r="AA46" s="23">
        <f>ROUND('2005. évi 179.173 eFt (..12)'!H74/1000,0)</f>
        <v>7406</v>
      </c>
      <c r="AB46" s="12">
        <f>SUM(AC46:AD46)</f>
        <v>37257</v>
      </c>
      <c r="AC46" s="23">
        <f>ROUND('2005. évi 179.173 eFt (..12)'!H82/1000,0)</f>
        <v>6734</v>
      </c>
      <c r="AD46" s="12">
        <f>SUM(AE46:AF46)</f>
        <v>30523</v>
      </c>
      <c r="AE46" s="23">
        <f>ROUND('2005. évi 179.173 eFt (..12)'!H90/1000,0)</f>
        <v>6080</v>
      </c>
      <c r="AF46" s="12">
        <f>SUM(AG46:AH46)</f>
        <v>24443</v>
      </c>
      <c r="AG46" s="23">
        <f>ROUND('2005. évi 179.173 eFt (..12)'!H98/1000,0)</f>
        <v>5392</v>
      </c>
      <c r="AH46" s="12">
        <f>SUM(AI46:AJ46)</f>
        <v>19051</v>
      </c>
      <c r="AI46" s="23">
        <f>ROUND('2005. évi 179.173 eFt (..12)'!H106/1000,0)</f>
        <v>4720</v>
      </c>
      <c r="AJ46" s="12">
        <f>SUM(AK46:AL46)</f>
        <v>14331</v>
      </c>
      <c r="AK46" s="23">
        <f>ROUND('2005. évi 179.173 eFt (..12)'!H114/1000,0)</f>
        <v>4049</v>
      </c>
      <c r="AL46" s="12">
        <f>SUM(AM46:AN46)</f>
        <v>10282</v>
      </c>
      <c r="AM46" s="23">
        <f>ROUND('2005. évi 179.173 eFt (..12)'!H122/1000,0)</f>
        <v>3388</v>
      </c>
      <c r="AN46" s="12">
        <f>SUM(AO46:AP46)</f>
        <v>6894</v>
      </c>
      <c r="AO46" s="23">
        <f>ROUND('2005. évi 179.173 eFt (..12)'!H130/1000,0)</f>
        <v>2706</v>
      </c>
      <c r="AP46" s="12">
        <f>SUM(AQ46:AR46)</f>
        <v>4188</v>
      </c>
      <c r="AQ46" s="23">
        <f>ROUND('2005. évi 179.173 eFt (..12)'!H138/1000,0)</f>
        <v>2035</v>
      </c>
      <c r="AR46" s="12">
        <f>SUM(AS46:AT46)</f>
        <v>2153</v>
      </c>
      <c r="AS46" s="23">
        <f>ROUND('2005. évi 179.173 eFt (..12)'!H146/1000,0)</f>
        <v>1363</v>
      </c>
      <c r="AT46" s="12">
        <f>SUM(AU46:AV46)</f>
        <v>790</v>
      </c>
      <c r="AU46" s="23">
        <f>ROUND('2005. évi 179.173 eFt (..12)'!H154/1000,0)</f>
        <v>695</v>
      </c>
      <c r="AV46" s="12">
        <f>SUM(AW46:AX46)</f>
        <v>95</v>
      </c>
      <c r="AW46" s="23">
        <f>ROUND('2005. évi 179.173 eFt (..12)'!H157/1000,0)</f>
        <v>95</v>
      </c>
      <c r="AX46" s="13" t="s">
        <v>35</v>
      </c>
      <c r="AY46" s="14" t="s">
        <v>35</v>
      </c>
      <c r="AZ46" s="13" t="s">
        <v>35</v>
      </c>
      <c r="BA46" s="14" t="s">
        <v>35</v>
      </c>
      <c r="BB46" s="13" t="s">
        <v>35</v>
      </c>
      <c r="BC46" s="14" t="s">
        <v>35</v>
      </c>
    </row>
    <row r="47" spans="1:55" ht="12.75">
      <c r="A47" s="15" t="s">
        <v>56</v>
      </c>
      <c r="B47" s="8">
        <f>C47+D47</f>
        <v>22524</v>
      </c>
      <c r="C47" s="23">
        <v>3400</v>
      </c>
      <c r="D47" s="12">
        <f>SUM(E47,G47,I47,K47,M47,O47,Q47,S47,U47)</f>
        <v>19124</v>
      </c>
      <c r="E47" s="16">
        <f>ROUND('69 db bérlakásépítés (...11)'!H23/1000,0)</f>
        <v>4346</v>
      </c>
      <c r="F47" s="8">
        <f>G47+H47</f>
        <v>14778</v>
      </c>
      <c r="G47" s="16">
        <f>ROUND('69 db bérlakásépítés (...11)'!H31/1000,0)</f>
        <v>4791</v>
      </c>
      <c r="H47" s="8">
        <f>I47+J47</f>
        <v>9987</v>
      </c>
      <c r="I47" s="16">
        <f>ROUND('69 db bérlakásépítés (...11)'!H41/1000,0)</f>
        <v>2270</v>
      </c>
      <c r="J47" s="27">
        <f>K47+L47</f>
        <v>7717</v>
      </c>
      <c r="K47" s="16">
        <f>ROUND('69 db bérlakásépítés (...11)'!H54/1000,0)</f>
        <v>2516</v>
      </c>
      <c r="L47" s="19">
        <f aca="true" t="shared" si="22" ref="L47:L54">M47+N47</f>
        <v>5201</v>
      </c>
      <c r="M47" s="16">
        <f>ROUND('69 db bérlakásépítés (...11)'!H63/1000,0)</f>
        <v>2007</v>
      </c>
      <c r="N47" s="27">
        <f aca="true" t="shared" si="23" ref="N47:N64">O47+P47</f>
        <v>3194</v>
      </c>
      <c r="O47" s="16">
        <f>ROUND('69 db bérlakásépítés (...11)'!H74/1000,0)</f>
        <v>1624</v>
      </c>
      <c r="P47" s="8">
        <f>Q47+R47</f>
        <v>1570</v>
      </c>
      <c r="Q47" s="9">
        <f>ROUND('69 db bérlakásépítés (...11)'!H82/1000,0)</f>
        <v>973</v>
      </c>
      <c r="R47" s="19">
        <f aca="true" t="shared" si="24" ref="R47:R62">S47+T47</f>
        <v>597</v>
      </c>
      <c r="S47" s="16">
        <f>ROUND('69 db bérlakásépítés (...11)'!H90/1000,0)</f>
        <v>513</v>
      </c>
      <c r="T47" s="19">
        <f>U47</f>
        <v>84</v>
      </c>
      <c r="U47" s="16">
        <f>ROUND('69 db bérlakásépítés (...11)'!H93/1000,0)</f>
        <v>84</v>
      </c>
      <c r="V47" s="20" t="s">
        <v>35</v>
      </c>
      <c r="W47" s="22" t="s">
        <v>35</v>
      </c>
      <c r="X47" s="313" t="s">
        <v>35</v>
      </c>
      <c r="Y47" s="24" t="s">
        <v>35</v>
      </c>
      <c r="Z47" s="13" t="s">
        <v>35</v>
      </c>
      <c r="AA47" s="14" t="s">
        <v>35</v>
      </c>
      <c r="AB47" s="13" t="s">
        <v>35</v>
      </c>
      <c r="AC47" s="14" t="s">
        <v>35</v>
      </c>
      <c r="AD47" s="13" t="s">
        <v>35</v>
      </c>
      <c r="AE47" s="14" t="s">
        <v>35</v>
      </c>
      <c r="AF47" s="13" t="s">
        <v>35</v>
      </c>
      <c r="AG47" s="14" t="s">
        <v>35</v>
      </c>
      <c r="AH47" s="13" t="s">
        <v>35</v>
      </c>
      <c r="AI47" s="14" t="s">
        <v>35</v>
      </c>
      <c r="AJ47" s="13" t="s">
        <v>35</v>
      </c>
      <c r="AK47" s="14" t="s">
        <v>35</v>
      </c>
      <c r="AL47" s="13" t="s">
        <v>35</v>
      </c>
      <c r="AM47" s="14" t="s">
        <v>35</v>
      </c>
      <c r="AN47" s="13" t="s">
        <v>35</v>
      </c>
      <c r="AO47" s="14" t="s">
        <v>35</v>
      </c>
      <c r="AP47" s="13" t="s">
        <v>35</v>
      </c>
      <c r="AQ47" s="14" t="s">
        <v>35</v>
      </c>
      <c r="AR47" s="13" t="s">
        <v>35</v>
      </c>
      <c r="AS47" s="14" t="s">
        <v>35</v>
      </c>
      <c r="AT47" s="13" t="s">
        <v>35</v>
      </c>
      <c r="AU47" s="14" t="s">
        <v>35</v>
      </c>
      <c r="AV47" s="13" t="s">
        <v>35</v>
      </c>
      <c r="AW47" s="14" t="s">
        <v>35</v>
      </c>
      <c r="AX47" s="13" t="s">
        <v>35</v>
      </c>
      <c r="AY47" s="14" t="s">
        <v>35</v>
      </c>
      <c r="AZ47" s="13" t="s">
        <v>35</v>
      </c>
      <c r="BA47" s="14" t="s">
        <v>35</v>
      </c>
      <c r="BB47" s="13" t="s">
        <v>35</v>
      </c>
      <c r="BC47" s="14" t="s">
        <v>35</v>
      </c>
    </row>
    <row r="48" spans="1:55" ht="12.75">
      <c r="A48" s="15" t="s">
        <v>55</v>
      </c>
      <c r="B48" s="8">
        <v>0</v>
      </c>
      <c r="C48" s="23">
        <v>399</v>
      </c>
      <c r="D48" s="12">
        <f>SUM(E48,G48,I48,K48,M48,O48,Q48,S48,U48,W48,Y48)</f>
        <v>30976</v>
      </c>
      <c r="E48" s="16">
        <f>ROUND('59 db bérlakás (...12)'!H15/1000,0)</f>
        <v>5585</v>
      </c>
      <c r="F48" s="8">
        <f>G48+H48</f>
        <v>25391</v>
      </c>
      <c r="G48" s="16">
        <f>ROUND('59 db bérlakás (...12)'!H23/1000,0)</f>
        <v>6418</v>
      </c>
      <c r="H48" s="8">
        <f>I48+J48</f>
        <v>18973</v>
      </c>
      <c r="I48" s="16">
        <f>ROUND('59 db bérlakás (...12)'!H33/1000,0)</f>
        <v>3177</v>
      </c>
      <c r="J48" s="27">
        <f>K48+L48</f>
        <v>15796</v>
      </c>
      <c r="K48" s="16">
        <f>ROUND('59 db bérlakás (...12)'!H46/1000,0)</f>
        <v>3722</v>
      </c>
      <c r="L48" s="19">
        <f t="shared" si="22"/>
        <v>12074</v>
      </c>
      <c r="M48" s="16">
        <f>ROUND('59 db bérlakás (...12)'!H55/1000,0)</f>
        <v>3202</v>
      </c>
      <c r="N48" s="27">
        <f t="shared" si="23"/>
        <v>8872</v>
      </c>
      <c r="O48" s="16">
        <f>ROUND('59 db bérlakás (...12)'!H66/1000,0)</f>
        <v>2899</v>
      </c>
      <c r="P48" s="8">
        <f>Q48+R48</f>
        <v>5973</v>
      </c>
      <c r="Q48" s="9">
        <f>ROUND('59 db bérlakás (...12)'!H74/1000,0)</f>
        <v>2107</v>
      </c>
      <c r="R48" s="19">
        <f t="shared" si="24"/>
        <v>3866</v>
      </c>
      <c r="S48" s="16">
        <f>ROUND('59 db bérlakás (...12)'!H82/1000,0)</f>
        <v>1651</v>
      </c>
      <c r="T48" s="19">
        <f aca="true" t="shared" si="25" ref="T48:T62">U48+V48</f>
        <v>2215</v>
      </c>
      <c r="U48" s="16">
        <f>ROUND('59 db bérlakás (...12)'!H90/1000,0)</f>
        <v>1194</v>
      </c>
      <c r="V48" s="28">
        <f aca="true" t="shared" si="26" ref="V48:V62">W48+X48</f>
        <v>1021</v>
      </c>
      <c r="W48" s="16">
        <f>ROUND('59 db bérlakás (...12)'!H98/1000,0)</f>
        <v>740</v>
      </c>
      <c r="X48" s="314">
        <f>Y48</f>
        <v>281</v>
      </c>
      <c r="Y48" s="16">
        <f>ROUND('59 db bérlakás (...12)'!H105/1000,0)</f>
        <v>281</v>
      </c>
      <c r="Z48" s="13" t="s">
        <v>35</v>
      </c>
      <c r="AA48" s="14" t="s">
        <v>35</v>
      </c>
      <c r="AB48" s="13" t="s">
        <v>35</v>
      </c>
      <c r="AC48" s="14" t="s">
        <v>35</v>
      </c>
      <c r="AD48" s="13" t="s">
        <v>35</v>
      </c>
      <c r="AE48" s="14" t="s">
        <v>35</v>
      </c>
      <c r="AF48" s="13" t="s">
        <v>35</v>
      </c>
      <c r="AG48" s="14" t="s">
        <v>35</v>
      </c>
      <c r="AH48" s="13" t="s">
        <v>35</v>
      </c>
      <c r="AI48" s="14" t="s">
        <v>35</v>
      </c>
      <c r="AJ48" s="13" t="s">
        <v>35</v>
      </c>
      <c r="AK48" s="14" t="s">
        <v>35</v>
      </c>
      <c r="AL48" s="13" t="s">
        <v>35</v>
      </c>
      <c r="AM48" s="14" t="s">
        <v>35</v>
      </c>
      <c r="AN48" s="13" t="s">
        <v>35</v>
      </c>
      <c r="AO48" s="14" t="s">
        <v>35</v>
      </c>
      <c r="AP48" s="13" t="s">
        <v>35</v>
      </c>
      <c r="AQ48" s="14" t="s">
        <v>35</v>
      </c>
      <c r="AR48" s="13" t="s">
        <v>35</v>
      </c>
      <c r="AS48" s="14" t="s">
        <v>35</v>
      </c>
      <c r="AT48" s="13" t="s">
        <v>35</v>
      </c>
      <c r="AU48" s="14" t="s">
        <v>35</v>
      </c>
      <c r="AV48" s="13" t="s">
        <v>35</v>
      </c>
      <c r="AW48" s="14" t="s">
        <v>35</v>
      </c>
      <c r="AX48" s="13" t="s">
        <v>35</v>
      </c>
      <c r="AY48" s="14" t="s">
        <v>35</v>
      </c>
      <c r="AZ48" s="13" t="s">
        <v>35</v>
      </c>
      <c r="BA48" s="14" t="s">
        <v>35</v>
      </c>
      <c r="BB48" s="13" t="s">
        <v>35</v>
      </c>
      <c r="BC48" s="14" t="s">
        <v>35</v>
      </c>
    </row>
    <row r="49" spans="1:55" s="38" customFormat="1" ht="12.75">
      <c r="A49" s="15" t="s">
        <v>118</v>
      </c>
      <c r="B49" s="8">
        <v>0</v>
      </c>
      <c r="C49" s="37">
        <v>3</v>
      </c>
      <c r="D49" s="40">
        <f>SUM(E49,G49,I49,K49,M49,O49,Q49,S49,U49,W49,Y49,AA49,AC49,AE49,AG49,AI49,AK49,AM49,AO49,AQ49)</f>
        <v>68030</v>
      </c>
      <c r="E49" s="35">
        <f>ROUND('Kecelhegyi bérlakás (...13)'!H22/1000,0)</f>
        <v>5138</v>
      </c>
      <c r="F49" s="8">
        <f t="shared" si="18"/>
        <v>62892</v>
      </c>
      <c r="G49" s="35">
        <f>ROUND('Kecelhegyi bérlakás (...13)'!H32/1000,0)</f>
        <v>10104</v>
      </c>
      <c r="H49" s="8">
        <f t="shared" si="19"/>
        <v>52788</v>
      </c>
      <c r="I49" s="35">
        <f>ROUND('Kecelhegyi bérlakás (...13)'!H42/1000,0)</f>
        <v>4563</v>
      </c>
      <c r="J49" s="27">
        <f>K49+L49</f>
        <v>48225</v>
      </c>
      <c r="K49" s="35">
        <f>ROUND('Kecelhegyi bérlakás (...13)'!H55/1000,0)</f>
        <v>5704</v>
      </c>
      <c r="L49" s="19">
        <f t="shared" si="22"/>
        <v>42521</v>
      </c>
      <c r="M49" s="37">
        <f>ROUND('Kecelhegyi bérlakás (...13)'!H64/1000,0)</f>
        <v>5304</v>
      </c>
      <c r="N49" s="27">
        <f t="shared" si="23"/>
        <v>37217</v>
      </c>
      <c r="O49" s="37">
        <f>ROUND('Kecelhegyi bérlakás (...13)'!H75/1000,0)</f>
        <v>5288</v>
      </c>
      <c r="P49" s="8">
        <f aca="true" t="shared" si="27" ref="P49:P61">Q49+R49</f>
        <v>31929</v>
      </c>
      <c r="Q49" s="52">
        <f>ROUND('Kecelhegyi bérlakás (...13)'!H83/1000,0)</f>
        <v>4362</v>
      </c>
      <c r="R49" s="19">
        <f t="shared" si="24"/>
        <v>27567</v>
      </c>
      <c r="S49" s="37">
        <f>ROUND('Kecelhegyi bérlakás (...13)'!H91/1000,0)</f>
        <v>4042</v>
      </c>
      <c r="T49" s="19">
        <f t="shared" si="25"/>
        <v>23525</v>
      </c>
      <c r="U49" s="35">
        <f>ROUND('Kecelhegyi bérlakás (...13)'!H99/1000,0)</f>
        <v>3721</v>
      </c>
      <c r="V49" s="28">
        <f t="shared" si="26"/>
        <v>19804</v>
      </c>
      <c r="W49" s="35">
        <f>ROUND('Kecelhegyi bérlakás (...13)'!H107/1000,0)</f>
        <v>3411</v>
      </c>
      <c r="X49" s="315">
        <f aca="true" t="shared" si="28" ref="X49:X62">SUM(Y49:Z49)</f>
        <v>16393</v>
      </c>
      <c r="Y49" s="35">
        <f>ROUND('Kecelhegyi bérlakás (...13)'!H115/1000,0)</f>
        <v>3080</v>
      </c>
      <c r="Z49" s="40">
        <f aca="true" t="shared" si="29" ref="Z49:Z62">AA49+AB49</f>
        <v>13313</v>
      </c>
      <c r="AA49" s="36">
        <f>ROUND('Kecelhegyi bérlakás (...13)'!H123/1000,0)</f>
        <v>2760</v>
      </c>
      <c r="AB49" s="40">
        <f aca="true" t="shared" si="30" ref="AB49:AB62">AC49+AD49</f>
        <v>10553</v>
      </c>
      <c r="AC49" s="36">
        <f>ROUND('Kecelhegyi bérlakás (...13)'!H131/1000,0)</f>
        <v>2440</v>
      </c>
      <c r="AD49" s="40">
        <f aca="true" t="shared" si="31" ref="AD49:AD62">AE49+AF49</f>
        <v>8113</v>
      </c>
      <c r="AE49" s="36">
        <f>ROUND('Kecelhegyi bérlakás (...13)'!H139/1000,0)</f>
        <v>2126</v>
      </c>
      <c r="AF49" s="40">
        <f aca="true" t="shared" si="32" ref="AF49:AF62">AG49+AH49</f>
        <v>5987</v>
      </c>
      <c r="AG49" s="36">
        <f>ROUND('Kecelhegyi bérlakás (...13)'!H147/1000,0)</f>
        <v>1799</v>
      </c>
      <c r="AH49" s="40">
        <f aca="true" t="shared" si="33" ref="AH49:AH62">AI49+AJ49</f>
        <v>4188</v>
      </c>
      <c r="AI49" s="36">
        <f>ROUND('Kecelhegyi bérlakás (...13)'!H155/1000,0)</f>
        <v>1479</v>
      </c>
      <c r="AJ49" s="40">
        <f aca="true" t="shared" si="34" ref="AJ49:AJ62">AK49+AL49</f>
        <v>2709</v>
      </c>
      <c r="AK49" s="36">
        <f>ROUND('Kecelhegyi bérlakás (...13)'!H163/1000,0)</f>
        <v>1158</v>
      </c>
      <c r="AL49" s="40">
        <f aca="true" t="shared" si="35" ref="AL49:AL62">AM49+AN49</f>
        <v>1551</v>
      </c>
      <c r="AM49" s="36">
        <f>ROUND('Kecelhegyi bérlakás (...13)'!H171/1000,0)</f>
        <v>841</v>
      </c>
      <c r="AN49" s="40">
        <f>AO49+AP49</f>
        <v>710</v>
      </c>
      <c r="AO49" s="36">
        <f>ROUND('Kecelhegyi bérlakás (...13)'!H179/1000,0)</f>
        <v>518</v>
      </c>
      <c r="AP49" s="40">
        <f>AQ49</f>
        <v>192</v>
      </c>
      <c r="AQ49" s="36">
        <f>ROUND('Kecelhegyi bérlakás (...13)'!H186/1000,0)</f>
        <v>192</v>
      </c>
      <c r="AR49" s="13" t="s">
        <v>35</v>
      </c>
      <c r="AS49" s="14" t="s">
        <v>35</v>
      </c>
      <c r="AT49" s="13" t="s">
        <v>35</v>
      </c>
      <c r="AU49" s="14" t="s">
        <v>35</v>
      </c>
      <c r="AV49" s="13" t="s">
        <v>35</v>
      </c>
      <c r="AW49" s="14" t="s">
        <v>35</v>
      </c>
      <c r="AX49" s="13" t="s">
        <v>35</v>
      </c>
      <c r="AY49" s="14" t="s">
        <v>35</v>
      </c>
      <c r="AZ49" s="13" t="s">
        <v>35</v>
      </c>
      <c r="BA49" s="14" t="s">
        <v>35</v>
      </c>
      <c r="BB49" s="13" t="s">
        <v>35</v>
      </c>
      <c r="BC49" s="14" t="s">
        <v>35</v>
      </c>
    </row>
    <row r="50" spans="1:55" s="38" customFormat="1" ht="12.75">
      <c r="A50" s="15" t="s">
        <v>173</v>
      </c>
      <c r="B50" s="8"/>
      <c r="C50" s="37"/>
      <c r="D50" s="40"/>
      <c r="E50" s="35"/>
      <c r="F50" s="8"/>
      <c r="G50" s="35"/>
      <c r="H50" s="8"/>
      <c r="I50" s="35"/>
      <c r="J50" s="27">
        <v>0</v>
      </c>
      <c r="K50" s="35">
        <f>ROUND('Panel_Plusz 633.336 eFt'!H52/1000,0)</f>
        <v>2885</v>
      </c>
      <c r="L50" s="19">
        <f t="shared" si="22"/>
        <v>315877</v>
      </c>
      <c r="M50" s="37">
        <f>ROUND('Panel_Plusz 633.336 eFt'!H77/1000,0)</f>
        <v>31571</v>
      </c>
      <c r="N50" s="27">
        <f t="shared" si="23"/>
        <v>284306</v>
      </c>
      <c r="O50" s="37">
        <f>ROUND('Panel_Plusz 633.336 eFt'!H81/1000,0)</f>
        <v>34237</v>
      </c>
      <c r="P50" s="8">
        <f t="shared" si="27"/>
        <v>250069</v>
      </c>
      <c r="Q50" s="52">
        <f>ROUND('Panel_Plusz 633.336 eFt'!H85/1000,0)</f>
        <v>34970</v>
      </c>
      <c r="R50" s="19">
        <f t="shared" si="24"/>
        <v>215099</v>
      </c>
      <c r="S50" s="37">
        <f>ROUND('Panel_Plusz 633.336 eFt'!H89/1000,0)</f>
        <v>32380</v>
      </c>
      <c r="T50" s="19">
        <f t="shared" si="25"/>
        <v>182719</v>
      </c>
      <c r="U50" s="35">
        <f>ROUND('Panel_Plusz 633.336 eFt'!H93/1000,0)</f>
        <v>29791</v>
      </c>
      <c r="V50" s="28">
        <f t="shared" si="26"/>
        <v>152928</v>
      </c>
      <c r="W50" s="35">
        <f>ROUND('Panel_Plusz 633.336 eFt'!H97/1000,0)</f>
        <v>27267</v>
      </c>
      <c r="X50" s="315">
        <f t="shared" si="28"/>
        <v>125661</v>
      </c>
      <c r="Y50" s="35">
        <f>ROUND('Panel_Plusz 633.336 eFt'!H101/1000,0)</f>
        <v>24612</v>
      </c>
      <c r="Z50" s="40">
        <f t="shared" si="29"/>
        <v>101049</v>
      </c>
      <c r="AA50" s="36">
        <f>ROUND('Panel_Plusz 633.336 eFt'!H105/1000,0)</f>
        <v>22023</v>
      </c>
      <c r="AB50" s="40">
        <f t="shared" si="30"/>
        <v>79026</v>
      </c>
      <c r="AC50" s="36">
        <f>ROUND('Panel_Plusz 633.336 eFt'!H109/1000,0)</f>
        <v>19434</v>
      </c>
      <c r="AD50" s="40">
        <f t="shared" si="31"/>
        <v>59592</v>
      </c>
      <c r="AE50" s="36">
        <f>ROUND('Panel_Plusz 633.336 eFt'!H113/1000,0)</f>
        <v>16882</v>
      </c>
      <c r="AF50" s="40">
        <f t="shared" si="32"/>
        <v>42710</v>
      </c>
      <c r="AG50" s="36">
        <f>ROUND('Panel_Plusz 633.336 eFt'!H117/1000,0)</f>
        <v>14255</v>
      </c>
      <c r="AH50" s="40">
        <f t="shared" si="33"/>
        <v>28455</v>
      </c>
      <c r="AI50" s="36">
        <f>ROUND('Panel_Plusz 633.336 eFt'!H121/1000,0)</f>
        <v>11666</v>
      </c>
      <c r="AJ50" s="40">
        <f t="shared" si="34"/>
        <v>16789</v>
      </c>
      <c r="AK50" s="36">
        <f>ROUND('Panel_Plusz 633.336 eFt'!H125/1000,0)</f>
        <v>9076</v>
      </c>
      <c r="AL50" s="40">
        <f t="shared" si="35"/>
        <v>7713</v>
      </c>
      <c r="AM50" s="36">
        <f>ROUND('Panel_Plusz 633.336 eFt'!H129/1000,0)</f>
        <v>6496</v>
      </c>
      <c r="AN50" s="40">
        <f>AO50</f>
        <v>1217</v>
      </c>
      <c r="AO50" s="36">
        <f>ROUND('Panel_Plusz 633.336 eFt'!H130/1000,0)</f>
        <v>1217</v>
      </c>
      <c r="AP50" s="346" t="s">
        <v>35</v>
      </c>
      <c r="AQ50" s="347" t="s">
        <v>35</v>
      </c>
      <c r="AR50" s="13" t="s">
        <v>35</v>
      </c>
      <c r="AS50" s="14" t="s">
        <v>35</v>
      </c>
      <c r="AT50" s="13" t="s">
        <v>35</v>
      </c>
      <c r="AU50" s="14" t="s">
        <v>35</v>
      </c>
      <c r="AV50" s="13" t="s">
        <v>35</v>
      </c>
      <c r="AW50" s="14" t="s">
        <v>35</v>
      </c>
      <c r="AX50" s="13" t="s">
        <v>35</v>
      </c>
      <c r="AY50" s="14" t="s">
        <v>35</v>
      </c>
      <c r="AZ50" s="13" t="s">
        <v>35</v>
      </c>
      <c r="BA50" s="14" t="s">
        <v>35</v>
      </c>
      <c r="BB50" s="13" t="s">
        <v>35</v>
      </c>
      <c r="BC50" s="14" t="s">
        <v>35</v>
      </c>
    </row>
    <row r="51" spans="1:55" s="38" customFormat="1" ht="12.75">
      <c r="A51" s="15" t="s">
        <v>288</v>
      </c>
      <c r="B51" s="8"/>
      <c r="C51" s="37"/>
      <c r="D51" s="40"/>
      <c r="E51" s="35"/>
      <c r="F51" s="8"/>
      <c r="G51" s="35"/>
      <c r="H51" s="8"/>
      <c r="I51" s="35"/>
      <c r="J51" s="27">
        <v>0</v>
      </c>
      <c r="K51" s="37">
        <f>ROUND('2006. évi 204.214,5 eFt (...16)'!H9/1000,0)</f>
        <v>239</v>
      </c>
      <c r="L51" s="28">
        <f t="shared" si="22"/>
        <v>138839</v>
      </c>
      <c r="M51" s="37">
        <f>ROUND('2006. évi 204.214,5 eFt (...16)'!H14/1000,0)</f>
        <v>10475</v>
      </c>
      <c r="N51" s="48">
        <f t="shared" si="23"/>
        <v>128364</v>
      </c>
      <c r="O51" s="37">
        <f>ROUND('2006. évi 204.214,5 eFt (...16)'!H18/1000,0)</f>
        <v>12281</v>
      </c>
      <c r="P51" s="12">
        <f t="shared" si="27"/>
        <v>116083</v>
      </c>
      <c r="Q51" s="52">
        <f>ROUND('2006. évi 204.214,5 eFt (...16)'!H25/1000,0)</f>
        <v>12662</v>
      </c>
      <c r="R51" s="28">
        <f t="shared" si="24"/>
        <v>103421</v>
      </c>
      <c r="S51" s="37">
        <f>ROUND('2006. évi 204.214,5 eFt (...16)'!H33/1000,0)</f>
        <v>11959</v>
      </c>
      <c r="T51" s="28">
        <f t="shared" si="25"/>
        <v>91462</v>
      </c>
      <c r="U51" s="37">
        <f>ROUND('2006. évi 204.214,5 eFt (...16)'!H41/1000,0)</f>
        <v>11223</v>
      </c>
      <c r="V51" s="28">
        <f t="shared" si="26"/>
        <v>80239</v>
      </c>
      <c r="W51" s="37">
        <f>ROUND('2006. évi 204.214,5 eFt (...16)'!H49/1000,0)</f>
        <v>10517</v>
      </c>
      <c r="X51" s="315">
        <f t="shared" si="28"/>
        <v>69722</v>
      </c>
      <c r="Y51" s="37">
        <f>ROUND('2006. évi 204.214,5 eFt (...16)'!H57/1000,0)</f>
        <v>9752</v>
      </c>
      <c r="Z51" s="40">
        <f t="shared" si="29"/>
        <v>59970</v>
      </c>
      <c r="AA51" s="52">
        <f>ROUND('2006. évi 204.214,5 eFt (...16)'!H65/1000,0)</f>
        <v>9017</v>
      </c>
      <c r="AB51" s="40">
        <f t="shared" si="30"/>
        <v>50953</v>
      </c>
      <c r="AC51" s="52">
        <f>ROUND('2006. évi 204.214,5 eFt (...16)'!H73/1000,0)</f>
        <v>8282</v>
      </c>
      <c r="AD51" s="40">
        <f t="shared" si="31"/>
        <v>42671</v>
      </c>
      <c r="AE51" s="52">
        <f>ROUND('2006. évi 204.214,5 eFt (...16)'!H81/1000,0)</f>
        <v>7567</v>
      </c>
      <c r="AF51" s="40">
        <f t="shared" si="32"/>
        <v>35104</v>
      </c>
      <c r="AG51" s="52">
        <f>ROUND('2006. évi 204.214,5 eFt (...16)'!H89/1000,0)</f>
        <v>6811</v>
      </c>
      <c r="AH51" s="40">
        <f t="shared" si="33"/>
        <v>28293</v>
      </c>
      <c r="AI51" s="52">
        <f>ROUND('2006. évi 204.214,5 eFt (...16)'!H97/1000,0)</f>
        <v>6075</v>
      </c>
      <c r="AJ51" s="40">
        <f t="shared" si="34"/>
        <v>22218</v>
      </c>
      <c r="AK51" s="52">
        <f>ROUND('2006. évi 204.214,5 eFt (...16)'!H105/1000,0)</f>
        <v>5340</v>
      </c>
      <c r="AL51" s="40">
        <f t="shared" si="35"/>
        <v>16878</v>
      </c>
      <c r="AM51" s="52">
        <f>ROUND('2006. évi 204.214,5 eFt (...16)'!H113/1000,0)</f>
        <v>4618</v>
      </c>
      <c r="AN51" s="40">
        <f aca="true" t="shared" si="36" ref="AN51:AN62">AO51+AP51</f>
        <v>12260</v>
      </c>
      <c r="AO51" s="52">
        <f>ROUND('2006. évi 204.214,5 eFt (...16)'!H121/1000,0)</f>
        <v>3869</v>
      </c>
      <c r="AP51" s="40">
        <f>AQ51+AR51</f>
        <v>8391</v>
      </c>
      <c r="AQ51" s="52">
        <f>ROUND('2006. évi 204.214,5 eFt (...16)'!H129/1000,0)</f>
        <v>3134</v>
      </c>
      <c r="AR51" s="40">
        <f>AS51+AT51</f>
        <v>5257</v>
      </c>
      <c r="AS51" s="51">
        <f>ROUND('2006. évi 204.214,5 eFt (...16)'!H137/1000,0)</f>
        <v>2398</v>
      </c>
      <c r="AT51" s="40">
        <f>AU51+AV51</f>
        <v>2859</v>
      </c>
      <c r="AU51" s="51">
        <f>ROUND('2006. évi 204.214,5 eFt (...16)'!H145/1000,0)</f>
        <v>1668</v>
      </c>
      <c r="AV51" s="40">
        <f>AW51+AX51</f>
        <v>1191</v>
      </c>
      <c r="AW51" s="51">
        <f>ROUND('2006. évi 204.214,5 eFt (...16)'!H153/1000,0)</f>
        <v>927</v>
      </c>
      <c r="AX51" s="40">
        <f>AY51</f>
        <v>264</v>
      </c>
      <c r="AY51" s="51">
        <f>ROUND('2006. évi 204.214,5 eFt (...16)'!H156/1000,0)</f>
        <v>264</v>
      </c>
      <c r="AZ51" s="13" t="s">
        <v>35</v>
      </c>
      <c r="BA51" s="14" t="s">
        <v>35</v>
      </c>
      <c r="BB51" s="13" t="s">
        <v>35</v>
      </c>
      <c r="BC51" s="14" t="s">
        <v>35</v>
      </c>
    </row>
    <row r="52" spans="1:55" s="38" customFormat="1" ht="12.75">
      <c r="A52" s="15" t="s">
        <v>289</v>
      </c>
      <c r="B52" s="8"/>
      <c r="C52" s="37"/>
      <c r="D52" s="40"/>
      <c r="E52" s="35"/>
      <c r="F52" s="8"/>
      <c r="G52" s="35"/>
      <c r="H52" s="8"/>
      <c r="I52" s="35"/>
      <c r="J52" s="27">
        <v>0</v>
      </c>
      <c r="K52" s="37">
        <f>ROUND('2006. évi 226.086,3 eFt (...17)'!H9/1000,0)</f>
        <v>299</v>
      </c>
      <c r="L52" s="28">
        <f t="shared" si="22"/>
        <v>166342</v>
      </c>
      <c r="M52" s="37">
        <f>ROUND('2006. évi 226.086,3 eFt (...17)'!H13/1000,0)</f>
        <v>12841</v>
      </c>
      <c r="N52" s="48">
        <f t="shared" si="23"/>
        <v>153501</v>
      </c>
      <c r="O52" s="37">
        <f>ROUND('2006. évi 226.086,3 eFt (...17)'!H17/1000,0)</f>
        <v>14752</v>
      </c>
      <c r="P52" s="12">
        <f t="shared" si="27"/>
        <v>138749</v>
      </c>
      <c r="Q52" s="52">
        <f>ROUND('2006. évi 226.086,3 eFt (...17)'!H24/1000,0)</f>
        <v>15148</v>
      </c>
      <c r="R52" s="28">
        <f t="shared" si="24"/>
        <v>123601</v>
      </c>
      <c r="S52" s="37">
        <f>ROUND('2006. évi 226.086,3 eFt (...17)'!H32/1000,0)</f>
        <v>14306</v>
      </c>
      <c r="T52" s="28">
        <f t="shared" si="25"/>
        <v>109295</v>
      </c>
      <c r="U52" s="37">
        <f>ROUND('2006. évi 226.086,3 eFt (...17)'!H40/1000,0)</f>
        <v>13425</v>
      </c>
      <c r="V52" s="28">
        <f t="shared" si="26"/>
        <v>95870</v>
      </c>
      <c r="W52" s="37">
        <f>ROUND('2006. évi 226.086,3 eFt (...17)'!H48/1000,0)</f>
        <v>12580</v>
      </c>
      <c r="X52" s="315">
        <f t="shared" si="28"/>
        <v>83290</v>
      </c>
      <c r="Y52" s="37">
        <f>ROUND('2006. évi 226.086,3 eFt (...17)'!H56/1000,0)</f>
        <v>11664</v>
      </c>
      <c r="Z52" s="40">
        <f t="shared" si="29"/>
        <v>71626</v>
      </c>
      <c r="AA52" s="52">
        <f>ROUND('2006. évi 226.086,3 eFt (...17)'!H64/1000,0)</f>
        <v>10783</v>
      </c>
      <c r="AB52" s="40">
        <f t="shared" si="30"/>
        <v>60843</v>
      </c>
      <c r="AC52" s="52">
        <f>ROUND('2006. évi 226.086,3 eFt (...17)'!H72/1000,0)</f>
        <v>9903</v>
      </c>
      <c r="AD52" s="40">
        <f t="shared" si="31"/>
        <v>50940</v>
      </c>
      <c r="AE52" s="52">
        <f>ROUND('2006. évi 226.086,3 eFt (...17)'!H80/1000,0)</f>
        <v>9047</v>
      </c>
      <c r="AF52" s="40">
        <f t="shared" si="32"/>
        <v>41893</v>
      </c>
      <c r="AG52" s="52">
        <f>ROUND('2006. évi 226.086,3 eFt (...17)'!H88/1000,0)</f>
        <v>8141</v>
      </c>
      <c r="AH52" s="40">
        <f t="shared" si="33"/>
        <v>33752</v>
      </c>
      <c r="AI52" s="52">
        <f>ROUND('2006. évi 226.086,3 eFt (...17)'!H96/1000,0)</f>
        <v>7261</v>
      </c>
      <c r="AJ52" s="40">
        <f t="shared" si="34"/>
        <v>26491</v>
      </c>
      <c r="AK52" s="52">
        <f>ROUND('2006. évi 226.086,3 eFt (...17)'!H104/1000,0)</f>
        <v>6380</v>
      </c>
      <c r="AL52" s="40">
        <f t="shared" si="35"/>
        <v>20111</v>
      </c>
      <c r="AM52" s="52">
        <f>ROUND('2006. évi 226.086,3 eFt (...17)'!H112/1000,0)</f>
        <v>5515</v>
      </c>
      <c r="AN52" s="40">
        <f t="shared" si="36"/>
        <v>14596</v>
      </c>
      <c r="AO52" s="52">
        <f>ROUND('2006. évi 226.086,3 eFt (...17)'!H120/1000,0)</f>
        <v>4619</v>
      </c>
      <c r="AP52" s="40">
        <f>AQ52+AR52</f>
        <v>9977</v>
      </c>
      <c r="AQ52" s="52">
        <f>ROUND('2006. évi 226.086,3 eFt (...17)'!H128/1000,0)</f>
        <v>3738</v>
      </c>
      <c r="AR52" s="40">
        <f>AS52+AT52</f>
        <v>6239</v>
      </c>
      <c r="AS52" s="51">
        <f>ROUND('2006. évi 226.086,3 eFt (...17)'!H136/1000,0)</f>
        <v>2858</v>
      </c>
      <c r="AT52" s="40">
        <f>AU52+AV52</f>
        <v>3381</v>
      </c>
      <c r="AU52" s="51">
        <f>ROUND('2006. évi 226.086,3 eFt (...17)'!H144/1000,0)</f>
        <v>1983</v>
      </c>
      <c r="AV52" s="40">
        <f>AW52+AX52</f>
        <v>1398</v>
      </c>
      <c r="AW52" s="51">
        <f>ROUND('2006. évi 226.086,3 eFt (...17)'!H152/1000,0)</f>
        <v>1096</v>
      </c>
      <c r="AX52" s="40">
        <f>AY52</f>
        <v>302</v>
      </c>
      <c r="AY52" s="51">
        <f>ROUND('2006. évi 226.086,3 eFt (...17)'!H155/1000,0)</f>
        <v>302</v>
      </c>
      <c r="AZ52" s="13" t="s">
        <v>35</v>
      </c>
      <c r="BA52" s="14" t="s">
        <v>35</v>
      </c>
      <c r="BB52" s="13" t="s">
        <v>35</v>
      </c>
      <c r="BC52" s="14" t="s">
        <v>35</v>
      </c>
    </row>
    <row r="53" spans="1:55" s="38" customFormat="1" ht="12.75">
      <c r="A53" s="15" t="s">
        <v>290</v>
      </c>
      <c r="B53" s="8"/>
      <c r="C53" s="37"/>
      <c r="D53" s="40"/>
      <c r="E53" s="35"/>
      <c r="F53" s="8"/>
      <c r="G53" s="35"/>
      <c r="H53" s="8"/>
      <c r="I53" s="35"/>
      <c r="J53" s="27">
        <v>0</v>
      </c>
      <c r="K53" s="37">
        <f>ROUND('2006. évi 10.350 eFt (...14)'!H9/1000,0)</f>
        <v>10</v>
      </c>
      <c r="L53" s="28">
        <f t="shared" si="22"/>
        <v>6986</v>
      </c>
      <c r="M53" s="37">
        <f>ROUND('2006. évi 10.350 eFt (...14)'!H14/1000,0)</f>
        <v>479</v>
      </c>
      <c r="N53" s="48">
        <f t="shared" si="23"/>
        <v>6507</v>
      </c>
      <c r="O53" s="37">
        <f>ROUND('2006. évi 10.350 eFt (...14)'!H18/1000,0)</f>
        <v>622</v>
      </c>
      <c r="P53" s="12">
        <f t="shared" si="27"/>
        <v>5885</v>
      </c>
      <c r="Q53" s="52">
        <f>ROUND('2006. évi 10.350 eFt (...14)'!H25/1000,0)</f>
        <v>642</v>
      </c>
      <c r="R53" s="28">
        <f t="shared" si="24"/>
        <v>5243</v>
      </c>
      <c r="S53" s="37">
        <f>ROUND('2006. évi 10.350 eFt (...14)'!H33/1000,0)</f>
        <v>606</v>
      </c>
      <c r="T53" s="28">
        <f t="shared" si="25"/>
        <v>4637</v>
      </c>
      <c r="U53" s="37">
        <f>ROUND('2006. évi 10.350 eFt (...14)'!H41/1000,0)</f>
        <v>569</v>
      </c>
      <c r="V53" s="28">
        <f t="shared" si="26"/>
        <v>4068</v>
      </c>
      <c r="W53" s="37">
        <f>ROUND('2006. évi 10.350 eFt (...14)'!H49/1000,0)</f>
        <v>533</v>
      </c>
      <c r="X53" s="315">
        <f t="shared" si="28"/>
        <v>3535</v>
      </c>
      <c r="Y53" s="37">
        <f>ROUND('2006. évi 10.350 eFt (...14)'!H57/1000,0)</f>
        <v>494</v>
      </c>
      <c r="Z53" s="40">
        <f t="shared" si="29"/>
        <v>3041</v>
      </c>
      <c r="AA53" s="52">
        <f>ROUND('2006. évi 10.350 eFt (...14)'!H65/1000,0)</f>
        <v>457</v>
      </c>
      <c r="AB53" s="40">
        <f t="shared" si="30"/>
        <v>2584</v>
      </c>
      <c r="AC53" s="52">
        <f>ROUND('2006. évi 10.350 eFt (...14)'!H73/1000,0)</f>
        <v>420</v>
      </c>
      <c r="AD53" s="40">
        <f t="shared" si="31"/>
        <v>2164</v>
      </c>
      <c r="AE53" s="52">
        <f>ROUND('2006. évi 10.350 eFt (...14)'!H81/1000,0)</f>
        <v>384</v>
      </c>
      <c r="AF53" s="40">
        <f t="shared" si="32"/>
        <v>1780</v>
      </c>
      <c r="AG53" s="52">
        <f>ROUND('2006. évi 10.350 eFt (...14)'!H89/1000,0)</f>
        <v>345</v>
      </c>
      <c r="AH53" s="40">
        <f t="shared" si="33"/>
        <v>1435</v>
      </c>
      <c r="AI53" s="52">
        <f>ROUND('2006. évi 10.350 eFt (...14)'!H97/1000,0)</f>
        <v>308</v>
      </c>
      <c r="AJ53" s="40">
        <f t="shared" si="34"/>
        <v>1127</v>
      </c>
      <c r="AK53" s="52">
        <f>ROUND('2006. évi 10.350 eFt (...14)'!H105/1000,0)</f>
        <v>271</v>
      </c>
      <c r="AL53" s="40">
        <f t="shared" si="35"/>
        <v>856</v>
      </c>
      <c r="AM53" s="52">
        <f>ROUND('2006. évi 10.350 eFt (...14)'!H113/1000,0)</f>
        <v>234</v>
      </c>
      <c r="AN53" s="40">
        <f t="shared" si="36"/>
        <v>622</v>
      </c>
      <c r="AO53" s="52">
        <f>ROUND('2006. évi 10.350 eFt (...14)'!H121/1000,0)</f>
        <v>196</v>
      </c>
      <c r="AP53" s="40">
        <f>AQ53+AR53</f>
        <v>426</v>
      </c>
      <c r="AQ53" s="52">
        <f>ROUND('2006. évi 10.350 eFt (...14)'!H129/1000,0)</f>
        <v>159</v>
      </c>
      <c r="AR53" s="40">
        <f>AS53+AT53</f>
        <v>267</v>
      </c>
      <c r="AS53" s="51">
        <f>ROUND('2006. évi 10.350 eFt (...14)'!H137/1000,0)</f>
        <v>122</v>
      </c>
      <c r="AT53" s="40">
        <f>AU53+AV53</f>
        <v>145</v>
      </c>
      <c r="AU53" s="51">
        <f>ROUND('2006. évi 10.350 eFt (...14)'!H145/1000,0)</f>
        <v>85</v>
      </c>
      <c r="AV53" s="40">
        <f>AW53+AX53</f>
        <v>60</v>
      </c>
      <c r="AW53" s="51">
        <f>ROUND('2006. évi 10.350 eFt (...14)'!H153/1000,0)</f>
        <v>47</v>
      </c>
      <c r="AX53" s="40">
        <f>AY53</f>
        <v>13</v>
      </c>
      <c r="AY53" s="51">
        <f>ROUND('2006. évi 10.350 eFt (...14)'!H156/1000,0)</f>
        <v>13</v>
      </c>
      <c r="AZ53" s="13" t="s">
        <v>35</v>
      </c>
      <c r="BA53" s="14" t="s">
        <v>35</v>
      </c>
      <c r="BB53" s="13" t="s">
        <v>35</v>
      </c>
      <c r="BC53" s="14" t="s">
        <v>35</v>
      </c>
    </row>
    <row r="54" spans="1:55" s="38" customFormat="1" ht="12.75">
      <c r="A54" s="15" t="s">
        <v>291</v>
      </c>
      <c r="B54" s="8"/>
      <c r="C54" s="37"/>
      <c r="D54" s="40"/>
      <c r="E54" s="35"/>
      <c r="F54" s="8"/>
      <c r="G54" s="35"/>
      <c r="H54" s="8"/>
      <c r="I54" s="35"/>
      <c r="J54" s="27">
        <v>0</v>
      </c>
      <c r="K54" s="37">
        <f>ROUND('2006. évi 11.007,9 eFt (...15)'!H9/1000,0)</f>
        <v>11</v>
      </c>
      <c r="L54" s="28">
        <f t="shared" si="22"/>
        <v>7346</v>
      </c>
      <c r="M54" s="37">
        <f>ROUND('2006. évi 11.007,9 eFt (...15)'!H14/1000,0)</f>
        <v>512</v>
      </c>
      <c r="N54" s="48">
        <f t="shared" si="23"/>
        <v>6834</v>
      </c>
      <c r="O54" s="37">
        <f>ROUND('2006. évi 11.007,9 eFt (...15)'!H18/1000,0)</f>
        <v>654</v>
      </c>
      <c r="P54" s="12">
        <f t="shared" si="27"/>
        <v>6180</v>
      </c>
      <c r="Q54" s="52">
        <f>ROUND('2006. évi 11.007,9 eFt (...15)'!H25/1000,0)</f>
        <v>674</v>
      </c>
      <c r="R54" s="28">
        <f t="shared" si="24"/>
        <v>5506</v>
      </c>
      <c r="S54" s="37">
        <f>ROUND('2006. évi 11.007,9 eFt (...15)'!H33/1000,0)</f>
        <v>637</v>
      </c>
      <c r="T54" s="28">
        <f t="shared" si="25"/>
        <v>4869</v>
      </c>
      <c r="U54" s="37">
        <f>ROUND('2006. évi 11.007,9 eFt (...15)'!H41/1000,0)</f>
        <v>597</v>
      </c>
      <c r="V54" s="28">
        <f t="shared" si="26"/>
        <v>4272</v>
      </c>
      <c r="W54" s="37">
        <f>ROUND('2006. évi 11.007,9 eFt (...15)'!H49/1000,0)</f>
        <v>560</v>
      </c>
      <c r="X54" s="315">
        <f t="shared" si="28"/>
        <v>3712</v>
      </c>
      <c r="Y54" s="37">
        <f>ROUND('2006. évi 11.007,9 eFt (...15)'!H57/1000,0)</f>
        <v>519</v>
      </c>
      <c r="Z54" s="40">
        <f t="shared" si="29"/>
        <v>3193</v>
      </c>
      <c r="AA54" s="52">
        <f>ROUND('2006. évi 11.007,9 eFt (...15)'!H65/1000,0)</f>
        <v>480</v>
      </c>
      <c r="AB54" s="40">
        <f t="shared" si="30"/>
        <v>2713</v>
      </c>
      <c r="AC54" s="52">
        <f>ROUND('2006. évi 11.007,9 eFt (...15)'!H73/1000,0)</f>
        <v>441</v>
      </c>
      <c r="AD54" s="40">
        <f t="shared" si="31"/>
        <v>2272</v>
      </c>
      <c r="AE54" s="52">
        <f>ROUND('2006. évi 11.007,9 eFt (...15)'!H81/1000,0)</f>
        <v>403</v>
      </c>
      <c r="AF54" s="40">
        <f t="shared" si="32"/>
        <v>1869</v>
      </c>
      <c r="AG54" s="52">
        <f>ROUND('2006. évi 11.007,9 eFt (...15)'!H89/1000,0)</f>
        <v>363</v>
      </c>
      <c r="AH54" s="40">
        <f t="shared" si="33"/>
        <v>1506</v>
      </c>
      <c r="AI54" s="52">
        <f>ROUND('2006. évi 11.007,9 eFt (...15)'!H97/1000,0)</f>
        <v>323</v>
      </c>
      <c r="AJ54" s="40">
        <f t="shared" si="34"/>
        <v>1183</v>
      </c>
      <c r="AK54" s="52">
        <f>ROUND('2006. évi 11.007,9 eFt (...15)'!H105/1000,0)</f>
        <v>284</v>
      </c>
      <c r="AL54" s="40">
        <f t="shared" si="35"/>
        <v>899</v>
      </c>
      <c r="AM54" s="52">
        <f>ROUND('2006. évi 11.007,9 eFt (...15)'!H113/1000,0)</f>
        <v>246</v>
      </c>
      <c r="AN54" s="40">
        <f t="shared" si="36"/>
        <v>653</v>
      </c>
      <c r="AO54" s="52">
        <f>ROUND('2006. évi 11.007,9 eFt (...15)'!H121/1000,0)</f>
        <v>206</v>
      </c>
      <c r="AP54" s="40">
        <f>AQ54+AR54</f>
        <v>447</v>
      </c>
      <c r="AQ54" s="52">
        <f>ROUND('2006. évi 11.007,9 eFt (...15)'!H129/1000,0)</f>
        <v>167</v>
      </c>
      <c r="AR54" s="40">
        <f>AS54+AT54</f>
        <v>280</v>
      </c>
      <c r="AS54" s="51">
        <f>ROUND('2006. évi 11.007,9 eFt (...15)'!H137/1000,0)</f>
        <v>128</v>
      </c>
      <c r="AT54" s="40">
        <f>AU54+AV54</f>
        <v>152</v>
      </c>
      <c r="AU54" s="51">
        <f>ROUND('2006. évi 11.007,9 eFt (...15)'!H145/1000,0)</f>
        <v>89</v>
      </c>
      <c r="AV54" s="40">
        <f>AW54+AX54</f>
        <v>63</v>
      </c>
      <c r="AW54" s="51">
        <f>ROUND('2006. évi 11.007,9 eFt (...15)'!H153/1000,0)</f>
        <v>49</v>
      </c>
      <c r="AX54" s="40">
        <f>AY54</f>
        <v>14</v>
      </c>
      <c r="AY54" s="51">
        <f>ROUND('2006. évi 11.007,9 eFt (...15)'!H156/1000,0)</f>
        <v>14</v>
      </c>
      <c r="AZ54" s="13" t="s">
        <v>35</v>
      </c>
      <c r="BA54" s="14" t="s">
        <v>35</v>
      </c>
      <c r="BB54" s="13" t="s">
        <v>35</v>
      </c>
      <c r="BC54" s="14" t="s">
        <v>35</v>
      </c>
    </row>
    <row r="55" spans="1:55" s="38" customFormat="1" ht="12.75">
      <c r="A55" s="15" t="s">
        <v>307</v>
      </c>
      <c r="B55" s="8"/>
      <c r="C55" s="37"/>
      <c r="D55" s="40"/>
      <c r="E55" s="35"/>
      <c r="F55" s="8"/>
      <c r="G55" s="35"/>
      <c r="H55" s="8"/>
      <c r="I55" s="35"/>
      <c r="J55" s="27">
        <v>0</v>
      </c>
      <c r="K55" s="37">
        <v>0</v>
      </c>
      <c r="L55" s="48">
        <f>M55+N55</f>
        <v>248663</v>
      </c>
      <c r="M55" s="37">
        <f>ROUND('Panel_Plusz 494.917 eFt (...18)'!H35/1000,0)</f>
        <v>2440</v>
      </c>
      <c r="N55" s="48">
        <f t="shared" si="23"/>
        <v>246223</v>
      </c>
      <c r="O55" s="37">
        <f>ROUND('Panel_Plusz 494.917 eFt (...18)'!H82/1000,0)</f>
        <v>24960</v>
      </c>
      <c r="P55" s="12">
        <f t="shared" si="27"/>
        <v>221263</v>
      </c>
      <c r="Q55" s="52">
        <f>ROUND('Panel_Plusz 494.917 eFt (...18)'!H87/1000,0)</f>
        <v>31597</v>
      </c>
      <c r="R55" s="28">
        <f t="shared" si="24"/>
        <v>189666</v>
      </c>
      <c r="S55" s="37">
        <f>ROUND('Panel_Plusz 494.917 eFt (...18)'!H95/1000,0)</f>
        <v>29883</v>
      </c>
      <c r="T55" s="28">
        <f t="shared" si="25"/>
        <v>159783</v>
      </c>
      <c r="U55" s="37">
        <f>ROUND('Panel_Plusz 494.917 eFt (...18)'!H103/1000,0)</f>
        <v>27354</v>
      </c>
      <c r="V55" s="28">
        <f t="shared" si="26"/>
        <v>132429</v>
      </c>
      <c r="W55" s="37">
        <f>ROUND('Panel_Plusz 494.917 eFt (...18)'!H111/1000,0)</f>
        <v>24894</v>
      </c>
      <c r="X55" s="315">
        <f t="shared" si="28"/>
        <v>107535</v>
      </c>
      <c r="Y55" s="37">
        <f>ROUND('Panel_Plusz 494.917 eFt (...18)'!H119/1000,0)</f>
        <v>22296</v>
      </c>
      <c r="Z55" s="40">
        <f t="shared" si="29"/>
        <v>85239</v>
      </c>
      <c r="AA55" s="52">
        <f>ROUND('Panel_Plusz 494.917 eFt (...18)'!H127/1000,0)</f>
        <v>19767</v>
      </c>
      <c r="AB55" s="40">
        <f t="shared" si="30"/>
        <v>65472</v>
      </c>
      <c r="AC55" s="52">
        <f>ROUND('Panel_Plusz 494.917 eFt (...18)'!H135/1000,0)</f>
        <v>17238</v>
      </c>
      <c r="AD55" s="40">
        <f t="shared" si="31"/>
        <v>48234</v>
      </c>
      <c r="AE55" s="52">
        <f>ROUND('Panel_Plusz 494.917 eFt (...18)'!H143/1000,0)</f>
        <v>14751</v>
      </c>
      <c r="AF55" s="40">
        <f t="shared" si="32"/>
        <v>33483</v>
      </c>
      <c r="AG55" s="52">
        <f>ROUND('Panel_Plusz 494.917 eFt (...18)'!H151/1000,0)</f>
        <v>12180</v>
      </c>
      <c r="AH55" s="40">
        <f t="shared" si="33"/>
        <v>21303</v>
      </c>
      <c r="AI55" s="52">
        <f>ROUND('Panel_Plusz 494.917 eFt (...18)'!H159/1000,0)</f>
        <v>9487</v>
      </c>
      <c r="AJ55" s="40">
        <f t="shared" si="34"/>
        <v>11816</v>
      </c>
      <c r="AK55" s="52">
        <f>ROUND('Panel_Plusz 494.917 eFt (...18)'!H167/1000,0)</f>
        <v>6463</v>
      </c>
      <c r="AL55" s="40">
        <f t="shared" si="35"/>
        <v>5353</v>
      </c>
      <c r="AM55" s="52">
        <f>ROUND('Panel_Plusz 494.917 eFt (...18)'!H175/1000,0)</f>
        <v>3948</v>
      </c>
      <c r="AN55" s="40">
        <f>AO55</f>
        <v>1405</v>
      </c>
      <c r="AO55" s="52">
        <f>ROUND('Panel_Plusz 494.917 eFt (...18)'!H182/1000,0)</f>
        <v>1405</v>
      </c>
      <c r="AP55" s="13" t="s">
        <v>35</v>
      </c>
      <c r="AQ55" s="24" t="s">
        <v>35</v>
      </c>
      <c r="AR55" s="13" t="s">
        <v>35</v>
      </c>
      <c r="AS55" s="14" t="s">
        <v>35</v>
      </c>
      <c r="AT55" s="13" t="s">
        <v>35</v>
      </c>
      <c r="AU55" s="14" t="s">
        <v>35</v>
      </c>
      <c r="AV55" s="13" t="s">
        <v>35</v>
      </c>
      <c r="AW55" s="14" t="s">
        <v>35</v>
      </c>
      <c r="AX55" s="13" t="s">
        <v>35</v>
      </c>
      <c r="AY55" s="14" t="s">
        <v>35</v>
      </c>
      <c r="AZ55" s="13" t="s">
        <v>35</v>
      </c>
      <c r="BA55" s="14" t="s">
        <v>35</v>
      </c>
      <c r="BB55" s="13" t="s">
        <v>35</v>
      </c>
      <c r="BC55" s="14" t="s">
        <v>35</v>
      </c>
    </row>
    <row r="56" spans="1:55" s="38" customFormat="1" ht="12.75">
      <c r="A56" s="15" t="s">
        <v>230</v>
      </c>
      <c r="B56" s="8"/>
      <c r="C56" s="37"/>
      <c r="D56" s="40"/>
      <c r="E56" s="35"/>
      <c r="F56" s="8"/>
      <c r="G56" s="35"/>
      <c r="H56" s="8"/>
      <c r="I56" s="35"/>
      <c r="J56" s="27"/>
      <c r="K56" s="37"/>
      <c r="L56" s="48">
        <f>M56+N56</f>
        <v>122374</v>
      </c>
      <c r="M56" s="37">
        <f>ROUND('2007. évi fejl. hit 1. hitelcél'!H11/1000,0)</f>
        <v>704</v>
      </c>
      <c r="N56" s="48">
        <f t="shared" si="23"/>
        <v>121670</v>
      </c>
      <c r="O56" s="37">
        <f>ROUND('2007. évi fejl. hit 1. hitelcél'!H17/1000,0)</f>
        <v>10369</v>
      </c>
      <c r="P56" s="12">
        <f>Q56+R56</f>
        <v>111301</v>
      </c>
      <c r="Q56" s="52">
        <f>ROUND('2007. évi fejl. hit 1. hitelcél'!H21/1000,0)</f>
        <v>10870</v>
      </c>
      <c r="R56" s="28">
        <f>S56+T56</f>
        <v>100431</v>
      </c>
      <c r="S56" s="37">
        <f>ROUND('2007. évi fejl. hit 1. hitelcél'!H25/1000,0)</f>
        <v>10754</v>
      </c>
      <c r="T56" s="28">
        <f>U56+V56</f>
        <v>89677</v>
      </c>
      <c r="U56" s="37">
        <f>ROUND('2007. évi fejl. hit 1. hitelcél'!H29/1000,0)</f>
        <v>10179</v>
      </c>
      <c r="V56" s="28">
        <f>W56+X56</f>
        <v>79498</v>
      </c>
      <c r="W56" s="37">
        <f>ROUND('2007. évi fejl. hit 1. hitelcél'!H33/1000,0)</f>
        <v>9593</v>
      </c>
      <c r="X56" s="315">
        <f>SUM(Y56:Z56)</f>
        <v>69905</v>
      </c>
      <c r="Y56" s="37">
        <f>ROUND('2007. évi fejl. hit 1. hitelcél'!H37/1000,0)</f>
        <v>8954</v>
      </c>
      <c r="Z56" s="40">
        <f>AA56+AB56</f>
        <v>60951</v>
      </c>
      <c r="AA56" s="52">
        <f>ROUND('2007. évi fejl. hit 1. hitelcél'!H41/1000,0)</f>
        <v>8341</v>
      </c>
      <c r="AB56" s="40">
        <f>AC56+AD56</f>
        <v>52610</v>
      </c>
      <c r="AC56" s="52">
        <f>ROUND('2007. évi fejl. hit 1. hitelcél'!H45/1000,0)</f>
        <v>7728</v>
      </c>
      <c r="AD56" s="40">
        <f>AE56+AF56</f>
        <v>44882</v>
      </c>
      <c r="AE56" s="52">
        <f>ROUND('2007. évi fejl. hit 1. hitelcél'!H49/1000,0)</f>
        <v>7135</v>
      </c>
      <c r="AF56" s="40">
        <f>AG56+AH56</f>
        <v>37747</v>
      </c>
      <c r="AG56" s="52">
        <f>ROUND('2007. évi fejl. hit 1. hitelcél'!H53/1000,0)</f>
        <v>6503</v>
      </c>
      <c r="AH56" s="40">
        <f>AI56+AJ56</f>
        <v>31244</v>
      </c>
      <c r="AI56" s="52">
        <f>ROUND('2007. évi fejl. hit 1. hitelcél'!H57/1000,0)</f>
        <v>5890</v>
      </c>
      <c r="AJ56" s="40">
        <f>AK56+AL56</f>
        <v>25354</v>
      </c>
      <c r="AK56" s="52">
        <f>ROUND('2007. évi fejl. hit 1. hitelcél'!H61/1000,0)</f>
        <v>5277</v>
      </c>
      <c r="AL56" s="40">
        <f>AM56+AN56</f>
        <v>20077</v>
      </c>
      <c r="AM56" s="52">
        <f>ROUND('2007. évi fejl. hit 1. hitelcél'!H65/1000,0)</f>
        <v>4678</v>
      </c>
      <c r="AN56" s="40">
        <f>AO56+AP56</f>
        <v>15399</v>
      </c>
      <c r="AO56" s="52">
        <f>ROUND('2007. évi fejl. hit 1. hitelcél'!H69/1000,0)</f>
        <v>4052</v>
      </c>
      <c r="AP56" s="40">
        <f aca="true" t="shared" si="37" ref="AP56:AP64">AQ56+AR56</f>
        <v>11347</v>
      </c>
      <c r="AQ56" s="52">
        <f>ROUND('2007. évi fejl. hit 1. hitelcél'!H73/1000,0)</f>
        <v>3439</v>
      </c>
      <c r="AR56" s="40">
        <f aca="true" t="shared" si="38" ref="AR56:AR64">AS56+AT56</f>
        <v>7908</v>
      </c>
      <c r="AS56" s="51">
        <f>ROUND('2007. évi fejl. hit 1. hitelcél'!H77/1000,0)</f>
        <v>2826</v>
      </c>
      <c r="AT56" s="40">
        <f aca="true" t="shared" si="39" ref="AT56:AT64">AU56+AV56</f>
        <v>5082</v>
      </c>
      <c r="AU56" s="51">
        <f>ROUND('2007. évi fejl. hit 1. hitelcél'!H81/1000,0)</f>
        <v>2220</v>
      </c>
      <c r="AV56" s="40">
        <f aca="true" t="shared" si="40" ref="AV56:AV64">AW56+AX56</f>
        <v>2862</v>
      </c>
      <c r="AW56" s="51">
        <f>ROUND('2007. évi fejl. hit 1. hitelcél'!H85/1000,0)</f>
        <v>1601</v>
      </c>
      <c r="AX56" s="40">
        <f aca="true" t="shared" si="41" ref="AX56:AX64">AY56+AZ56</f>
        <v>1261</v>
      </c>
      <c r="AY56" s="51">
        <f>ROUND('2007. évi fejl. hit 1. hitelcél'!H89/1000,0)</f>
        <v>988</v>
      </c>
      <c r="AZ56" s="40">
        <f>BA56</f>
        <v>273</v>
      </c>
      <c r="BA56" s="51">
        <f>ROUND('2007. évi fejl. hit 1. hitelcél'!H92/1000,0)</f>
        <v>273</v>
      </c>
      <c r="BB56" s="13" t="s">
        <v>35</v>
      </c>
      <c r="BC56" s="14" t="s">
        <v>35</v>
      </c>
    </row>
    <row r="57" spans="1:55" s="38" customFormat="1" ht="12.75">
      <c r="A57" s="15" t="s">
        <v>231</v>
      </c>
      <c r="B57" s="8"/>
      <c r="C57" s="37"/>
      <c r="D57" s="40"/>
      <c r="E57" s="35"/>
      <c r="F57" s="8"/>
      <c r="G57" s="35"/>
      <c r="H57" s="8"/>
      <c r="I57" s="35"/>
      <c r="J57" s="27"/>
      <c r="K57" s="37"/>
      <c r="L57" s="48">
        <f>M57+N57</f>
        <v>528703</v>
      </c>
      <c r="M57" s="37">
        <f>ROUND('2007. évi fejl. hit 2. hitelcél'!H11/1000,0)</f>
        <v>1743</v>
      </c>
      <c r="N57" s="48">
        <f t="shared" si="23"/>
        <v>526960</v>
      </c>
      <c r="O57" s="37">
        <f>ROUND('2007. évi fejl. hit 2. hitelcél'!H17/1000,0)</f>
        <v>38990</v>
      </c>
      <c r="P57" s="12">
        <f>Q57+R57</f>
        <v>487970</v>
      </c>
      <c r="Q57" s="52">
        <f>ROUND('2007. évi fejl. hit 2. hitelcél'!H21/1000,0)</f>
        <v>47742</v>
      </c>
      <c r="R57" s="28">
        <f>S57+T57</f>
        <v>440228</v>
      </c>
      <c r="S57" s="37">
        <f>ROUND('2007. évi fejl. hit 2. hitelcél'!H25/1000,0)</f>
        <v>47232</v>
      </c>
      <c r="T57" s="28">
        <f>U57+V57</f>
        <v>392996</v>
      </c>
      <c r="U57" s="37">
        <f>ROUND('2007. évi fejl. hit 2. hitelcél'!H29/1000,0)</f>
        <v>44702</v>
      </c>
      <c r="V57" s="28">
        <f>W57+X57</f>
        <v>348294</v>
      </c>
      <c r="W57" s="37">
        <f>ROUND('2007. évi fejl. hit 2. hitelcél'!H33/1000,0)</f>
        <v>42121</v>
      </c>
      <c r="X57" s="315">
        <f>SUM(Y57:Z57)</f>
        <v>306173</v>
      </c>
      <c r="Y57" s="37">
        <f>ROUND('2007. évi fejl. hit 2. hitelcél'!H37/1000,0)</f>
        <v>39307</v>
      </c>
      <c r="Z57" s="40">
        <f>AA57+AB57</f>
        <v>266866</v>
      </c>
      <c r="AA57" s="52">
        <f>ROUND('2007. évi fejl. hit 2. hitelcél'!H41/1000,0)</f>
        <v>36610</v>
      </c>
      <c r="AB57" s="40">
        <f>AC57+AD57</f>
        <v>230256</v>
      </c>
      <c r="AC57" s="52">
        <f>ROUND('2007. évi fejl. hit 2. hitelcél'!H45/1000,0)</f>
        <v>33913</v>
      </c>
      <c r="AD57" s="40">
        <f>AE57+AF57</f>
        <v>196343</v>
      </c>
      <c r="AE57" s="52">
        <f>ROUND('2007. évi fejl. hit 2. hitelcél'!H49/1000,0)</f>
        <v>31302</v>
      </c>
      <c r="AF57" s="40">
        <f>AG57+AH57</f>
        <v>165041</v>
      </c>
      <c r="AG57" s="52">
        <f>ROUND('2007. évi fejl. hit 2. hitelcél'!H53/1000,0)</f>
        <v>28518</v>
      </c>
      <c r="AH57" s="40">
        <f>AI57+AJ57</f>
        <v>136523</v>
      </c>
      <c r="AI57" s="52">
        <f>ROUND('2007. évi fejl. hit 2. hitelcél'!H57/1000,0)</f>
        <v>25821</v>
      </c>
      <c r="AJ57" s="40">
        <f>AK57+AL57</f>
        <v>110702</v>
      </c>
      <c r="AK57" s="52">
        <f>ROUND('2007. évi fejl. hit 2. hitelcél'!H61/1000,0)</f>
        <v>23124</v>
      </c>
      <c r="AL57" s="40">
        <f>AM57+AN57</f>
        <v>87578</v>
      </c>
      <c r="AM57" s="52">
        <f>ROUND('2007. évi fejl. hit 2. hitelcél'!H65/1000,0)</f>
        <v>20484</v>
      </c>
      <c r="AN57" s="40">
        <f>AO57+AP57</f>
        <v>67094</v>
      </c>
      <c r="AO57" s="52">
        <f>ROUND('2007. évi fejl. hit 2. hitelcél'!H69/1000,0)</f>
        <v>17729</v>
      </c>
      <c r="AP57" s="40">
        <f t="shared" si="37"/>
        <v>49365</v>
      </c>
      <c r="AQ57" s="52">
        <f>ROUND('2007. évi fejl. hit 2. hitelcél'!H73/1000,0)</f>
        <v>15032</v>
      </c>
      <c r="AR57" s="40">
        <f t="shared" si="38"/>
        <v>34333</v>
      </c>
      <c r="AS57" s="51">
        <f>ROUND('2007. évi fejl. hit 2. hitelcél'!H77/1000,0)</f>
        <v>12335</v>
      </c>
      <c r="AT57" s="40">
        <f t="shared" si="39"/>
        <v>21998</v>
      </c>
      <c r="AU57" s="51">
        <f>ROUND('2007. évi fejl. hit 2. hitelcél'!H81/1000,0)</f>
        <v>9666</v>
      </c>
      <c r="AV57" s="40">
        <f t="shared" si="40"/>
        <v>12332</v>
      </c>
      <c r="AW57" s="51">
        <f>ROUND('2007. évi fejl. hit 2. hitelcél'!H85/1000,0)</f>
        <v>6941</v>
      </c>
      <c r="AX57" s="40">
        <f t="shared" si="41"/>
        <v>5391</v>
      </c>
      <c r="AY57" s="51">
        <f>ROUND('2007. évi fejl. hit 2. hitelcél'!H89/1000,0)</f>
        <v>4243</v>
      </c>
      <c r="AZ57" s="40">
        <f>BA57</f>
        <v>1148</v>
      </c>
      <c r="BA57" s="51">
        <f>ROUND('2007. évi fejl. hit 2. hitelcél'!H92/1000,0)</f>
        <v>1148</v>
      </c>
      <c r="BB57" s="13" t="s">
        <v>35</v>
      </c>
      <c r="BC57" s="14" t="s">
        <v>35</v>
      </c>
    </row>
    <row r="58" spans="1:56" s="38" customFormat="1" ht="12.75">
      <c r="A58" s="15" t="s">
        <v>232</v>
      </c>
      <c r="B58" s="8"/>
      <c r="C58" s="37"/>
      <c r="D58" s="40"/>
      <c r="E58" s="35"/>
      <c r="F58" s="8"/>
      <c r="G58" s="35"/>
      <c r="H58" s="8"/>
      <c r="I58" s="35"/>
      <c r="J58" s="27">
        <v>0</v>
      </c>
      <c r="K58" s="37">
        <v>0</v>
      </c>
      <c r="L58" s="48">
        <f>M58+N58</f>
        <v>9476</v>
      </c>
      <c r="M58" s="37">
        <f>ROUND('2007. évi fejl. hit 7. hitelcél'!H11/1000,0)</f>
        <v>50</v>
      </c>
      <c r="N58" s="48">
        <f t="shared" si="23"/>
        <v>9426</v>
      </c>
      <c r="O58" s="37">
        <f>ROUND('2007. évi fejl. hit 7. hitelcél'!H16/1000,0)</f>
        <v>752</v>
      </c>
      <c r="P58" s="12">
        <f t="shared" si="27"/>
        <v>8674</v>
      </c>
      <c r="Q58" s="52">
        <f>ROUND('2007. évi fejl. hit 7. hitelcél'!H20/1000,0)</f>
        <v>847</v>
      </c>
      <c r="R58" s="28">
        <f t="shared" si="24"/>
        <v>7827</v>
      </c>
      <c r="S58" s="37">
        <f>ROUND('2007. évi fejl. hit 7. hitelcél'!H24/1000,0)</f>
        <v>838</v>
      </c>
      <c r="T58" s="28">
        <f t="shared" si="25"/>
        <v>6989</v>
      </c>
      <c r="U58" s="37">
        <f>ROUND('2007. évi fejl. hit 7. hitelcél'!H28/1000,0)</f>
        <v>793</v>
      </c>
      <c r="V58" s="28">
        <f t="shared" si="26"/>
        <v>6196</v>
      </c>
      <c r="W58" s="37">
        <f>ROUND('2007. évi fejl. hit 7. hitelcél'!H32/1000,0)</f>
        <v>748</v>
      </c>
      <c r="X58" s="315">
        <f t="shared" si="28"/>
        <v>5448</v>
      </c>
      <c r="Y58" s="37">
        <f>ROUND('2007. évi fejl. hit 7. hitelcél'!H36/1000,0)</f>
        <v>698</v>
      </c>
      <c r="Z58" s="40">
        <f t="shared" si="29"/>
        <v>4750</v>
      </c>
      <c r="AA58" s="52">
        <f>ROUND('2007. évi fejl. hit 7. hitelcél'!H40/1000,0)</f>
        <v>650</v>
      </c>
      <c r="AB58" s="40">
        <f t="shared" si="30"/>
        <v>4100</v>
      </c>
      <c r="AC58" s="52">
        <f>ROUND('2007. évi fejl. hit 7. hitelcél'!H44/1000,0)</f>
        <v>602</v>
      </c>
      <c r="AD58" s="40">
        <f t="shared" si="31"/>
        <v>3498</v>
      </c>
      <c r="AE58" s="52">
        <f>ROUND('2007. évi fejl. hit 7. hitelcél'!H48/1000,0)</f>
        <v>556</v>
      </c>
      <c r="AF58" s="40">
        <f t="shared" si="32"/>
        <v>2942</v>
      </c>
      <c r="AG58" s="52">
        <f>ROUND('2007. évi fejl. hit 7. hitelcél'!H52/1000,0)</f>
        <v>507</v>
      </c>
      <c r="AH58" s="40">
        <f t="shared" si="33"/>
        <v>2435</v>
      </c>
      <c r="AI58" s="52">
        <f>ROUND('2007. évi fejl. hit 7. hitelcél'!H56/1000,0)</f>
        <v>459</v>
      </c>
      <c r="AJ58" s="40">
        <f t="shared" si="34"/>
        <v>1976</v>
      </c>
      <c r="AK58" s="52">
        <f>ROUND('2007. évi fejl. hit 7. hitelcél'!H60/1000,0)</f>
        <v>411</v>
      </c>
      <c r="AL58" s="40">
        <f t="shared" si="35"/>
        <v>1565</v>
      </c>
      <c r="AM58" s="52">
        <f>ROUND('2007. évi fejl. hit 7. hitelcél'!H64/1000,0)</f>
        <v>365</v>
      </c>
      <c r="AN58" s="40">
        <f t="shared" si="36"/>
        <v>1200</v>
      </c>
      <c r="AO58" s="52">
        <f>ROUND('2007. évi fejl. hit 7. hitelcél'!H68/1000,0)</f>
        <v>316</v>
      </c>
      <c r="AP58" s="40">
        <f t="shared" si="37"/>
        <v>884</v>
      </c>
      <c r="AQ58" s="52">
        <f>ROUND('2007. évi fejl. hit 7. hitelcél'!H72/1000,0)</f>
        <v>268</v>
      </c>
      <c r="AR58" s="40">
        <f t="shared" si="38"/>
        <v>616</v>
      </c>
      <c r="AS58" s="51">
        <f>ROUND('2007. évi fejl. hit 7. hitelcél'!H76/1000,0)</f>
        <v>220</v>
      </c>
      <c r="AT58" s="40">
        <f t="shared" si="39"/>
        <v>396</v>
      </c>
      <c r="AU58" s="51">
        <f>ROUND('2007. évi fejl. hit 7. hitelcél'!H80/1000,0)</f>
        <v>173</v>
      </c>
      <c r="AV58" s="40">
        <f t="shared" si="40"/>
        <v>223</v>
      </c>
      <c r="AW58" s="51">
        <f>ROUND('2007. évi fejl. hit 7. hitelcél'!H84/1000,0)</f>
        <v>125</v>
      </c>
      <c r="AX58" s="40">
        <f t="shared" si="41"/>
        <v>98</v>
      </c>
      <c r="AY58" s="51">
        <f>ROUND('2007. évi fejl. hit 7. hitelcél'!H88/1000,0)</f>
        <v>77</v>
      </c>
      <c r="AZ58" s="40">
        <f>BA58</f>
        <v>21</v>
      </c>
      <c r="BA58" s="51">
        <f>ROUND('2007. évi fejl. hit 7. hitelcél'!H91/1000,0)</f>
        <v>21</v>
      </c>
      <c r="BB58" s="13" t="s">
        <v>35</v>
      </c>
      <c r="BC58" s="14" t="s">
        <v>35</v>
      </c>
      <c r="BD58" s="350"/>
    </row>
    <row r="59" spans="1:56" s="38" customFormat="1" ht="12.75">
      <c r="A59" s="15" t="s">
        <v>283</v>
      </c>
      <c r="B59" s="8"/>
      <c r="C59" s="37"/>
      <c r="D59" s="40"/>
      <c r="E59" s="35"/>
      <c r="F59" s="8"/>
      <c r="G59" s="35"/>
      <c r="H59" s="8"/>
      <c r="I59" s="35"/>
      <c r="J59" s="27"/>
      <c r="K59" s="37"/>
      <c r="L59" s="28">
        <v>0</v>
      </c>
      <c r="M59" s="37">
        <v>0</v>
      </c>
      <c r="N59" s="48">
        <f t="shared" si="23"/>
        <v>2635617</v>
      </c>
      <c r="O59" s="37">
        <f>ROUND('2008. évi 3,64MrdFt - 2. hitelc'!H10/1000,0)</f>
        <v>7840</v>
      </c>
      <c r="P59" s="12">
        <f t="shared" si="27"/>
        <v>2627777</v>
      </c>
      <c r="Q59" s="52">
        <f>ROUND('2008. évi 3,64MrdFt - 2. hitelc'!H17/1000,0)</f>
        <v>108015</v>
      </c>
      <c r="R59" s="28">
        <f t="shared" si="24"/>
        <v>2519762</v>
      </c>
      <c r="S59" s="37">
        <f>ROUND('2008. évi 3,64MrdFt - 2. hitelc'!H24/1000,0)</f>
        <v>192147</v>
      </c>
      <c r="T59" s="28">
        <f t="shared" si="25"/>
        <v>2327615</v>
      </c>
      <c r="U59" s="37">
        <f>ROUND('2008. évi 3,64MrdFt - 2. hitelc'!H28/1000,0)</f>
        <v>253813</v>
      </c>
      <c r="V59" s="28">
        <f t="shared" si="26"/>
        <v>2073802</v>
      </c>
      <c r="W59" s="37">
        <f>ROUND('2008. évi 3,64MrdFt - 2. hitelc'!H32/1000,0)</f>
        <v>242296</v>
      </c>
      <c r="X59" s="315">
        <f t="shared" si="28"/>
        <v>1831506</v>
      </c>
      <c r="Y59" s="37">
        <f>ROUND('2008. évi 3,64MrdFt - 2. hitelc'!H36/1000,0)</f>
        <v>226646</v>
      </c>
      <c r="Z59" s="40">
        <f t="shared" si="29"/>
        <v>1604860</v>
      </c>
      <c r="AA59" s="52">
        <f>ROUND('2008. évi 3,64MrdFt - 2. hitelc'!H40/1000,0)</f>
        <v>211674</v>
      </c>
      <c r="AB59" s="40">
        <f t="shared" si="30"/>
        <v>1393186</v>
      </c>
      <c r="AC59" s="52">
        <f>ROUND('2008. évi 3,64MrdFt - 2. hitelc'!H44/1000,0)</f>
        <v>196701</v>
      </c>
      <c r="AD59" s="40">
        <f t="shared" si="31"/>
        <v>1196485</v>
      </c>
      <c r="AE59" s="52">
        <f>ROUND('2008. évi 3,64MrdFt - 2. hitelc'!H48/1000,0)</f>
        <v>182241</v>
      </c>
      <c r="AF59" s="40">
        <f t="shared" si="32"/>
        <v>1014244</v>
      </c>
      <c r="AG59" s="52">
        <f>ROUND('2008. évi 3,64MrdFt - 2. hitelc'!H52/1000,0)</f>
        <v>166755</v>
      </c>
      <c r="AH59" s="40">
        <f t="shared" si="33"/>
        <v>847489</v>
      </c>
      <c r="AI59" s="52">
        <f>ROUND('2008. évi 3,64MrdFt - 2. hitelc'!H56/1000,0)</f>
        <v>151782</v>
      </c>
      <c r="AJ59" s="40">
        <f t="shared" si="34"/>
        <v>695707</v>
      </c>
      <c r="AK59" s="52">
        <f>ROUND('2008. évi 3,64MrdFt - 2. hitelc'!H60/1000,0)</f>
        <v>136810</v>
      </c>
      <c r="AL59" s="40">
        <f t="shared" si="35"/>
        <v>558897</v>
      </c>
      <c r="AM59" s="52">
        <f>ROUND('2008. évi 3,64MrdFt - 2. hitelc'!H64/1000,0)</f>
        <v>122185</v>
      </c>
      <c r="AN59" s="40">
        <f t="shared" si="36"/>
        <v>436712</v>
      </c>
      <c r="AO59" s="52">
        <f>ROUND('2008. évi 3,64MrdFt - 2. hitelc'!H68/1000,0)</f>
        <v>106864</v>
      </c>
      <c r="AP59" s="40">
        <f t="shared" si="37"/>
        <v>329848</v>
      </c>
      <c r="AQ59" s="52">
        <f>ROUND('2008. évi 3,64MrdFt - 2. hitelc'!H72/1000,0)</f>
        <v>91891</v>
      </c>
      <c r="AR59" s="40">
        <f t="shared" si="38"/>
        <v>237957</v>
      </c>
      <c r="AS59" s="51">
        <f>ROUND('2008. évi 3,64MrdFt - 2. hitelc'!H76/1000,0)</f>
        <v>76918</v>
      </c>
      <c r="AT59" s="40">
        <f t="shared" si="39"/>
        <v>161039</v>
      </c>
      <c r="AU59" s="51">
        <f>ROUND('2008. évi 3,64MrdFt - 2. hitelc'!H80/1000,0)</f>
        <v>62130</v>
      </c>
      <c r="AV59" s="40">
        <f t="shared" si="40"/>
        <v>98909</v>
      </c>
      <c r="AW59" s="51">
        <f>ROUND('2008. évi 3,64MrdFt - 2. hitelc'!H84/1000,0)</f>
        <v>46973</v>
      </c>
      <c r="AX59" s="40">
        <f t="shared" si="41"/>
        <v>51936</v>
      </c>
      <c r="AY59" s="51">
        <f>ROUND('2008. évi 3,64MrdFt - 2. hitelc'!H88/1000,0)</f>
        <v>32000</v>
      </c>
      <c r="AZ59" s="40">
        <f>BA59+BB59</f>
        <v>19936</v>
      </c>
      <c r="BA59" s="51">
        <f>ROUND('2008. évi 3,64MrdFt - 2. hitelc'!H92/1000,0)</f>
        <v>17027</v>
      </c>
      <c r="BB59" s="40">
        <f>BC59</f>
        <v>2909</v>
      </c>
      <c r="BC59" s="51">
        <f>ROUND('2008. évi 3,64MrdFt - 2. hitelc'!H94/1000,0)</f>
        <v>2909</v>
      </c>
      <c r="BD59" s="350"/>
    </row>
    <row r="60" spans="1:56" s="38" customFormat="1" ht="12.75">
      <c r="A60" s="15" t="s">
        <v>284</v>
      </c>
      <c r="B60" s="8"/>
      <c r="C60" s="37"/>
      <c r="D60" s="40"/>
      <c r="E60" s="35"/>
      <c r="F60" s="8"/>
      <c r="G60" s="35"/>
      <c r="H60" s="8"/>
      <c r="I60" s="35"/>
      <c r="J60" s="27"/>
      <c r="K60" s="37"/>
      <c r="L60" s="28">
        <v>0</v>
      </c>
      <c r="M60" s="37">
        <v>0</v>
      </c>
      <c r="N60" s="48">
        <f t="shared" si="23"/>
        <v>507595</v>
      </c>
      <c r="O60" s="37">
        <f>ROUND('2008. évi 760 MFt - 3. hitelc'!H10/1000,0)</f>
        <v>1525</v>
      </c>
      <c r="P60" s="12">
        <f t="shared" si="27"/>
        <v>506070</v>
      </c>
      <c r="Q60" s="52">
        <f>ROUND('2008. évi 760 MFt - 3. hitelc'!H15/1000,0)</f>
        <v>20950</v>
      </c>
      <c r="R60" s="28">
        <f t="shared" si="24"/>
        <v>485120</v>
      </c>
      <c r="S60" s="37">
        <f>ROUND('2008. évi 760 MFt - 3. hitelc'!H20/1000,0)</f>
        <v>37210</v>
      </c>
      <c r="T60" s="28">
        <f t="shared" si="25"/>
        <v>447910</v>
      </c>
      <c r="U60" s="37">
        <f>ROUND('2008. évi 760 MFt - 3. hitelc'!H24/1000,0)</f>
        <v>49155</v>
      </c>
      <c r="V60" s="28">
        <f t="shared" si="26"/>
        <v>398755</v>
      </c>
      <c r="W60" s="37">
        <f>ROUND('2008. évi 760 MFt - 3. hitelc'!H28/1000,0)</f>
        <v>46925</v>
      </c>
      <c r="X60" s="315">
        <f t="shared" si="28"/>
        <v>351830</v>
      </c>
      <c r="Y60" s="37">
        <f>ROUND('2008. évi 760 MFt - 3. hitelc'!H32/1000,0)</f>
        <v>43894</v>
      </c>
      <c r="Z60" s="40">
        <f t="shared" si="29"/>
        <v>307936</v>
      </c>
      <c r="AA60" s="52">
        <f>ROUND('2008. évi 760 MFt - 3. hitelc'!H36/1000,0)</f>
        <v>40995</v>
      </c>
      <c r="AB60" s="40">
        <f t="shared" si="30"/>
        <v>266941</v>
      </c>
      <c r="AC60" s="52">
        <f>ROUND('2008. évi 760 MFt - 3. hitelc'!H40/1000,0)</f>
        <v>38095</v>
      </c>
      <c r="AD60" s="40">
        <f t="shared" si="31"/>
        <v>228846</v>
      </c>
      <c r="AE60" s="52">
        <f>ROUND('2008. évi 760 MFt - 3. hitelc'!H44/1000,0)</f>
        <v>35295</v>
      </c>
      <c r="AF60" s="40">
        <f t="shared" si="32"/>
        <v>193551</v>
      </c>
      <c r="AG60" s="52">
        <f>ROUND('2008. évi 760 MFt - 3. hitelc'!H48/1000,0)</f>
        <v>32296</v>
      </c>
      <c r="AH60" s="40">
        <f t="shared" si="33"/>
        <v>161255</v>
      </c>
      <c r="AI60" s="52">
        <f>ROUND('2008. évi 760 MFt - 3. hitelc'!H52/1000,0)</f>
        <v>29397</v>
      </c>
      <c r="AJ60" s="40">
        <f t="shared" si="34"/>
        <v>131858</v>
      </c>
      <c r="AK60" s="52">
        <f>ROUND('2008. évi 760 MFt - 3. hitelc'!H56/1000,0)</f>
        <v>26497</v>
      </c>
      <c r="AL60" s="40">
        <f t="shared" si="35"/>
        <v>105361</v>
      </c>
      <c r="AM60" s="52">
        <f>ROUND('2008. évi 760 MFt - 3. hitelc'!H60/1000,0)</f>
        <v>23665</v>
      </c>
      <c r="AN60" s="40">
        <f t="shared" si="36"/>
        <v>81696</v>
      </c>
      <c r="AO60" s="52">
        <f>ROUND('2008. évi 760 MFt - 3. hitelc'!H68/1000,0)</f>
        <v>17798</v>
      </c>
      <c r="AP60" s="40">
        <f t="shared" si="37"/>
        <v>63898</v>
      </c>
      <c r="AQ60" s="52">
        <f>ROUND('2008. évi 760 MFt - 3. hitelc'!H68/1000,0)</f>
        <v>17798</v>
      </c>
      <c r="AR60" s="40">
        <f t="shared" si="38"/>
        <v>46100</v>
      </c>
      <c r="AS60" s="51">
        <f>ROUND('2008. évi 760 MFt - 3. hitelc'!H72/1000,0)</f>
        <v>14899</v>
      </c>
      <c r="AT60" s="40">
        <f t="shared" si="39"/>
        <v>31201</v>
      </c>
      <c r="AU60" s="51">
        <f>ROUND('2008. évi 760 MFt - 3. hitelc'!H76/1000,0)</f>
        <v>12035</v>
      </c>
      <c r="AV60" s="40">
        <f t="shared" si="40"/>
        <v>19166</v>
      </c>
      <c r="AW60" s="51">
        <f>ROUND('2008. évi 760 MFt - 3. hitelc'!H80/1000,0)</f>
        <v>9100</v>
      </c>
      <c r="AX60" s="40">
        <f t="shared" si="41"/>
        <v>10066</v>
      </c>
      <c r="AY60" s="51">
        <f>ROUND('2008. évi 760 MFt - 3. hitelc'!H84/1000,0)</f>
        <v>6200</v>
      </c>
      <c r="AZ60" s="40">
        <f>BA60+BB60</f>
        <v>3866</v>
      </c>
      <c r="BA60" s="51">
        <f>ROUND('2008. évi 760 MFt - 3. hitelc'!H88/1000,0)</f>
        <v>3301</v>
      </c>
      <c r="BB60" s="40">
        <f>BC60</f>
        <v>565</v>
      </c>
      <c r="BC60" s="51">
        <f>ROUND('2008. évi 760 MFt - 3. hitelc'!H90/1000,0)</f>
        <v>565</v>
      </c>
      <c r="BD60" s="350"/>
    </row>
    <row r="61" spans="1:56" s="38" customFormat="1" ht="12.75">
      <c r="A61" s="15" t="s">
        <v>285</v>
      </c>
      <c r="B61" s="8"/>
      <c r="C61" s="37"/>
      <c r="D61" s="40"/>
      <c r="E61" s="35"/>
      <c r="F61" s="8"/>
      <c r="G61" s="35"/>
      <c r="H61" s="8"/>
      <c r="I61" s="35"/>
      <c r="J61" s="27"/>
      <c r="K61" s="37"/>
      <c r="L61" s="28">
        <v>0</v>
      </c>
      <c r="M61" s="37">
        <v>0</v>
      </c>
      <c r="N61" s="48">
        <f t="shared" si="23"/>
        <v>2060143</v>
      </c>
      <c r="O61" s="37">
        <f>ROUND('2008. évi 3,25 mrdFt-8. hitelc'!H10/1000,0)</f>
        <v>0</v>
      </c>
      <c r="P61" s="12">
        <f t="shared" si="27"/>
        <v>2060143</v>
      </c>
      <c r="Q61" s="52">
        <f>ROUND('2008. évi 3,25 mrdFt-8. hitelc'!H16/1000,0)</f>
        <v>9020</v>
      </c>
      <c r="R61" s="28">
        <f t="shared" si="24"/>
        <v>2051123</v>
      </c>
      <c r="S61" s="37">
        <f>ROUND('2008. évi 3,25 mrdFt-8. hitelc'!H24/1000,0)</f>
        <v>123309</v>
      </c>
      <c r="T61" s="28">
        <f t="shared" si="25"/>
        <v>1927814</v>
      </c>
      <c r="U61" s="37">
        <f>ROUND('2008. évi 3,25 mrdFt-8. hitelc'!H28/1000,0)</f>
        <v>210204</v>
      </c>
      <c r="V61" s="28">
        <f t="shared" si="26"/>
        <v>1717610</v>
      </c>
      <c r="W61" s="37">
        <f>ROUND('2008. évi 3,25 mrdFt-8. hitelc'!H32/1000,0)</f>
        <v>200667</v>
      </c>
      <c r="X61" s="315">
        <f t="shared" si="28"/>
        <v>1516943</v>
      </c>
      <c r="Y61" s="37">
        <f>ROUND('2008. évi 3,25 mrdFt-8. hitelc'!H36/1000,0)</f>
        <v>187707</v>
      </c>
      <c r="Z61" s="40">
        <f t="shared" si="29"/>
        <v>1329236</v>
      </c>
      <c r="AA61" s="52">
        <f>ROUND('2008. évi 3,25 mrdFt-8. hitelc'!H40/1000,0)</f>
        <v>175307</v>
      </c>
      <c r="AB61" s="40">
        <f t="shared" si="30"/>
        <v>1153929</v>
      </c>
      <c r="AC61" s="52">
        <f>ROUND('2008. évi 3,25 mrdFt-8. hitelc'!H44/1000,0)</f>
        <v>162908</v>
      </c>
      <c r="AD61" s="40">
        <f t="shared" si="31"/>
        <v>991021</v>
      </c>
      <c r="AE61" s="52">
        <f>ROUND('2008. évi 3,25 mrdFt-8. hitelc'!H48/1000,0)</f>
        <v>150933</v>
      </c>
      <c r="AF61" s="40">
        <f t="shared" si="32"/>
        <v>840088</v>
      </c>
      <c r="AG61" s="52">
        <f>ROUND('2008. évi 3,25 mrdFt-8. hitelc'!H52/1000,0)</f>
        <v>138109</v>
      </c>
      <c r="AH61" s="40">
        <f t="shared" si="33"/>
        <v>701979</v>
      </c>
      <c r="AI61" s="52">
        <f>ROUND('2008. évi 3,25 mrdFt-8. hitelc'!H56/1000,0)</f>
        <v>125710</v>
      </c>
      <c r="AJ61" s="40">
        <f t="shared" si="34"/>
        <v>576269</v>
      </c>
      <c r="AK61" s="52">
        <f>ROUND('2008. évi 3,25 mrdFt-8. hitelc'!H60/1000,0)</f>
        <v>113310</v>
      </c>
      <c r="AL61" s="40">
        <f t="shared" si="35"/>
        <v>462959</v>
      </c>
      <c r="AM61" s="52">
        <f>ROUND('2008. évi 3,25 mrdFt-8. hitelc'!H64/1000,0)</f>
        <v>101199</v>
      </c>
      <c r="AN61" s="40">
        <f t="shared" si="36"/>
        <v>361760</v>
      </c>
      <c r="AO61" s="52">
        <f>ROUND('2008. évi 3,25 mrdFt-8. hitelc'!H68/1000,0)</f>
        <v>88511</v>
      </c>
      <c r="AP61" s="40">
        <f t="shared" si="37"/>
        <v>273249</v>
      </c>
      <c r="AQ61" s="52">
        <f>ROUND('2008. évi 3,25 mrdFt-8. hitelc'!H72/1000,0)</f>
        <v>76112</v>
      </c>
      <c r="AR61" s="40">
        <f t="shared" si="38"/>
        <v>197137</v>
      </c>
      <c r="AS61" s="51">
        <f>ROUND('2008. évi 3,25 mrdFt-8. hitelc'!H76/1000,0)</f>
        <v>63712</v>
      </c>
      <c r="AT61" s="40">
        <f t="shared" si="39"/>
        <v>133425</v>
      </c>
      <c r="AU61" s="51">
        <f>ROUND('2008. évi 3,25 mrdFt-8. hitelc'!H80/1000,0)</f>
        <v>51466</v>
      </c>
      <c r="AV61" s="40">
        <f t="shared" si="40"/>
        <v>81959</v>
      </c>
      <c r="AW61" s="51">
        <f>ROUND('2008. évi 3,25 mrdFt-8. hitelc'!H84/1000,0)</f>
        <v>38914</v>
      </c>
      <c r="AX61" s="40">
        <f t="shared" si="41"/>
        <v>43045</v>
      </c>
      <c r="AY61" s="51">
        <f>ROUND('2008. évi 3,25 mrdFt-8. hitelc'!H88/1000,0)</f>
        <v>26514</v>
      </c>
      <c r="AZ61" s="40">
        <f>BA61+BB61</f>
        <v>16531</v>
      </c>
      <c r="BA61" s="51">
        <f>ROUND('2008. évi 3,25 mrdFt-8. hitelc'!H92/1000,0)</f>
        <v>14115</v>
      </c>
      <c r="BB61" s="40">
        <f>BC61</f>
        <v>2416</v>
      </c>
      <c r="BC61" s="51">
        <f>ROUND('2008. évi 3,25 mrdFt-8. hitelc'!H94/1000,0)</f>
        <v>2416</v>
      </c>
      <c r="BD61" s="350"/>
    </row>
    <row r="62" spans="1:56" s="38" customFormat="1" ht="12.75">
      <c r="A62" s="15" t="s">
        <v>286</v>
      </c>
      <c r="B62" s="8"/>
      <c r="C62" s="37"/>
      <c r="D62" s="40"/>
      <c r="E62" s="35"/>
      <c r="F62" s="8"/>
      <c r="G62" s="35"/>
      <c r="H62" s="8"/>
      <c r="I62" s="35"/>
      <c r="J62" s="27"/>
      <c r="K62" s="37"/>
      <c r="L62" s="28">
        <v>0</v>
      </c>
      <c r="M62" s="37">
        <v>0</v>
      </c>
      <c r="N62" s="48">
        <f t="shared" si="23"/>
        <v>903831</v>
      </c>
      <c r="O62" s="37">
        <f>ROUND('2008. évi 1,35 mrd Ft Bérlakás'!H10/1000,0)</f>
        <v>0</v>
      </c>
      <c r="P62" s="12">
        <f>Q62+R62</f>
        <v>903831</v>
      </c>
      <c r="Q62" s="52">
        <f>ROUND('2008. évi 1,35 mrd Ft Bérlakás'!H18/1000,0)</f>
        <v>23587</v>
      </c>
      <c r="R62" s="28">
        <f t="shared" si="24"/>
        <v>880244</v>
      </c>
      <c r="S62" s="37">
        <f>ROUND('2008. évi 1,35 mrd Ft Bérlakás'!H24/1000,0)</f>
        <v>79461</v>
      </c>
      <c r="T62" s="28">
        <f t="shared" si="25"/>
        <v>800783</v>
      </c>
      <c r="U62" s="37">
        <f>ROUND('2008. évi 1,35 mrd Ft Bérlakás'!H28/1000,0)</f>
        <v>87315</v>
      </c>
      <c r="V62" s="28">
        <f t="shared" si="26"/>
        <v>713468</v>
      </c>
      <c r="W62" s="37">
        <f>ROUND('2008. évi 1,35 mrd Ft Bérlakás'!H32/1000,0)</f>
        <v>83354</v>
      </c>
      <c r="X62" s="315">
        <f t="shared" si="28"/>
        <v>630114</v>
      </c>
      <c r="Y62" s="37">
        <f>ROUND('2008. évi 1,35 mrd Ft Bérlakás'!H36/1000,0)</f>
        <v>77970</v>
      </c>
      <c r="Z62" s="40">
        <f t="shared" si="29"/>
        <v>552144</v>
      </c>
      <c r="AA62" s="52">
        <f>ROUND('2008. évi 1,35 mrd Ft Bérlakás'!H40/1000,0)</f>
        <v>72820</v>
      </c>
      <c r="AB62" s="40">
        <f t="shared" si="30"/>
        <v>479324</v>
      </c>
      <c r="AC62" s="52">
        <f>ROUND('2008. évi 1,35 mrd Ft Bérlakás'!H44/1000,0)</f>
        <v>67669</v>
      </c>
      <c r="AD62" s="40">
        <f t="shared" si="31"/>
        <v>411655</v>
      </c>
      <c r="AE62" s="52">
        <f>ROUND('2008. évi 1,35 mrd Ft Bérlakás'!H48/1000,0)</f>
        <v>62695</v>
      </c>
      <c r="AF62" s="40">
        <f t="shared" si="32"/>
        <v>348960</v>
      </c>
      <c r="AG62" s="52">
        <f>ROUND('2008. évi 1,35 mrd Ft Bérlakás'!H52/1000,0)</f>
        <v>57368</v>
      </c>
      <c r="AH62" s="40">
        <f t="shared" si="33"/>
        <v>291592</v>
      </c>
      <c r="AI62" s="52">
        <f>ROUND('2008. évi 1,35 mrd Ft Bérlakás'!H56/1000,0)</f>
        <v>52218</v>
      </c>
      <c r="AJ62" s="40">
        <f t="shared" si="34"/>
        <v>239374</v>
      </c>
      <c r="AK62" s="52">
        <f>ROUND('2008. évi 1,35 mrd Ft Bérlakás'!H60/1000,0)</f>
        <v>47067</v>
      </c>
      <c r="AL62" s="40">
        <f t="shared" si="35"/>
        <v>192307</v>
      </c>
      <c r="AM62" s="52">
        <f>ROUND('2008. évi 1,35 mrd Ft Bérlakás'!H64/1000,0)</f>
        <v>42037</v>
      </c>
      <c r="AN62" s="40">
        <f t="shared" si="36"/>
        <v>150270</v>
      </c>
      <c r="AO62" s="52">
        <f>ROUND('2008. évi 1,35 mrd Ft Bérlakás'!H68/1000,0)</f>
        <v>36766</v>
      </c>
      <c r="AP62" s="40">
        <f t="shared" si="37"/>
        <v>113504</v>
      </c>
      <c r="AQ62" s="52">
        <f>ROUND('2008. évi 1,35 mrd Ft Bérlakás'!H72/1000,0)</f>
        <v>31616</v>
      </c>
      <c r="AR62" s="40">
        <f t="shared" si="38"/>
        <v>81888</v>
      </c>
      <c r="AS62" s="51">
        <f>ROUND('2008. évi 1,35 mrd Ft Bérlakás'!H76/1000,0)</f>
        <v>26465</v>
      </c>
      <c r="AT62" s="40">
        <f t="shared" si="39"/>
        <v>55423</v>
      </c>
      <c r="AU62" s="51">
        <f>ROUND('2008. évi 1,35 mrd Ft Bérlakás'!H80/1000,0)</f>
        <v>21378</v>
      </c>
      <c r="AV62" s="40">
        <f t="shared" si="40"/>
        <v>34045</v>
      </c>
      <c r="AW62" s="51">
        <f>ROUND('2008. évi 1,35 mrd Ft Bérlakás'!H84/1000,0)</f>
        <v>16164</v>
      </c>
      <c r="AX62" s="40">
        <f t="shared" si="41"/>
        <v>17881</v>
      </c>
      <c r="AY62" s="51">
        <f>ROUND('2008. évi 1,35 mrd Ft Bérlakás'!H88/1000,0)</f>
        <v>11014</v>
      </c>
      <c r="AZ62" s="40">
        <f>BA62+BB62</f>
        <v>6867</v>
      </c>
      <c r="BA62" s="51">
        <f>ROUND('2008. évi 1,35 mrd Ft Bérlakás'!H92/1000,0)</f>
        <v>5863</v>
      </c>
      <c r="BB62" s="40">
        <f>BC62</f>
        <v>1004</v>
      </c>
      <c r="BC62" s="51">
        <f>ROUND('2008. évi 1,35 mrd Ft Bérlakás'!H94/1000,0)</f>
        <v>1004</v>
      </c>
      <c r="BD62" s="350"/>
    </row>
    <row r="63" spans="1:56" s="38" customFormat="1" ht="12.75">
      <c r="A63" s="15" t="s">
        <v>292</v>
      </c>
      <c r="B63" s="8"/>
      <c r="C63" s="37"/>
      <c r="D63" s="40"/>
      <c r="E63" s="35"/>
      <c r="F63" s="8"/>
      <c r="G63" s="35"/>
      <c r="H63" s="8"/>
      <c r="I63" s="35"/>
      <c r="J63" s="27"/>
      <c r="K63" s="37"/>
      <c r="L63" s="28"/>
      <c r="M63" s="37"/>
      <c r="N63" s="48">
        <v>217</v>
      </c>
      <c r="O63" s="37">
        <v>217</v>
      </c>
      <c r="P63" s="13" t="s">
        <v>35</v>
      </c>
      <c r="Q63" s="14" t="s">
        <v>35</v>
      </c>
      <c r="R63" s="13" t="s">
        <v>35</v>
      </c>
      <c r="S63" s="14" t="s">
        <v>35</v>
      </c>
      <c r="T63" s="13" t="s">
        <v>35</v>
      </c>
      <c r="U63" s="14" t="s">
        <v>35</v>
      </c>
      <c r="V63" s="13" t="s">
        <v>35</v>
      </c>
      <c r="W63" s="14" t="s">
        <v>35</v>
      </c>
      <c r="X63" s="13" t="s">
        <v>35</v>
      </c>
      <c r="Y63" s="14" t="s">
        <v>35</v>
      </c>
      <c r="Z63" s="13" t="s">
        <v>35</v>
      </c>
      <c r="AA63" s="14" t="s">
        <v>35</v>
      </c>
      <c r="AB63" s="13" t="s">
        <v>35</v>
      </c>
      <c r="AC63" s="14" t="s">
        <v>35</v>
      </c>
      <c r="AD63" s="13" t="s">
        <v>35</v>
      </c>
      <c r="AE63" s="14" t="s">
        <v>35</v>
      </c>
      <c r="AF63" s="13" t="s">
        <v>35</v>
      </c>
      <c r="AG63" s="14" t="s">
        <v>35</v>
      </c>
      <c r="AH63" s="13" t="s">
        <v>35</v>
      </c>
      <c r="AI63" s="14" t="s">
        <v>35</v>
      </c>
      <c r="AJ63" s="13" t="s">
        <v>35</v>
      </c>
      <c r="AK63" s="14" t="s">
        <v>35</v>
      </c>
      <c r="AL63" s="13" t="s">
        <v>35</v>
      </c>
      <c r="AM63" s="14" t="s">
        <v>35</v>
      </c>
      <c r="AN63" s="13" t="s">
        <v>35</v>
      </c>
      <c r="AO63" s="14" t="s">
        <v>35</v>
      </c>
      <c r="AP63" s="13" t="s">
        <v>35</v>
      </c>
      <c r="AQ63" s="14" t="s">
        <v>35</v>
      </c>
      <c r="AR63" s="13" t="s">
        <v>35</v>
      </c>
      <c r="AS63" s="14" t="s">
        <v>35</v>
      </c>
      <c r="AT63" s="13" t="s">
        <v>35</v>
      </c>
      <c r="AU63" s="14" t="s">
        <v>35</v>
      </c>
      <c r="AV63" s="13" t="s">
        <v>35</v>
      </c>
      <c r="AW63" s="14" t="s">
        <v>35</v>
      </c>
      <c r="AX63" s="13" t="s">
        <v>35</v>
      </c>
      <c r="AY63" s="14" t="s">
        <v>35</v>
      </c>
      <c r="AZ63" s="13" t="s">
        <v>35</v>
      </c>
      <c r="BA63" s="14" t="s">
        <v>35</v>
      </c>
      <c r="BB63" s="13" t="s">
        <v>35</v>
      </c>
      <c r="BC63" s="14" t="s">
        <v>35</v>
      </c>
      <c r="BD63" s="350"/>
    </row>
    <row r="64" spans="1:56" s="38" customFormat="1" ht="13.5" thickBot="1">
      <c r="A64" s="15" t="s">
        <v>282</v>
      </c>
      <c r="B64" s="8"/>
      <c r="C64" s="37"/>
      <c r="D64" s="40"/>
      <c r="E64" s="35"/>
      <c r="F64" s="8"/>
      <c r="G64" s="35"/>
      <c r="H64" s="8"/>
      <c r="I64" s="35"/>
      <c r="J64" s="27"/>
      <c r="K64" s="37"/>
      <c r="L64" s="28">
        <v>0</v>
      </c>
      <c r="M64" s="37">
        <v>0</v>
      </c>
      <c r="N64" s="48">
        <f t="shared" si="23"/>
        <v>2842022</v>
      </c>
      <c r="O64" s="37">
        <f>ROUND('kötvény 5,2 Mrd Ft'!AB10/1000,0)</f>
        <v>180639</v>
      </c>
      <c r="P64" s="12">
        <f>Q64+R64</f>
        <v>2661383</v>
      </c>
      <c r="Q64" s="52">
        <f>ROUND('kötvény 5,2 Mrd Ft'!AB12/1000,0)</f>
        <v>240090</v>
      </c>
      <c r="R64" s="28">
        <f>S64+T64</f>
        <v>2421293</v>
      </c>
      <c r="S64" s="37">
        <f>ROUND('kötvény 5,2 Mrd Ft'!AB14/1000,0)</f>
        <v>240090</v>
      </c>
      <c r="T64" s="28">
        <f>U64+V64</f>
        <v>2181203</v>
      </c>
      <c r="U64" s="37">
        <f>ROUND('kötvény 5,2 Mrd Ft'!AB16/1000,0)</f>
        <v>240090</v>
      </c>
      <c r="V64" s="28">
        <f>W64+X64</f>
        <v>1941113</v>
      </c>
      <c r="W64" s="37">
        <f>ROUND('kötvény 5,2 Mrd Ft'!AB18/1000,0)</f>
        <v>226784</v>
      </c>
      <c r="X64" s="315">
        <f>SUM(Y64:Z64)</f>
        <v>1714329</v>
      </c>
      <c r="Y64" s="37">
        <f>ROUND('kötvény 5,2 Mrd Ft'!AB20/1000,0)</f>
        <v>212240</v>
      </c>
      <c r="Z64" s="40">
        <f>AA64+AB64</f>
        <v>1502089</v>
      </c>
      <c r="AA64" s="52">
        <f>ROUND('kötvény 5,2 Mrd Ft'!AB22/1000,0)</f>
        <v>198314</v>
      </c>
      <c r="AB64" s="40">
        <f>AC64+AD64</f>
        <v>1303775</v>
      </c>
      <c r="AC64" s="52">
        <f>ROUND('kötvény 5,2 Mrd Ft'!AB24/1000,0)</f>
        <v>184389</v>
      </c>
      <c r="AD64" s="40">
        <f>AE64+AF64</f>
        <v>1119386</v>
      </c>
      <c r="AE64" s="52">
        <f>ROUND('kötvény 5,2 Mrd Ft'!AB26/1000,0)</f>
        <v>170931</v>
      </c>
      <c r="AF64" s="40">
        <f>AG64+AH64</f>
        <v>948455</v>
      </c>
      <c r="AG64" s="52">
        <f>ROUND('kötvény 5,2 Mrd Ft'!AB28/1000,0)</f>
        <v>156539</v>
      </c>
      <c r="AH64" s="40">
        <f>AI64+AJ64</f>
        <v>791916</v>
      </c>
      <c r="AI64" s="52">
        <f>ROUND('kötvény 5,2 Mrd Ft'!AB30/1000,0)</f>
        <v>142613</v>
      </c>
      <c r="AJ64" s="40">
        <f>AK64+AL64</f>
        <v>649303</v>
      </c>
      <c r="AK64" s="52">
        <f>ROUND('kötvény 5,2 Mrd Ft'!AB32/1000,0)</f>
        <v>128688</v>
      </c>
      <c r="AL64" s="40">
        <f>AM64+AN64</f>
        <v>520615</v>
      </c>
      <c r="AM64" s="52">
        <f>ROUND('kötvény 5,2 Mrd Ft'!AB34/1000,0)</f>
        <v>115077</v>
      </c>
      <c r="AN64" s="40">
        <f>AO64+AP64</f>
        <v>405538</v>
      </c>
      <c r="AO64" s="52">
        <f>ROUND('kötvény 5,2 Mrd Ft'!AB36/1000,0)</f>
        <v>100838</v>
      </c>
      <c r="AP64" s="40">
        <f t="shared" si="37"/>
        <v>304700</v>
      </c>
      <c r="AQ64" s="52">
        <f>ROUND('kötvény 5,2 Mrd Ft'!AB38/1000,0)</f>
        <v>86913</v>
      </c>
      <c r="AR64" s="40">
        <f t="shared" si="38"/>
        <v>217787</v>
      </c>
      <c r="AS64" s="51">
        <f>ROUND('kötvény 5,2 Mrd Ft'!AB40/1000,0)</f>
        <v>72987</v>
      </c>
      <c r="AT64" s="40">
        <f t="shared" si="39"/>
        <v>144800</v>
      </c>
      <c r="AU64" s="51">
        <f>ROUND('kötvény 5,2 Mrd Ft'!AB42/1000,0)</f>
        <v>59224</v>
      </c>
      <c r="AV64" s="40">
        <f t="shared" si="40"/>
        <v>85576</v>
      </c>
      <c r="AW64" s="51">
        <f>ROUND('kötvény 5,2 Mrd Ft'!AB44/1000,0)</f>
        <v>45137</v>
      </c>
      <c r="AX64" s="40">
        <f t="shared" si="41"/>
        <v>40439</v>
      </c>
      <c r="AY64" s="51">
        <f>ROUND('kötvény 5,2 Mrd Ft'!AB46/1000,0)</f>
        <v>31212</v>
      </c>
      <c r="AZ64" s="40">
        <f>BA64</f>
        <v>9227</v>
      </c>
      <c r="BA64" s="51">
        <f>ROUND('kötvény 5,2 Mrd Ft'!AB49/1000,0)</f>
        <v>9227</v>
      </c>
      <c r="BB64" s="346" t="s">
        <v>35</v>
      </c>
      <c r="BC64" s="14" t="s">
        <v>35</v>
      </c>
      <c r="BD64" s="350"/>
    </row>
    <row r="65" spans="1:56" ht="13.5" thickTop="1">
      <c r="A65" s="10" t="s">
        <v>124</v>
      </c>
      <c r="B65" s="11">
        <f aca="true" t="shared" si="42" ref="B65:I65">SUM(B36:B49)</f>
        <v>394428</v>
      </c>
      <c r="C65" s="2">
        <f t="shared" si="42"/>
        <v>94400</v>
      </c>
      <c r="D65" s="11">
        <f t="shared" si="42"/>
        <v>719153</v>
      </c>
      <c r="E65" s="2">
        <f t="shared" si="42"/>
        <v>124416</v>
      </c>
      <c r="F65" s="29">
        <f t="shared" si="42"/>
        <v>730645</v>
      </c>
      <c r="G65" s="2">
        <f t="shared" si="42"/>
        <v>236209</v>
      </c>
      <c r="H65" s="29">
        <f t="shared" si="42"/>
        <v>1052827</v>
      </c>
      <c r="I65" s="2">
        <f t="shared" si="42"/>
        <v>166022</v>
      </c>
      <c r="J65" s="29">
        <f>SUM(J36:J58)</f>
        <v>886805</v>
      </c>
      <c r="K65" s="2">
        <f>SUM(K36:K58)</f>
        <v>175330</v>
      </c>
      <c r="L65" s="29">
        <f>SUM(L36:L64)</f>
        <v>2259525</v>
      </c>
      <c r="M65" s="2">
        <f aca="true" t="shared" si="43" ref="M65:BA65">SUM(M36:M64)</f>
        <v>242081</v>
      </c>
      <c r="N65" s="29">
        <f t="shared" si="43"/>
        <v>10966869</v>
      </c>
      <c r="O65" s="2">
        <f t="shared" si="43"/>
        <v>389265</v>
      </c>
      <c r="P65" s="29">
        <f t="shared" si="43"/>
        <v>10577604</v>
      </c>
      <c r="Q65" s="2">
        <f t="shared" si="43"/>
        <v>614941</v>
      </c>
      <c r="R65" s="29">
        <f t="shared" si="43"/>
        <v>9962663</v>
      </c>
      <c r="S65" s="2">
        <f t="shared" si="43"/>
        <v>874545</v>
      </c>
      <c r="T65" s="29">
        <f t="shared" si="43"/>
        <v>9088118</v>
      </c>
      <c r="U65" s="2">
        <f t="shared" si="43"/>
        <v>1028578</v>
      </c>
      <c r="V65" s="29">
        <f t="shared" si="43"/>
        <v>8059540</v>
      </c>
      <c r="W65" s="2">
        <f t="shared" si="43"/>
        <v>974318</v>
      </c>
      <c r="X65" s="29">
        <f t="shared" si="43"/>
        <v>7085222</v>
      </c>
      <c r="Y65" s="2">
        <f t="shared" si="43"/>
        <v>908168</v>
      </c>
      <c r="Z65" s="29">
        <f t="shared" si="43"/>
        <v>6177054</v>
      </c>
      <c r="AA65" s="2">
        <f t="shared" si="43"/>
        <v>844894</v>
      </c>
      <c r="AB65" s="29">
        <f t="shared" si="43"/>
        <v>5332160</v>
      </c>
      <c r="AC65" s="2">
        <f t="shared" si="43"/>
        <v>781901</v>
      </c>
      <c r="AD65" s="29">
        <f t="shared" si="43"/>
        <v>4550259</v>
      </c>
      <c r="AE65" s="2">
        <f t="shared" si="43"/>
        <v>720910</v>
      </c>
      <c r="AF65" s="29">
        <f t="shared" si="43"/>
        <v>3829349</v>
      </c>
      <c r="AG65" s="2">
        <f t="shared" si="43"/>
        <v>655912</v>
      </c>
      <c r="AH65" s="29">
        <f t="shared" si="43"/>
        <v>3173437</v>
      </c>
      <c r="AI65" s="2">
        <f t="shared" si="43"/>
        <v>592753</v>
      </c>
      <c r="AJ65" s="29">
        <f t="shared" si="43"/>
        <v>2580684</v>
      </c>
      <c r="AK65" s="2">
        <f t="shared" si="43"/>
        <v>529263</v>
      </c>
      <c r="AL65" s="29">
        <f t="shared" si="43"/>
        <v>2051421</v>
      </c>
      <c r="AM65" s="2">
        <f t="shared" si="43"/>
        <v>467585</v>
      </c>
      <c r="AN65" s="29">
        <f t="shared" si="43"/>
        <v>1583836</v>
      </c>
      <c r="AO65" s="2">
        <f t="shared" si="43"/>
        <v>397695</v>
      </c>
      <c r="AP65" s="29">
        <f t="shared" si="43"/>
        <v>1186141</v>
      </c>
      <c r="AQ65" s="2">
        <f t="shared" si="43"/>
        <v>340093</v>
      </c>
      <c r="AR65" s="29">
        <f t="shared" si="43"/>
        <v>846048</v>
      </c>
      <c r="AS65" s="2">
        <f t="shared" si="43"/>
        <v>282343</v>
      </c>
      <c r="AT65" s="29">
        <f t="shared" si="43"/>
        <v>563705</v>
      </c>
      <c r="AU65" s="2">
        <f t="shared" si="43"/>
        <v>225448</v>
      </c>
      <c r="AV65" s="29">
        <f t="shared" si="43"/>
        <v>338257</v>
      </c>
      <c r="AW65" s="2">
        <f t="shared" si="43"/>
        <v>167547</v>
      </c>
      <c r="AX65" s="29">
        <f t="shared" si="43"/>
        <v>170710</v>
      </c>
      <c r="AY65" s="2">
        <f t="shared" si="43"/>
        <v>112841</v>
      </c>
      <c r="AZ65" s="29">
        <f t="shared" si="43"/>
        <v>57869</v>
      </c>
      <c r="BA65" s="2">
        <f t="shared" si="43"/>
        <v>50975</v>
      </c>
      <c r="BB65" s="29">
        <f>SUM(BB36:BB64)</f>
        <v>6894</v>
      </c>
      <c r="BC65" s="2">
        <f>SUM(BC36:BC64)</f>
        <v>6894</v>
      </c>
      <c r="BD65" s="38"/>
    </row>
    <row r="66" spans="1:55" ht="12.75" customHeight="1" hidden="1">
      <c r="A66" s="5" t="s">
        <v>64</v>
      </c>
      <c r="B66" s="8">
        <f aca="true" t="shared" si="44" ref="B66:M66">B6+B36</f>
        <v>151088</v>
      </c>
      <c r="C66" s="16">
        <f t="shared" si="44"/>
        <v>49644</v>
      </c>
      <c r="D66" s="8">
        <f t="shared" si="44"/>
        <v>101444</v>
      </c>
      <c r="E66" s="16">
        <f t="shared" si="44"/>
        <v>18982</v>
      </c>
      <c r="F66" s="8">
        <f t="shared" si="44"/>
        <v>82462</v>
      </c>
      <c r="G66" s="16">
        <f t="shared" si="44"/>
        <v>20443</v>
      </c>
      <c r="H66" s="8">
        <f t="shared" si="44"/>
        <v>62019</v>
      </c>
      <c r="I66" s="16">
        <f t="shared" si="44"/>
        <v>16875</v>
      </c>
      <c r="J66" s="27">
        <f t="shared" si="44"/>
        <v>45144</v>
      </c>
      <c r="K66" s="16">
        <f t="shared" si="44"/>
        <v>15536</v>
      </c>
      <c r="L66" s="442">
        <f t="shared" si="44"/>
        <v>29608</v>
      </c>
      <c r="M66" s="443">
        <f t="shared" si="44"/>
        <v>29608</v>
      </c>
      <c r="N66" s="13" t="s">
        <v>35</v>
      </c>
      <c r="O66" s="14" t="s">
        <v>35</v>
      </c>
      <c r="P66" s="13" t="s">
        <v>35</v>
      </c>
      <c r="Q66" s="14" t="s">
        <v>35</v>
      </c>
      <c r="R66" s="20" t="s">
        <v>35</v>
      </c>
      <c r="S66" s="24" t="s">
        <v>35</v>
      </c>
      <c r="T66" s="39" t="s">
        <v>35</v>
      </c>
      <c r="U66" s="24" t="s">
        <v>35</v>
      </c>
      <c r="V66" s="20" t="s">
        <v>35</v>
      </c>
      <c r="W66" s="24" t="s">
        <v>35</v>
      </c>
      <c r="X66" s="39" t="s">
        <v>35</v>
      </c>
      <c r="Y66" s="24" t="s">
        <v>35</v>
      </c>
      <c r="Z66" s="13" t="s">
        <v>35</v>
      </c>
      <c r="AA66" s="14" t="s">
        <v>35</v>
      </c>
      <c r="AB66" s="13" t="s">
        <v>35</v>
      </c>
      <c r="AC66" s="14" t="s">
        <v>35</v>
      </c>
      <c r="AD66" s="13" t="s">
        <v>35</v>
      </c>
      <c r="AE66" s="14" t="s">
        <v>35</v>
      </c>
      <c r="AF66" s="13" t="s">
        <v>35</v>
      </c>
      <c r="AG66" s="14" t="s">
        <v>35</v>
      </c>
      <c r="AH66" s="13" t="s">
        <v>35</v>
      </c>
      <c r="AI66" s="14" t="s">
        <v>35</v>
      </c>
      <c r="AJ66" s="13" t="s">
        <v>35</v>
      </c>
      <c r="AK66" s="14" t="s">
        <v>35</v>
      </c>
      <c r="AL66" s="13" t="s">
        <v>35</v>
      </c>
      <c r="AM66" s="14" t="s">
        <v>35</v>
      </c>
      <c r="AN66" s="13" t="s">
        <v>35</v>
      </c>
      <c r="AO66" s="14" t="s">
        <v>35</v>
      </c>
      <c r="AP66" s="13" t="s">
        <v>35</v>
      </c>
      <c r="AQ66" s="14" t="s">
        <v>35</v>
      </c>
      <c r="AR66" s="13" t="s">
        <v>35</v>
      </c>
      <c r="AS66" s="14" t="s">
        <v>35</v>
      </c>
      <c r="AT66" s="13" t="s">
        <v>35</v>
      </c>
      <c r="AU66" s="14" t="s">
        <v>35</v>
      </c>
      <c r="AV66" s="13" t="s">
        <v>35</v>
      </c>
      <c r="AW66" s="14" t="s">
        <v>35</v>
      </c>
      <c r="AX66" s="13" t="s">
        <v>35</v>
      </c>
      <c r="AY66" s="14" t="s">
        <v>35</v>
      </c>
      <c r="AZ66" s="13" t="s">
        <v>35</v>
      </c>
      <c r="BA66" s="14" t="s">
        <v>35</v>
      </c>
      <c r="BB66" s="13" t="s">
        <v>35</v>
      </c>
      <c r="BC66" s="14" t="s">
        <v>35</v>
      </c>
    </row>
    <row r="67" spans="1:55" ht="12.75" hidden="1">
      <c r="A67" s="5" t="s">
        <v>65</v>
      </c>
      <c r="B67" s="8">
        <f aca="true" t="shared" si="45" ref="B67:M67">B7+B37</f>
        <v>173537</v>
      </c>
      <c r="C67" s="16">
        <f t="shared" si="45"/>
        <v>51242</v>
      </c>
      <c r="D67" s="8">
        <f t="shared" si="45"/>
        <v>122295</v>
      </c>
      <c r="E67" s="16">
        <f t="shared" si="45"/>
        <v>23252</v>
      </c>
      <c r="F67" s="8">
        <f t="shared" si="45"/>
        <v>99043</v>
      </c>
      <c r="G67" s="16">
        <f t="shared" si="45"/>
        <v>25011</v>
      </c>
      <c r="H67" s="8">
        <f t="shared" si="45"/>
        <v>74032</v>
      </c>
      <c r="I67" s="16">
        <f t="shared" si="45"/>
        <v>20635</v>
      </c>
      <c r="J67" s="27">
        <f t="shared" si="45"/>
        <v>53397</v>
      </c>
      <c r="K67" s="16">
        <f t="shared" si="45"/>
        <v>19018</v>
      </c>
      <c r="L67" s="27">
        <f t="shared" si="45"/>
        <v>34379</v>
      </c>
      <c r="M67" s="16">
        <f t="shared" si="45"/>
        <v>34379</v>
      </c>
      <c r="N67" s="13" t="s">
        <v>35</v>
      </c>
      <c r="O67" s="14" t="s">
        <v>35</v>
      </c>
      <c r="P67" s="13" t="s">
        <v>35</v>
      </c>
      <c r="Q67" s="14" t="s">
        <v>35</v>
      </c>
      <c r="R67" s="13" t="s">
        <v>35</v>
      </c>
      <c r="S67" s="14" t="s">
        <v>35</v>
      </c>
      <c r="T67" s="13" t="s">
        <v>35</v>
      </c>
      <c r="U67" s="14" t="s">
        <v>35</v>
      </c>
      <c r="V67" s="13" t="s">
        <v>35</v>
      </c>
      <c r="W67" s="14" t="s">
        <v>35</v>
      </c>
      <c r="X67" s="13" t="s">
        <v>35</v>
      </c>
      <c r="Y67" s="14" t="s">
        <v>35</v>
      </c>
      <c r="Z67" s="13" t="s">
        <v>35</v>
      </c>
      <c r="AA67" s="14" t="s">
        <v>35</v>
      </c>
      <c r="AB67" s="13" t="s">
        <v>35</v>
      </c>
      <c r="AC67" s="14" t="s">
        <v>35</v>
      </c>
      <c r="AD67" s="13" t="s">
        <v>35</v>
      </c>
      <c r="AE67" s="14" t="s">
        <v>35</v>
      </c>
      <c r="AF67" s="13" t="s">
        <v>35</v>
      </c>
      <c r="AG67" s="14" t="s">
        <v>35</v>
      </c>
      <c r="AH67" s="13" t="s">
        <v>35</v>
      </c>
      <c r="AI67" s="14" t="s">
        <v>35</v>
      </c>
      <c r="AJ67" s="13" t="s">
        <v>35</v>
      </c>
      <c r="AK67" s="14" t="s">
        <v>35</v>
      </c>
      <c r="AL67" s="13" t="s">
        <v>35</v>
      </c>
      <c r="AM67" s="14" t="s">
        <v>35</v>
      </c>
      <c r="AN67" s="13" t="s">
        <v>35</v>
      </c>
      <c r="AO67" s="14" t="s">
        <v>35</v>
      </c>
      <c r="AP67" s="13" t="s">
        <v>35</v>
      </c>
      <c r="AQ67" s="14" t="s">
        <v>35</v>
      </c>
      <c r="AR67" s="13" t="s">
        <v>35</v>
      </c>
      <c r="AS67" s="14" t="s">
        <v>35</v>
      </c>
      <c r="AT67" s="13" t="s">
        <v>35</v>
      </c>
      <c r="AU67" s="14" t="s">
        <v>35</v>
      </c>
      <c r="AV67" s="13" t="s">
        <v>35</v>
      </c>
      <c r="AW67" s="14" t="s">
        <v>35</v>
      </c>
      <c r="AX67" s="13" t="s">
        <v>35</v>
      </c>
      <c r="AY67" s="14" t="s">
        <v>35</v>
      </c>
      <c r="AZ67" s="13" t="s">
        <v>35</v>
      </c>
      <c r="BA67" s="14" t="s">
        <v>35</v>
      </c>
      <c r="BB67" s="13" t="s">
        <v>35</v>
      </c>
      <c r="BC67" s="14" t="s">
        <v>35</v>
      </c>
    </row>
    <row r="68" spans="1:55" ht="12.75" hidden="1">
      <c r="A68" s="15" t="s">
        <v>202</v>
      </c>
      <c r="B68" s="8">
        <f aca="true" t="shared" si="46" ref="B68:M68">B8+B38</f>
        <v>204088</v>
      </c>
      <c r="C68" s="16">
        <f t="shared" si="46"/>
        <v>80182</v>
      </c>
      <c r="D68" s="8">
        <f t="shared" si="46"/>
        <v>123906</v>
      </c>
      <c r="E68" s="16">
        <f t="shared" si="46"/>
        <v>27851</v>
      </c>
      <c r="F68" s="8">
        <f t="shared" si="46"/>
        <v>96055</v>
      </c>
      <c r="G68" s="16">
        <f t="shared" si="46"/>
        <v>28720</v>
      </c>
      <c r="H68" s="8">
        <f t="shared" si="46"/>
        <v>67335</v>
      </c>
      <c r="I68" s="16">
        <f t="shared" si="46"/>
        <v>24099</v>
      </c>
      <c r="J68" s="27">
        <f t="shared" si="46"/>
        <v>43236</v>
      </c>
      <c r="K68" s="16">
        <f t="shared" si="46"/>
        <v>22225</v>
      </c>
      <c r="L68" s="27">
        <f t="shared" si="46"/>
        <v>21011</v>
      </c>
      <c r="M68" s="16">
        <f t="shared" si="46"/>
        <v>21011</v>
      </c>
      <c r="N68" s="13" t="s">
        <v>35</v>
      </c>
      <c r="O68" s="14" t="s">
        <v>35</v>
      </c>
      <c r="P68" s="13" t="s">
        <v>35</v>
      </c>
      <c r="Q68" s="14" t="s">
        <v>35</v>
      </c>
      <c r="R68" s="13" t="s">
        <v>35</v>
      </c>
      <c r="S68" s="14" t="s">
        <v>35</v>
      </c>
      <c r="T68" s="13" t="s">
        <v>35</v>
      </c>
      <c r="U68" s="14" t="s">
        <v>35</v>
      </c>
      <c r="V68" s="13" t="s">
        <v>35</v>
      </c>
      <c r="W68" s="14" t="s">
        <v>35</v>
      </c>
      <c r="X68" s="13" t="s">
        <v>35</v>
      </c>
      <c r="Y68" s="14" t="s">
        <v>35</v>
      </c>
      <c r="Z68" s="13" t="s">
        <v>35</v>
      </c>
      <c r="AA68" s="14" t="s">
        <v>35</v>
      </c>
      <c r="AB68" s="13" t="s">
        <v>35</v>
      </c>
      <c r="AC68" s="14" t="s">
        <v>35</v>
      </c>
      <c r="AD68" s="13" t="s">
        <v>35</v>
      </c>
      <c r="AE68" s="14" t="s">
        <v>35</v>
      </c>
      <c r="AF68" s="13" t="s">
        <v>35</v>
      </c>
      <c r="AG68" s="14" t="s">
        <v>35</v>
      </c>
      <c r="AH68" s="13" t="s">
        <v>35</v>
      </c>
      <c r="AI68" s="14" t="s">
        <v>35</v>
      </c>
      <c r="AJ68" s="13" t="s">
        <v>35</v>
      </c>
      <c r="AK68" s="14" t="s">
        <v>35</v>
      </c>
      <c r="AL68" s="13" t="s">
        <v>35</v>
      </c>
      <c r="AM68" s="14" t="s">
        <v>35</v>
      </c>
      <c r="AN68" s="13" t="s">
        <v>35</v>
      </c>
      <c r="AO68" s="14" t="s">
        <v>35</v>
      </c>
      <c r="AP68" s="13" t="s">
        <v>35</v>
      </c>
      <c r="AQ68" s="14" t="s">
        <v>35</v>
      </c>
      <c r="AR68" s="13" t="s">
        <v>35</v>
      </c>
      <c r="AS68" s="14" t="s">
        <v>35</v>
      </c>
      <c r="AT68" s="13" t="s">
        <v>35</v>
      </c>
      <c r="AU68" s="14" t="s">
        <v>35</v>
      </c>
      <c r="AV68" s="13" t="s">
        <v>35</v>
      </c>
      <c r="AW68" s="14" t="s">
        <v>35</v>
      </c>
      <c r="AX68" s="13" t="s">
        <v>35</v>
      </c>
      <c r="AY68" s="14" t="s">
        <v>35</v>
      </c>
      <c r="AZ68" s="13" t="s">
        <v>35</v>
      </c>
      <c r="BA68" s="14" t="s">
        <v>35</v>
      </c>
      <c r="BB68" s="13" t="s">
        <v>35</v>
      </c>
      <c r="BC68" s="14" t="s">
        <v>35</v>
      </c>
    </row>
    <row r="69" spans="1:55" ht="12.75" hidden="1">
      <c r="A69" s="15" t="s">
        <v>203</v>
      </c>
      <c r="B69" s="8">
        <f aca="true" t="shared" si="47" ref="B69:M69">B9+B39</f>
        <v>313544</v>
      </c>
      <c r="C69" s="16">
        <f t="shared" si="47"/>
        <v>70909</v>
      </c>
      <c r="D69" s="8">
        <f t="shared" si="47"/>
        <v>242635</v>
      </c>
      <c r="E69" s="16">
        <f t="shared" si="47"/>
        <v>41789</v>
      </c>
      <c r="F69" s="8">
        <f t="shared" si="47"/>
        <v>200846</v>
      </c>
      <c r="G69" s="16">
        <f t="shared" si="47"/>
        <v>44924</v>
      </c>
      <c r="H69" s="8">
        <f t="shared" si="47"/>
        <v>155922</v>
      </c>
      <c r="I69" s="16">
        <f t="shared" si="47"/>
        <v>36418</v>
      </c>
      <c r="J69" s="27">
        <f t="shared" si="47"/>
        <v>119504</v>
      </c>
      <c r="K69" s="16">
        <f t="shared" si="47"/>
        <v>33517</v>
      </c>
      <c r="L69" s="27">
        <f t="shared" si="47"/>
        <v>85987</v>
      </c>
      <c r="M69" s="16">
        <f t="shared" si="47"/>
        <v>85987</v>
      </c>
      <c r="N69" s="13" t="s">
        <v>35</v>
      </c>
      <c r="O69" s="14" t="s">
        <v>35</v>
      </c>
      <c r="P69" s="13" t="s">
        <v>35</v>
      </c>
      <c r="Q69" s="14" t="s">
        <v>35</v>
      </c>
      <c r="R69" s="13" t="s">
        <v>35</v>
      </c>
      <c r="S69" s="14" t="s">
        <v>35</v>
      </c>
      <c r="T69" s="13" t="s">
        <v>35</v>
      </c>
      <c r="U69" s="14" t="s">
        <v>35</v>
      </c>
      <c r="V69" s="13" t="s">
        <v>35</v>
      </c>
      <c r="W69" s="14" t="s">
        <v>35</v>
      </c>
      <c r="X69" s="13" t="s">
        <v>35</v>
      </c>
      <c r="Y69" s="14" t="s">
        <v>35</v>
      </c>
      <c r="Z69" s="13" t="s">
        <v>35</v>
      </c>
      <c r="AA69" s="14" t="s">
        <v>35</v>
      </c>
      <c r="AB69" s="13" t="s">
        <v>35</v>
      </c>
      <c r="AC69" s="14" t="s">
        <v>35</v>
      </c>
      <c r="AD69" s="13" t="s">
        <v>35</v>
      </c>
      <c r="AE69" s="14" t="s">
        <v>35</v>
      </c>
      <c r="AF69" s="13" t="s">
        <v>35</v>
      </c>
      <c r="AG69" s="14" t="s">
        <v>35</v>
      </c>
      <c r="AH69" s="13" t="s">
        <v>35</v>
      </c>
      <c r="AI69" s="14" t="s">
        <v>35</v>
      </c>
      <c r="AJ69" s="13" t="s">
        <v>35</v>
      </c>
      <c r="AK69" s="14" t="s">
        <v>35</v>
      </c>
      <c r="AL69" s="13" t="s">
        <v>35</v>
      </c>
      <c r="AM69" s="14" t="s">
        <v>35</v>
      </c>
      <c r="AN69" s="13" t="s">
        <v>35</v>
      </c>
      <c r="AO69" s="14" t="s">
        <v>35</v>
      </c>
      <c r="AP69" s="13" t="s">
        <v>35</v>
      </c>
      <c r="AQ69" s="14" t="s">
        <v>35</v>
      </c>
      <c r="AR69" s="13" t="s">
        <v>35</v>
      </c>
      <c r="AS69" s="14" t="s">
        <v>35</v>
      </c>
      <c r="AT69" s="13" t="s">
        <v>35</v>
      </c>
      <c r="AU69" s="14" t="s">
        <v>35</v>
      </c>
      <c r="AV69" s="13" t="s">
        <v>35</v>
      </c>
      <c r="AW69" s="14" t="s">
        <v>35</v>
      </c>
      <c r="AX69" s="13" t="s">
        <v>35</v>
      </c>
      <c r="AY69" s="14" t="s">
        <v>35</v>
      </c>
      <c r="AZ69" s="13" t="s">
        <v>35</v>
      </c>
      <c r="BA69" s="14" t="s">
        <v>35</v>
      </c>
      <c r="BB69" s="13" t="s">
        <v>35</v>
      </c>
      <c r="BC69" s="14" t="s">
        <v>35</v>
      </c>
    </row>
    <row r="70" spans="1:55" ht="12.75" hidden="1">
      <c r="A70" s="15" t="s">
        <v>36</v>
      </c>
      <c r="B70" s="8">
        <f aca="true" t="shared" si="48" ref="B70:M70">B10+B40</f>
        <v>233539</v>
      </c>
      <c r="C70" s="16">
        <f t="shared" si="48"/>
        <v>31613</v>
      </c>
      <c r="D70" s="8">
        <f t="shared" si="48"/>
        <v>273476</v>
      </c>
      <c r="E70" s="16">
        <f t="shared" si="48"/>
        <v>40872</v>
      </c>
      <c r="F70" s="8">
        <f t="shared" si="48"/>
        <v>265004</v>
      </c>
      <c r="G70" s="16">
        <f t="shared" si="48"/>
        <v>46803</v>
      </c>
      <c r="H70" s="8">
        <f t="shared" si="48"/>
        <v>218201</v>
      </c>
      <c r="I70" s="16">
        <f t="shared" si="48"/>
        <v>36533</v>
      </c>
      <c r="J70" s="27">
        <f t="shared" si="48"/>
        <v>181668</v>
      </c>
      <c r="K70" s="16">
        <f t="shared" si="48"/>
        <v>33545</v>
      </c>
      <c r="L70" s="27">
        <f t="shared" si="48"/>
        <v>148123</v>
      </c>
      <c r="M70" s="16">
        <f t="shared" si="48"/>
        <v>148123</v>
      </c>
      <c r="N70" s="13" t="s">
        <v>35</v>
      </c>
      <c r="O70" s="14" t="s">
        <v>35</v>
      </c>
      <c r="P70" s="13" t="s">
        <v>35</v>
      </c>
      <c r="Q70" s="14" t="s">
        <v>35</v>
      </c>
      <c r="R70" s="13" t="s">
        <v>35</v>
      </c>
      <c r="S70" s="14" t="s">
        <v>35</v>
      </c>
      <c r="T70" s="13" t="s">
        <v>35</v>
      </c>
      <c r="U70" s="14" t="s">
        <v>35</v>
      </c>
      <c r="V70" s="13" t="s">
        <v>35</v>
      </c>
      <c r="W70" s="14" t="s">
        <v>35</v>
      </c>
      <c r="X70" s="13" t="s">
        <v>35</v>
      </c>
      <c r="Y70" s="14" t="s">
        <v>35</v>
      </c>
      <c r="Z70" s="13" t="s">
        <v>35</v>
      </c>
      <c r="AA70" s="14" t="s">
        <v>35</v>
      </c>
      <c r="AB70" s="13" t="s">
        <v>35</v>
      </c>
      <c r="AC70" s="14" t="s">
        <v>35</v>
      </c>
      <c r="AD70" s="13" t="s">
        <v>35</v>
      </c>
      <c r="AE70" s="14" t="s">
        <v>35</v>
      </c>
      <c r="AF70" s="13" t="s">
        <v>35</v>
      </c>
      <c r="AG70" s="14" t="s">
        <v>35</v>
      </c>
      <c r="AH70" s="13" t="s">
        <v>35</v>
      </c>
      <c r="AI70" s="14" t="s">
        <v>35</v>
      </c>
      <c r="AJ70" s="13" t="s">
        <v>35</v>
      </c>
      <c r="AK70" s="14" t="s">
        <v>35</v>
      </c>
      <c r="AL70" s="13" t="s">
        <v>35</v>
      </c>
      <c r="AM70" s="14" t="s">
        <v>35</v>
      </c>
      <c r="AN70" s="13" t="s">
        <v>35</v>
      </c>
      <c r="AO70" s="14" t="s">
        <v>35</v>
      </c>
      <c r="AP70" s="13" t="s">
        <v>35</v>
      </c>
      <c r="AQ70" s="14" t="s">
        <v>35</v>
      </c>
      <c r="AR70" s="13" t="s">
        <v>35</v>
      </c>
      <c r="AS70" s="14" t="s">
        <v>35</v>
      </c>
      <c r="AT70" s="13" t="s">
        <v>35</v>
      </c>
      <c r="AU70" s="14" t="s">
        <v>35</v>
      </c>
      <c r="AV70" s="13" t="s">
        <v>35</v>
      </c>
      <c r="AW70" s="14" t="s">
        <v>35</v>
      </c>
      <c r="AX70" s="13" t="s">
        <v>35</v>
      </c>
      <c r="AY70" s="14" t="s">
        <v>35</v>
      </c>
      <c r="AZ70" s="13" t="s">
        <v>35</v>
      </c>
      <c r="BA70" s="14" t="s">
        <v>35</v>
      </c>
      <c r="BB70" s="13" t="s">
        <v>35</v>
      </c>
      <c r="BC70" s="14" t="s">
        <v>35</v>
      </c>
    </row>
    <row r="71" spans="1:55" ht="12.75" hidden="1">
      <c r="A71" s="15" t="s">
        <v>117</v>
      </c>
      <c r="B71" s="8">
        <f aca="true" t="shared" si="49" ref="B71:M71">B11+B41</f>
        <v>239508</v>
      </c>
      <c r="C71" s="16">
        <f t="shared" si="49"/>
        <v>48852</v>
      </c>
      <c r="D71" s="8">
        <f t="shared" si="49"/>
        <v>338260</v>
      </c>
      <c r="E71" s="16">
        <f t="shared" si="49"/>
        <v>53147</v>
      </c>
      <c r="F71" s="8">
        <f t="shared" si="49"/>
        <v>285113</v>
      </c>
      <c r="G71" s="16">
        <f t="shared" si="49"/>
        <v>57938</v>
      </c>
      <c r="H71" s="8">
        <f t="shared" si="49"/>
        <v>227175</v>
      </c>
      <c r="I71" s="16">
        <f t="shared" si="49"/>
        <v>46309</v>
      </c>
      <c r="J71" s="27">
        <f t="shared" si="49"/>
        <v>180866</v>
      </c>
      <c r="K71" s="16">
        <f t="shared" si="49"/>
        <v>42584</v>
      </c>
      <c r="L71" s="27">
        <f t="shared" si="49"/>
        <v>138282</v>
      </c>
      <c r="M71" s="16">
        <f t="shared" si="49"/>
        <v>138282</v>
      </c>
      <c r="N71" s="13" t="s">
        <v>35</v>
      </c>
      <c r="O71" s="14" t="s">
        <v>35</v>
      </c>
      <c r="P71" s="13" t="s">
        <v>35</v>
      </c>
      <c r="Q71" s="14" t="s">
        <v>35</v>
      </c>
      <c r="R71" s="13" t="s">
        <v>35</v>
      </c>
      <c r="S71" s="14" t="s">
        <v>35</v>
      </c>
      <c r="T71" s="13" t="s">
        <v>35</v>
      </c>
      <c r="U71" s="14" t="s">
        <v>35</v>
      </c>
      <c r="V71" s="13" t="s">
        <v>35</v>
      </c>
      <c r="W71" s="14" t="s">
        <v>35</v>
      </c>
      <c r="X71" s="13" t="s">
        <v>35</v>
      </c>
      <c r="Y71" s="14" t="s">
        <v>35</v>
      </c>
      <c r="Z71" s="13" t="s">
        <v>35</v>
      </c>
      <c r="AA71" s="14" t="s">
        <v>35</v>
      </c>
      <c r="AB71" s="13" t="s">
        <v>35</v>
      </c>
      <c r="AC71" s="14" t="s">
        <v>35</v>
      </c>
      <c r="AD71" s="13" t="s">
        <v>35</v>
      </c>
      <c r="AE71" s="14" t="s">
        <v>35</v>
      </c>
      <c r="AF71" s="13" t="s">
        <v>35</v>
      </c>
      <c r="AG71" s="14" t="s">
        <v>35</v>
      </c>
      <c r="AH71" s="13" t="s">
        <v>35</v>
      </c>
      <c r="AI71" s="14" t="s">
        <v>35</v>
      </c>
      <c r="AJ71" s="13" t="s">
        <v>35</v>
      </c>
      <c r="AK71" s="14" t="s">
        <v>35</v>
      </c>
      <c r="AL71" s="13" t="s">
        <v>35</v>
      </c>
      <c r="AM71" s="14" t="s">
        <v>35</v>
      </c>
      <c r="AN71" s="13" t="s">
        <v>35</v>
      </c>
      <c r="AO71" s="14" t="s">
        <v>35</v>
      </c>
      <c r="AP71" s="13" t="s">
        <v>35</v>
      </c>
      <c r="AQ71" s="14" t="s">
        <v>35</v>
      </c>
      <c r="AR71" s="13" t="s">
        <v>35</v>
      </c>
      <c r="AS71" s="14" t="s">
        <v>35</v>
      </c>
      <c r="AT71" s="13" t="s">
        <v>35</v>
      </c>
      <c r="AU71" s="14" t="s">
        <v>35</v>
      </c>
      <c r="AV71" s="13" t="s">
        <v>35</v>
      </c>
      <c r="AW71" s="14" t="s">
        <v>35</v>
      </c>
      <c r="AX71" s="13" t="s">
        <v>35</v>
      </c>
      <c r="AY71" s="14" t="s">
        <v>35</v>
      </c>
      <c r="AZ71" s="13" t="s">
        <v>35</v>
      </c>
      <c r="BA71" s="14" t="s">
        <v>35</v>
      </c>
      <c r="BB71" s="13" t="s">
        <v>35</v>
      </c>
      <c r="BC71" s="14" t="s">
        <v>35</v>
      </c>
    </row>
    <row r="72" spans="1:55" ht="12.75" hidden="1">
      <c r="A72" s="15" t="s">
        <v>61</v>
      </c>
      <c r="B72" s="8">
        <f aca="true" t="shared" si="50" ref="B72:M72">B12+B42</f>
        <v>0</v>
      </c>
      <c r="C72" s="16">
        <f t="shared" si="50"/>
        <v>1157</v>
      </c>
      <c r="D72" s="8">
        <f t="shared" si="50"/>
        <v>405806</v>
      </c>
      <c r="E72" s="16">
        <f t="shared" si="50"/>
        <v>46153</v>
      </c>
      <c r="F72" s="8">
        <f t="shared" si="50"/>
        <v>359653</v>
      </c>
      <c r="G72" s="16">
        <f t="shared" si="50"/>
        <v>73085</v>
      </c>
      <c r="H72" s="8">
        <f t="shared" si="50"/>
        <v>286568</v>
      </c>
      <c r="I72" s="16">
        <f t="shared" si="50"/>
        <v>58416</v>
      </c>
      <c r="J72" s="27">
        <f t="shared" si="50"/>
        <v>228152</v>
      </c>
      <c r="K72" s="16">
        <f t="shared" si="50"/>
        <v>53717</v>
      </c>
      <c r="L72" s="27">
        <f t="shared" si="50"/>
        <v>174435</v>
      </c>
      <c r="M72" s="16">
        <f t="shared" si="50"/>
        <v>174435</v>
      </c>
      <c r="N72" s="13" t="s">
        <v>35</v>
      </c>
      <c r="O72" s="14" t="s">
        <v>35</v>
      </c>
      <c r="P72" s="13" t="s">
        <v>35</v>
      </c>
      <c r="Q72" s="14" t="s">
        <v>35</v>
      </c>
      <c r="R72" s="13" t="s">
        <v>35</v>
      </c>
      <c r="S72" s="14" t="s">
        <v>35</v>
      </c>
      <c r="T72" s="13" t="s">
        <v>35</v>
      </c>
      <c r="U72" s="14" t="s">
        <v>35</v>
      </c>
      <c r="V72" s="13" t="s">
        <v>35</v>
      </c>
      <c r="W72" s="14" t="s">
        <v>35</v>
      </c>
      <c r="X72" s="13" t="s">
        <v>35</v>
      </c>
      <c r="Y72" s="14" t="s">
        <v>35</v>
      </c>
      <c r="Z72" s="13" t="s">
        <v>35</v>
      </c>
      <c r="AA72" s="14" t="s">
        <v>35</v>
      </c>
      <c r="AB72" s="13" t="s">
        <v>35</v>
      </c>
      <c r="AC72" s="14" t="s">
        <v>35</v>
      </c>
      <c r="AD72" s="13" t="s">
        <v>35</v>
      </c>
      <c r="AE72" s="14" t="s">
        <v>35</v>
      </c>
      <c r="AF72" s="13" t="s">
        <v>35</v>
      </c>
      <c r="AG72" s="14" t="s">
        <v>35</v>
      </c>
      <c r="AH72" s="13" t="s">
        <v>35</v>
      </c>
      <c r="AI72" s="14" t="s">
        <v>35</v>
      </c>
      <c r="AJ72" s="13" t="s">
        <v>35</v>
      </c>
      <c r="AK72" s="14" t="s">
        <v>35</v>
      </c>
      <c r="AL72" s="13" t="s">
        <v>35</v>
      </c>
      <c r="AM72" s="14" t="s">
        <v>35</v>
      </c>
      <c r="AN72" s="13" t="s">
        <v>35</v>
      </c>
      <c r="AO72" s="14" t="s">
        <v>35</v>
      </c>
      <c r="AP72" s="13" t="s">
        <v>35</v>
      </c>
      <c r="AQ72" s="14" t="s">
        <v>35</v>
      </c>
      <c r="AR72" s="13" t="s">
        <v>35</v>
      </c>
      <c r="AS72" s="14" t="s">
        <v>35</v>
      </c>
      <c r="AT72" s="13" t="s">
        <v>35</v>
      </c>
      <c r="AU72" s="14" t="s">
        <v>35</v>
      </c>
      <c r="AV72" s="13" t="s">
        <v>35</v>
      </c>
      <c r="AW72" s="14" t="s">
        <v>35</v>
      </c>
      <c r="AX72" s="13" t="s">
        <v>35</v>
      </c>
      <c r="AY72" s="14" t="s">
        <v>35</v>
      </c>
      <c r="AZ72" s="13" t="s">
        <v>35</v>
      </c>
      <c r="BA72" s="14" t="s">
        <v>35</v>
      </c>
      <c r="BB72" s="13" t="s">
        <v>35</v>
      </c>
      <c r="BC72" s="14" t="s">
        <v>35</v>
      </c>
    </row>
    <row r="73" spans="1:55" ht="12.75" hidden="1">
      <c r="A73" s="15" t="s">
        <v>66</v>
      </c>
      <c r="B73" s="8">
        <f aca="true" t="shared" si="51" ref="B73:M73">B13+B43</f>
        <v>0</v>
      </c>
      <c r="C73" s="16">
        <f t="shared" si="51"/>
        <v>0</v>
      </c>
      <c r="D73" s="8">
        <f t="shared" si="51"/>
        <v>217887</v>
      </c>
      <c r="E73" s="16">
        <f t="shared" si="51"/>
        <v>7975</v>
      </c>
      <c r="F73" s="8">
        <f t="shared" si="51"/>
        <v>890951</v>
      </c>
      <c r="G73" s="16">
        <f t="shared" si="51"/>
        <v>122114</v>
      </c>
      <c r="H73" s="8">
        <f t="shared" si="51"/>
        <v>800969</v>
      </c>
      <c r="I73" s="16">
        <f t="shared" si="51"/>
        <v>129023</v>
      </c>
      <c r="J73" s="27">
        <f t="shared" si="51"/>
        <v>671946</v>
      </c>
      <c r="K73" s="16">
        <f t="shared" si="51"/>
        <v>118431</v>
      </c>
      <c r="L73" s="27">
        <f t="shared" si="51"/>
        <v>553515</v>
      </c>
      <c r="M73" s="16">
        <f t="shared" si="51"/>
        <v>553515</v>
      </c>
      <c r="N73" s="13" t="s">
        <v>35</v>
      </c>
      <c r="O73" s="14" t="s">
        <v>35</v>
      </c>
      <c r="P73" s="13" t="s">
        <v>35</v>
      </c>
      <c r="Q73" s="14" t="s">
        <v>35</v>
      </c>
      <c r="R73" s="13" t="s">
        <v>35</v>
      </c>
      <c r="S73" s="14" t="s">
        <v>35</v>
      </c>
      <c r="T73" s="13" t="s">
        <v>35</v>
      </c>
      <c r="U73" s="14" t="s">
        <v>35</v>
      </c>
      <c r="V73" s="13" t="s">
        <v>35</v>
      </c>
      <c r="W73" s="14" t="s">
        <v>35</v>
      </c>
      <c r="X73" s="13" t="s">
        <v>35</v>
      </c>
      <c r="Y73" s="14" t="s">
        <v>35</v>
      </c>
      <c r="Z73" s="13" t="s">
        <v>35</v>
      </c>
      <c r="AA73" s="14" t="s">
        <v>35</v>
      </c>
      <c r="AB73" s="13" t="s">
        <v>35</v>
      </c>
      <c r="AC73" s="14" t="s">
        <v>35</v>
      </c>
      <c r="AD73" s="13" t="s">
        <v>35</v>
      </c>
      <c r="AE73" s="14" t="s">
        <v>35</v>
      </c>
      <c r="AF73" s="13" t="s">
        <v>35</v>
      </c>
      <c r="AG73" s="14" t="s">
        <v>35</v>
      </c>
      <c r="AH73" s="13" t="s">
        <v>35</v>
      </c>
      <c r="AI73" s="14" t="s">
        <v>35</v>
      </c>
      <c r="AJ73" s="13" t="s">
        <v>35</v>
      </c>
      <c r="AK73" s="14" t="s">
        <v>35</v>
      </c>
      <c r="AL73" s="13" t="s">
        <v>35</v>
      </c>
      <c r="AM73" s="14" t="s">
        <v>35</v>
      </c>
      <c r="AN73" s="13" t="s">
        <v>35</v>
      </c>
      <c r="AO73" s="14" t="s">
        <v>35</v>
      </c>
      <c r="AP73" s="13" t="s">
        <v>35</v>
      </c>
      <c r="AQ73" s="14" t="s">
        <v>35</v>
      </c>
      <c r="AR73" s="13" t="s">
        <v>35</v>
      </c>
      <c r="AS73" s="14" t="s">
        <v>35</v>
      </c>
      <c r="AT73" s="13" t="s">
        <v>35</v>
      </c>
      <c r="AU73" s="14" t="s">
        <v>35</v>
      </c>
      <c r="AV73" s="13" t="s">
        <v>35</v>
      </c>
      <c r="AW73" s="14" t="s">
        <v>35</v>
      </c>
      <c r="AX73" s="13" t="s">
        <v>35</v>
      </c>
      <c r="AY73" s="14" t="s">
        <v>35</v>
      </c>
      <c r="AZ73" s="13" t="s">
        <v>35</v>
      </c>
      <c r="BA73" s="14" t="s">
        <v>35</v>
      </c>
      <c r="BB73" s="13" t="s">
        <v>35</v>
      </c>
      <c r="BC73" s="14" t="s">
        <v>35</v>
      </c>
    </row>
    <row r="74" spans="1:55" ht="12.75" hidden="1">
      <c r="A74" s="15" t="s">
        <v>85</v>
      </c>
      <c r="B74" s="8"/>
      <c r="C74" s="16"/>
      <c r="D74" s="12">
        <f aca="true" t="shared" si="52" ref="D74:M74">D14+D44</f>
        <v>0</v>
      </c>
      <c r="E74" s="16">
        <f t="shared" si="52"/>
        <v>0</v>
      </c>
      <c r="F74" s="12">
        <f t="shared" si="52"/>
        <v>135908</v>
      </c>
      <c r="G74" s="16">
        <f t="shared" si="52"/>
        <v>7525</v>
      </c>
      <c r="H74" s="12">
        <f t="shared" si="52"/>
        <v>847176</v>
      </c>
      <c r="I74" s="16">
        <f t="shared" si="52"/>
        <v>78190</v>
      </c>
      <c r="J74" s="12">
        <f t="shared" si="52"/>
        <v>768986</v>
      </c>
      <c r="K74" s="16">
        <f t="shared" si="52"/>
        <v>124930</v>
      </c>
      <c r="L74" s="12">
        <f t="shared" si="52"/>
        <v>644056</v>
      </c>
      <c r="M74" s="16">
        <f t="shared" si="52"/>
        <v>644056</v>
      </c>
      <c r="N74" s="13" t="s">
        <v>35</v>
      </c>
      <c r="O74" s="14" t="s">
        <v>35</v>
      </c>
      <c r="P74" s="13" t="s">
        <v>35</v>
      </c>
      <c r="Q74" s="14" t="s">
        <v>35</v>
      </c>
      <c r="R74" s="13" t="s">
        <v>35</v>
      </c>
      <c r="S74" s="14" t="s">
        <v>35</v>
      </c>
      <c r="T74" s="13" t="s">
        <v>35</v>
      </c>
      <c r="U74" s="14" t="s">
        <v>35</v>
      </c>
      <c r="V74" s="13" t="s">
        <v>35</v>
      </c>
      <c r="W74" s="14" t="s">
        <v>35</v>
      </c>
      <c r="X74" s="13" t="s">
        <v>35</v>
      </c>
      <c r="Y74" s="14" t="s">
        <v>35</v>
      </c>
      <c r="Z74" s="13" t="s">
        <v>35</v>
      </c>
      <c r="AA74" s="14" t="s">
        <v>35</v>
      </c>
      <c r="AB74" s="13" t="s">
        <v>35</v>
      </c>
      <c r="AC74" s="14" t="s">
        <v>35</v>
      </c>
      <c r="AD74" s="13" t="s">
        <v>35</v>
      </c>
      <c r="AE74" s="14" t="s">
        <v>35</v>
      </c>
      <c r="AF74" s="13" t="s">
        <v>35</v>
      </c>
      <c r="AG74" s="14" t="s">
        <v>35</v>
      </c>
      <c r="AH74" s="13" t="s">
        <v>35</v>
      </c>
      <c r="AI74" s="14" t="s">
        <v>35</v>
      </c>
      <c r="AJ74" s="13" t="s">
        <v>35</v>
      </c>
      <c r="AK74" s="14" t="s">
        <v>35</v>
      </c>
      <c r="AL74" s="13" t="s">
        <v>35</v>
      </c>
      <c r="AM74" s="14" t="s">
        <v>35</v>
      </c>
      <c r="AN74" s="13" t="s">
        <v>35</v>
      </c>
      <c r="AO74" s="14" t="s">
        <v>35</v>
      </c>
      <c r="AP74" s="13" t="s">
        <v>35</v>
      </c>
      <c r="AQ74" s="14" t="s">
        <v>35</v>
      </c>
      <c r="AR74" s="13" t="s">
        <v>35</v>
      </c>
      <c r="AS74" s="14" t="s">
        <v>35</v>
      </c>
      <c r="AT74" s="13" t="s">
        <v>35</v>
      </c>
      <c r="AU74" s="14" t="s">
        <v>35</v>
      </c>
      <c r="AV74" s="13" t="s">
        <v>35</v>
      </c>
      <c r="AW74" s="14" t="s">
        <v>35</v>
      </c>
      <c r="AX74" s="13" t="s">
        <v>35</v>
      </c>
      <c r="AY74" s="14" t="s">
        <v>35</v>
      </c>
      <c r="AZ74" s="13" t="s">
        <v>35</v>
      </c>
      <c r="BA74" s="14" t="s">
        <v>35</v>
      </c>
      <c r="BB74" s="13" t="s">
        <v>35</v>
      </c>
      <c r="BC74" s="14" t="s">
        <v>35</v>
      </c>
    </row>
    <row r="75" spans="1:55" ht="12.75">
      <c r="A75" s="15" t="s">
        <v>171</v>
      </c>
      <c r="B75" s="8"/>
      <c r="C75" s="16"/>
      <c r="D75" s="12"/>
      <c r="E75" s="16"/>
      <c r="F75" s="13" t="s">
        <v>35</v>
      </c>
      <c r="G75" s="24" t="s">
        <v>35</v>
      </c>
      <c r="H75" s="12">
        <f aca="true" t="shared" si="53" ref="H75:AW75">H15+H45</f>
        <v>441678</v>
      </c>
      <c r="I75" s="16">
        <f t="shared" si="53"/>
        <v>641</v>
      </c>
      <c r="J75" s="12">
        <f t="shared" si="53"/>
        <v>866458</v>
      </c>
      <c r="K75" s="16">
        <f t="shared" si="53"/>
        <v>23245</v>
      </c>
      <c r="L75" s="12">
        <f t="shared" si="53"/>
        <v>1025106</v>
      </c>
      <c r="M75" s="16">
        <f t="shared" si="53"/>
        <v>36131</v>
      </c>
      <c r="N75" s="12">
        <f t="shared" si="53"/>
        <v>988975</v>
      </c>
      <c r="O75" s="16">
        <f t="shared" si="53"/>
        <v>67094</v>
      </c>
      <c r="P75" s="12">
        <f t="shared" si="53"/>
        <v>921881</v>
      </c>
      <c r="Q75" s="16">
        <f t="shared" si="53"/>
        <v>75122</v>
      </c>
      <c r="R75" s="12">
        <f t="shared" si="53"/>
        <v>846759</v>
      </c>
      <c r="S75" s="16">
        <f t="shared" si="53"/>
        <v>72636</v>
      </c>
      <c r="T75" s="12">
        <f t="shared" si="53"/>
        <v>774123</v>
      </c>
      <c r="U75" s="16">
        <f t="shared" si="53"/>
        <v>70149</v>
      </c>
      <c r="V75" s="12">
        <f t="shared" si="53"/>
        <v>703974</v>
      </c>
      <c r="W75" s="16">
        <f t="shared" si="53"/>
        <v>67755</v>
      </c>
      <c r="X75" s="12">
        <f t="shared" si="53"/>
        <v>636219</v>
      </c>
      <c r="Y75" s="16">
        <f t="shared" si="53"/>
        <v>65177</v>
      </c>
      <c r="Z75" s="12">
        <f t="shared" si="53"/>
        <v>571042</v>
      </c>
      <c r="AA75" s="16">
        <f t="shared" si="53"/>
        <v>62690</v>
      </c>
      <c r="AB75" s="12">
        <f t="shared" si="53"/>
        <v>508352</v>
      </c>
      <c r="AC75" s="16">
        <f t="shared" si="53"/>
        <v>60204</v>
      </c>
      <c r="AD75" s="12">
        <f t="shared" si="53"/>
        <v>448148</v>
      </c>
      <c r="AE75" s="16">
        <f t="shared" si="53"/>
        <v>57782</v>
      </c>
      <c r="AF75" s="12">
        <f t="shared" si="53"/>
        <v>390366</v>
      </c>
      <c r="AG75" s="16">
        <f t="shared" si="53"/>
        <v>55231</v>
      </c>
      <c r="AH75" s="12">
        <f t="shared" si="53"/>
        <v>335135</v>
      </c>
      <c r="AI75" s="16">
        <f t="shared" si="53"/>
        <v>52744</v>
      </c>
      <c r="AJ75" s="12">
        <f t="shared" si="53"/>
        <v>282391</v>
      </c>
      <c r="AK75" s="16">
        <f t="shared" si="53"/>
        <v>50258</v>
      </c>
      <c r="AL75" s="12">
        <f t="shared" si="53"/>
        <v>232133</v>
      </c>
      <c r="AM75" s="16">
        <f t="shared" si="53"/>
        <v>47809</v>
      </c>
      <c r="AN75" s="12">
        <f t="shared" si="53"/>
        <v>184324</v>
      </c>
      <c r="AO75" s="16">
        <f t="shared" si="53"/>
        <v>45285</v>
      </c>
      <c r="AP75" s="12">
        <f t="shared" si="53"/>
        <v>139039</v>
      </c>
      <c r="AQ75" s="16">
        <f t="shared" si="53"/>
        <v>42799</v>
      </c>
      <c r="AR75" s="12">
        <f t="shared" si="53"/>
        <v>96240</v>
      </c>
      <c r="AS75" s="16">
        <f t="shared" si="53"/>
        <v>40312</v>
      </c>
      <c r="AT75" s="12">
        <f t="shared" si="53"/>
        <v>55928</v>
      </c>
      <c r="AU75" s="16">
        <f t="shared" si="53"/>
        <v>37836</v>
      </c>
      <c r="AV75" s="12">
        <f t="shared" si="53"/>
        <v>18092</v>
      </c>
      <c r="AW75" s="16">
        <f t="shared" si="53"/>
        <v>18092</v>
      </c>
      <c r="AX75" s="13" t="s">
        <v>35</v>
      </c>
      <c r="AY75" s="14" t="s">
        <v>35</v>
      </c>
      <c r="AZ75" s="13" t="s">
        <v>35</v>
      </c>
      <c r="BA75" s="14" t="s">
        <v>35</v>
      </c>
      <c r="BB75" s="13" t="s">
        <v>35</v>
      </c>
      <c r="BC75" s="14" t="s">
        <v>35</v>
      </c>
    </row>
    <row r="76" spans="1:55" ht="12.75">
      <c r="A76" s="15" t="s">
        <v>172</v>
      </c>
      <c r="B76" s="8"/>
      <c r="C76" s="16"/>
      <c r="D76" s="12"/>
      <c r="E76" s="16"/>
      <c r="F76" s="13"/>
      <c r="G76" s="24"/>
      <c r="H76" s="12">
        <f aca="true" t="shared" si="54" ref="H76:AW76">H16+H46</f>
        <v>116713</v>
      </c>
      <c r="I76" s="16">
        <f t="shared" si="54"/>
        <v>98</v>
      </c>
      <c r="J76" s="12">
        <f t="shared" si="54"/>
        <v>193545</v>
      </c>
      <c r="K76" s="16">
        <f t="shared" si="54"/>
        <v>4336</v>
      </c>
      <c r="L76" s="12">
        <f t="shared" si="54"/>
        <v>291452</v>
      </c>
      <c r="M76" s="16">
        <f t="shared" si="54"/>
        <v>9570</v>
      </c>
      <c r="N76" s="12">
        <f t="shared" si="54"/>
        <v>281882</v>
      </c>
      <c r="O76" s="16">
        <f t="shared" si="54"/>
        <v>18722</v>
      </c>
      <c r="P76" s="12">
        <f t="shared" si="54"/>
        <v>263160</v>
      </c>
      <c r="Q76" s="16">
        <f t="shared" si="54"/>
        <v>21163</v>
      </c>
      <c r="R76" s="12">
        <f t="shared" si="54"/>
        <v>241997</v>
      </c>
      <c r="S76" s="16">
        <f t="shared" si="54"/>
        <v>20491</v>
      </c>
      <c r="T76" s="12">
        <f t="shared" si="54"/>
        <v>221506</v>
      </c>
      <c r="U76" s="16">
        <f t="shared" si="54"/>
        <v>19820</v>
      </c>
      <c r="V76" s="12">
        <f t="shared" si="54"/>
        <v>201686</v>
      </c>
      <c r="W76" s="16">
        <f t="shared" si="54"/>
        <v>19173</v>
      </c>
      <c r="X76" s="12">
        <f t="shared" si="54"/>
        <v>182513</v>
      </c>
      <c r="Y76" s="16">
        <f t="shared" si="54"/>
        <v>18477</v>
      </c>
      <c r="Z76" s="12">
        <f t="shared" si="54"/>
        <v>164036</v>
      </c>
      <c r="AA76" s="16">
        <f t="shared" si="54"/>
        <v>17806</v>
      </c>
      <c r="AB76" s="12">
        <f t="shared" si="54"/>
        <v>146230</v>
      </c>
      <c r="AC76" s="16">
        <f t="shared" si="54"/>
        <v>17134</v>
      </c>
      <c r="AD76" s="12">
        <f t="shared" si="54"/>
        <v>129096</v>
      </c>
      <c r="AE76" s="16">
        <f t="shared" si="54"/>
        <v>16480</v>
      </c>
      <c r="AF76" s="12">
        <f t="shared" si="54"/>
        <v>112616</v>
      </c>
      <c r="AG76" s="16">
        <f t="shared" si="54"/>
        <v>15792</v>
      </c>
      <c r="AH76" s="12">
        <f t="shared" si="54"/>
        <v>96824</v>
      </c>
      <c r="AI76" s="16">
        <f t="shared" si="54"/>
        <v>15120</v>
      </c>
      <c r="AJ76" s="12">
        <f t="shared" si="54"/>
        <v>81704</v>
      </c>
      <c r="AK76" s="16">
        <f t="shared" si="54"/>
        <v>14449</v>
      </c>
      <c r="AL76" s="12">
        <f t="shared" si="54"/>
        <v>67255</v>
      </c>
      <c r="AM76" s="16">
        <f t="shared" si="54"/>
        <v>13788</v>
      </c>
      <c r="AN76" s="12">
        <f t="shared" si="54"/>
        <v>53467</v>
      </c>
      <c r="AO76" s="16">
        <f t="shared" si="54"/>
        <v>13106</v>
      </c>
      <c r="AP76" s="12">
        <f t="shared" si="54"/>
        <v>40361</v>
      </c>
      <c r="AQ76" s="16">
        <f t="shared" si="54"/>
        <v>12435</v>
      </c>
      <c r="AR76" s="12">
        <f t="shared" si="54"/>
        <v>27926</v>
      </c>
      <c r="AS76" s="16">
        <f t="shared" si="54"/>
        <v>11763</v>
      </c>
      <c r="AT76" s="12">
        <f t="shared" si="54"/>
        <v>16163</v>
      </c>
      <c r="AU76" s="16">
        <f t="shared" si="54"/>
        <v>11095</v>
      </c>
      <c r="AV76" s="12">
        <f t="shared" si="54"/>
        <v>5068</v>
      </c>
      <c r="AW76" s="16">
        <f t="shared" si="54"/>
        <v>5068</v>
      </c>
      <c r="AX76" s="13" t="s">
        <v>35</v>
      </c>
      <c r="AY76" s="14" t="s">
        <v>35</v>
      </c>
      <c r="AZ76" s="13" t="s">
        <v>35</v>
      </c>
      <c r="BA76" s="14" t="s">
        <v>35</v>
      </c>
      <c r="BB76" s="13" t="s">
        <v>35</v>
      </c>
      <c r="BC76" s="14" t="s">
        <v>35</v>
      </c>
    </row>
    <row r="77" spans="1:55" ht="12.75">
      <c r="A77" s="15" t="s">
        <v>56</v>
      </c>
      <c r="B77" s="8">
        <f aca="true" t="shared" si="55" ref="B77:U77">B17+B47</f>
        <v>129935</v>
      </c>
      <c r="C77" s="16">
        <f t="shared" si="55"/>
        <v>9355</v>
      </c>
      <c r="D77" s="8">
        <f t="shared" si="55"/>
        <v>120580</v>
      </c>
      <c r="E77" s="16">
        <f t="shared" si="55"/>
        <v>16282</v>
      </c>
      <c r="F77" s="8">
        <f t="shared" si="55"/>
        <v>104298</v>
      </c>
      <c r="G77" s="16">
        <f t="shared" si="55"/>
        <v>16727</v>
      </c>
      <c r="H77" s="8">
        <f t="shared" si="55"/>
        <v>87571</v>
      </c>
      <c r="I77" s="16">
        <f t="shared" si="55"/>
        <v>14206</v>
      </c>
      <c r="J77" s="27">
        <f t="shared" si="55"/>
        <v>73365</v>
      </c>
      <c r="K77" s="16">
        <f t="shared" si="55"/>
        <v>14452</v>
      </c>
      <c r="L77" s="27">
        <f t="shared" si="55"/>
        <v>58913</v>
      </c>
      <c r="M77" s="16">
        <f t="shared" si="55"/>
        <v>13943</v>
      </c>
      <c r="N77" s="27">
        <f t="shared" si="55"/>
        <v>44970</v>
      </c>
      <c r="O77" s="16">
        <f t="shared" si="55"/>
        <v>13560</v>
      </c>
      <c r="P77" s="8">
        <f t="shared" si="55"/>
        <v>31410</v>
      </c>
      <c r="Q77" s="9">
        <f t="shared" si="55"/>
        <v>12909</v>
      </c>
      <c r="R77" s="27">
        <f t="shared" si="55"/>
        <v>18501</v>
      </c>
      <c r="S77" s="16">
        <f t="shared" si="55"/>
        <v>12449</v>
      </c>
      <c r="T77" s="27">
        <f t="shared" si="55"/>
        <v>6052</v>
      </c>
      <c r="U77" s="16">
        <f t="shared" si="55"/>
        <v>6052</v>
      </c>
      <c r="V77" s="39" t="s">
        <v>35</v>
      </c>
      <c r="W77" s="22" t="s">
        <v>35</v>
      </c>
      <c r="X77" s="13" t="s">
        <v>35</v>
      </c>
      <c r="Y77" s="24" t="s">
        <v>35</v>
      </c>
      <c r="Z77" s="13" t="s">
        <v>35</v>
      </c>
      <c r="AA77" s="14" t="s">
        <v>35</v>
      </c>
      <c r="AB77" s="13" t="s">
        <v>35</v>
      </c>
      <c r="AC77" s="14" t="s">
        <v>35</v>
      </c>
      <c r="AD77" s="13" t="s">
        <v>35</v>
      </c>
      <c r="AE77" s="14" t="s">
        <v>35</v>
      </c>
      <c r="AF77" s="13" t="s">
        <v>35</v>
      </c>
      <c r="AG77" s="14" t="s">
        <v>35</v>
      </c>
      <c r="AH77" s="13" t="s">
        <v>35</v>
      </c>
      <c r="AI77" s="14" t="s">
        <v>35</v>
      </c>
      <c r="AJ77" s="13" t="s">
        <v>35</v>
      </c>
      <c r="AK77" s="14" t="s">
        <v>35</v>
      </c>
      <c r="AL77" s="13" t="s">
        <v>35</v>
      </c>
      <c r="AM77" s="14" t="s">
        <v>35</v>
      </c>
      <c r="AN77" s="13" t="s">
        <v>35</v>
      </c>
      <c r="AO77" s="14" t="s">
        <v>35</v>
      </c>
      <c r="AP77" s="13" t="s">
        <v>35</v>
      </c>
      <c r="AQ77" s="14" t="s">
        <v>35</v>
      </c>
      <c r="AR77" s="13" t="s">
        <v>35</v>
      </c>
      <c r="AS77" s="14" t="s">
        <v>35</v>
      </c>
      <c r="AT77" s="13" t="s">
        <v>35</v>
      </c>
      <c r="AU77" s="14" t="s">
        <v>35</v>
      </c>
      <c r="AV77" s="13" t="s">
        <v>35</v>
      </c>
      <c r="AW77" s="14" t="s">
        <v>35</v>
      </c>
      <c r="AX77" s="13" t="s">
        <v>35</v>
      </c>
      <c r="AY77" s="14" t="s">
        <v>35</v>
      </c>
      <c r="AZ77" s="13" t="s">
        <v>35</v>
      </c>
      <c r="BA77" s="14" t="s">
        <v>35</v>
      </c>
      <c r="BB77" s="13" t="s">
        <v>35</v>
      </c>
      <c r="BC77" s="14" t="s">
        <v>35</v>
      </c>
    </row>
    <row r="78" spans="1:55" ht="12.75">
      <c r="A78" s="15" t="s">
        <v>55</v>
      </c>
      <c r="B78" s="8">
        <f aca="true" t="shared" si="56" ref="B78:U78">B18+B48</f>
        <v>0</v>
      </c>
      <c r="C78" s="16">
        <f t="shared" si="56"/>
        <v>399</v>
      </c>
      <c r="D78" s="8">
        <f t="shared" si="56"/>
        <v>155388</v>
      </c>
      <c r="E78" s="16">
        <f t="shared" si="56"/>
        <v>11517</v>
      </c>
      <c r="F78" s="8">
        <f t="shared" si="56"/>
        <v>143871</v>
      </c>
      <c r="G78" s="16">
        <f t="shared" si="56"/>
        <v>18266</v>
      </c>
      <c r="H78" s="8">
        <f t="shared" si="56"/>
        <v>125605</v>
      </c>
      <c r="I78" s="16">
        <f t="shared" si="56"/>
        <v>15025</v>
      </c>
      <c r="J78" s="27">
        <f t="shared" si="56"/>
        <v>110580</v>
      </c>
      <c r="K78" s="16">
        <f t="shared" si="56"/>
        <v>15570</v>
      </c>
      <c r="L78" s="27">
        <f t="shared" si="56"/>
        <v>95010</v>
      </c>
      <c r="M78" s="16">
        <f t="shared" si="56"/>
        <v>15050</v>
      </c>
      <c r="N78" s="27">
        <f t="shared" si="56"/>
        <v>79960</v>
      </c>
      <c r="O78" s="16">
        <f t="shared" si="56"/>
        <v>14747</v>
      </c>
      <c r="P78" s="8">
        <f t="shared" si="56"/>
        <v>65213</v>
      </c>
      <c r="Q78" s="9">
        <f t="shared" si="56"/>
        <v>13955</v>
      </c>
      <c r="R78" s="27">
        <f t="shared" si="56"/>
        <v>51258</v>
      </c>
      <c r="S78" s="16">
        <f t="shared" si="56"/>
        <v>13499</v>
      </c>
      <c r="T78" s="27">
        <f t="shared" si="56"/>
        <v>37759</v>
      </c>
      <c r="U78" s="16">
        <f t="shared" si="56"/>
        <v>13042</v>
      </c>
      <c r="V78" s="27">
        <f aca="true" t="shared" si="57" ref="V78:Y88">V18+V48</f>
        <v>24717</v>
      </c>
      <c r="W78" s="16">
        <f t="shared" si="57"/>
        <v>12588</v>
      </c>
      <c r="X78" s="8">
        <f t="shared" si="57"/>
        <v>12129</v>
      </c>
      <c r="Y78" s="16">
        <f t="shared" si="57"/>
        <v>12129</v>
      </c>
      <c r="Z78" s="13" t="s">
        <v>35</v>
      </c>
      <c r="AA78" s="14" t="s">
        <v>35</v>
      </c>
      <c r="AB78" s="13" t="s">
        <v>35</v>
      </c>
      <c r="AC78" s="14" t="s">
        <v>35</v>
      </c>
      <c r="AD78" s="13" t="s">
        <v>35</v>
      </c>
      <c r="AE78" s="14" t="s">
        <v>35</v>
      </c>
      <c r="AF78" s="13" t="s">
        <v>35</v>
      </c>
      <c r="AG78" s="14" t="s">
        <v>35</v>
      </c>
      <c r="AH78" s="13" t="s">
        <v>35</v>
      </c>
      <c r="AI78" s="14" t="s">
        <v>35</v>
      </c>
      <c r="AJ78" s="13" t="s">
        <v>35</v>
      </c>
      <c r="AK78" s="14" t="s">
        <v>35</v>
      </c>
      <c r="AL78" s="13" t="s">
        <v>35</v>
      </c>
      <c r="AM78" s="14" t="s">
        <v>35</v>
      </c>
      <c r="AN78" s="13" t="s">
        <v>35</v>
      </c>
      <c r="AO78" s="14" t="s">
        <v>35</v>
      </c>
      <c r="AP78" s="13" t="s">
        <v>35</v>
      </c>
      <c r="AQ78" s="14" t="s">
        <v>35</v>
      </c>
      <c r="AR78" s="13" t="s">
        <v>35</v>
      </c>
      <c r="AS78" s="14" t="s">
        <v>35</v>
      </c>
      <c r="AT78" s="13" t="s">
        <v>35</v>
      </c>
      <c r="AU78" s="14" t="s">
        <v>35</v>
      </c>
      <c r="AV78" s="13" t="s">
        <v>35</v>
      </c>
      <c r="AW78" s="14" t="s">
        <v>35</v>
      </c>
      <c r="AX78" s="13" t="s">
        <v>35</v>
      </c>
      <c r="AY78" s="14" t="s">
        <v>35</v>
      </c>
      <c r="AZ78" s="13" t="s">
        <v>35</v>
      </c>
      <c r="BA78" s="14" t="s">
        <v>35</v>
      </c>
      <c r="BB78" s="13" t="s">
        <v>35</v>
      </c>
      <c r="BC78" s="14" t="s">
        <v>35</v>
      </c>
    </row>
    <row r="79" spans="1:55" ht="12.75">
      <c r="A79" s="15" t="s">
        <v>118</v>
      </c>
      <c r="B79" s="8">
        <f aca="true" t="shared" si="58" ref="B79:U79">B19+B49</f>
        <v>0</v>
      </c>
      <c r="C79" s="16">
        <f t="shared" si="58"/>
        <v>3</v>
      </c>
      <c r="D79" s="8">
        <f t="shared" si="58"/>
        <v>80529</v>
      </c>
      <c r="E79" s="16">
        <f t="shared" si="58"/>
        <v>7774</v>
      </c>
      <c r="F79" s="8">
        <f t="shared" si="58"/>
        <v>247331</v>
      </c>
      <c r="G79" s="16">
        <f t="shared" si="58"/>
        <v>44873</v>
      </c>
      <c r="H79" s="8">
        <f t="shared" si="58"/>
        <v>202458</v>
      </c>
      <c r="I79" s="16">
        <f t="shared" si="58"/>
        <v>12878</v>
      </c>
      <c r="J79" s="27">
        <f t="shared" si="58"/>
        <v>189580</v>
      </c>
      <c r="K79" s="16">
        <f t="shared" si="58"/>
        <v>14019</v>
      </c>
      <c r="L79" s="27">
        <f t="shared" si="58"/>
        <v>175561</v>
      </c>
      <c r="M79" s="16">
        <f t="shared" si="58"/>
        <v>13619</v>
      </c>
      <c r="N79" s="27">
        <f t="shared" si="58"/>
        <v>161942</v>
      </c>
      <c r="O79" s="16">
        <f t="shared" si="58"/>
        <v>13603</v>
      </c>
      <c r="P79" s="8">
        <f t="shared" si="58"/>
        <v>148339</v>
      </c>
      <c r="Q79" s="9">
        <f t="shared" si="58"/>
        <v>12677</v>
      </c>
      <c r="R79" s="27">
        <f t="shared" si="58"/>
        <v>135662</v>
      </c>
      <c r="S79" s="16">
        <f t="shared" si="58"/>
        <v>12357</v>
      </c>
      <c r="T79" s="27">
        <f t="shared" si="58"/>
        <v>123305</v>
      </c>
      <c r="U79" s="16">
        <f t="shared" si="58"/>
        <v>12036</v>
      </c>
      <c r="V79" s="27">
        <f t="shared" si="57"/>
        <v>111269</v>
      </c>
      <c r="W79" s="16">
        <f t="shared" si="57"/>
        <v>11726</v>
      </c>
      <c r="X79" s="27">
        <f t="shared" si="57"/>
        <v>99543</v>
      </c>
      <c r="Y79" s="16">
        <f t="shared" si="57"/>
        <v>11395</v>
      </c>
      <c r="Z79" s="8">
        <f aca="true" t="shared" si="59" ref="Z79:AQ79">Z19+Z49</f>
        <v>88148</v>
      </c>
      <c r="AA79" s="9">
        <f t="shared" si="59"/>
        <v>11075</v>
      </c>
      <c r="AB79" s="8">
        <f t="shared" si="59"/>
        <v>77073</v>
      </c>
      <c r="AC79" s="9">
        <f t="shared" si="59"/>
        <v>10755</v>
      </c>
      <c r="AD79" s="8">
        <f t="shared" si="59"/>
        <v>66318</v>
      </c>
      <c r="AE79" s="9">
        <f t="shared" si="59"/>
        <v>10441</v>
      </c>
      <c r="AF79" s="8">
        <f t="shared" si="59"/>
        <v>55877</v>
      </c>
      <c r="AG79" s="9">
        <f t="shared" si="59"/>
        <v>10114</v>
      </c>
      <c r="AH79" s="8">
        <f t="shared" si="59"/>
        <v>45763</v>
      </c>
      <c r="AI79" s="9">
        <f t="shared" si="59"/>
        <v>9794</v>
      </c>
      <c r="AJ79" s="8">
        <f t="shared" si="59"/>
        <v>35969</v>
      </c>
      <c r="AK79" s="9">
        <f t="shared" si="59"/>
        <v>9473</v>
      </c>
      <c r="AL79" s="8">
        <f t="shared" si="59"/>
        <v>26496</v>
      </c>
      <c r="AM79" s="9">
        <f t="shared" si="59"/>
        <v>9156</v>
      </c>
      <c r="AN79" s="8">
        <f t="shared" si="59"/>
        <v>17340</v>
      </c>
      <c r="AO79" s="9">
        <f t="shared" si="59"/>
        <v>8833</v>
      </c>
      <c r="AP79" s="8">
        <f t="shared" si="59"/>
        <v>8507</v>
      </c>
      <c r="AQ79" s="9">
        <f t="shared" si="59"/>
        <v>8507</v>
      </c>
      <c r="AR79" s="13" t="s">
        <v>35</v>
      </c>
      <c r="AS79" s="14" t="s">
        <v>35</v>
      </c>
      <c r="AT79" s="13" t="s">
        <v>35</v>
      </c>
      <c r="AU79" s="14" t="s">
        <v>35</v>
      </c>
      <c r="AV79" s="13" t="s">
        <v>35</v>
      </c>
      <c r="AW79" s="14" t="s">
        <v>35</v>
      </c>
      <c r="AX79" s="13" t="s">
        <v>35</v>
      </c>
      <c r="AY79" s="14" t="s">
        <v>35</v>
      </c>
      <c r="AZ79" s="13" t="s">
        <v>35</v>
      </c>
      <c r="BA79" s="14" t="s">
        <v>35</v>
      </c>
      <c r="BB79" s="13" t="s">
        <v>35</v>
      </c>
      <c r="BC79" s="14" t="s">
        <v>35</v>
      </c>
    </row>
    <row r="80" spans="1:55" ht="12.75">
      <c r="A80" s="15" t="s">
        <v>173</v>
      </c>
      <c r="B80" s="8">
        <f aca="true" t="shared" si="60" ref="B80:U80">B20+B50</f>
        <v>0</v>
      </c>
      <c r="C80" s="16">
        <f t="shared" si="60"/>
        <v>0</v>
      </c>
      <c r="D80" s="8">
        <f t="shared" si="60"/>
        <v>0</v>
      </c>
      <c r="E80" s="16">
        <f t="shared" si="60"/>
        <v>0</v>
      </c>
      <c r="F80" s="8">
        <f t="shared" si="60"/>
        <v>0</v>
      </c>
      <c r="G80" s="16">
        <f t="shared" si="60"/>
        <v>0</v>
      </c>
      <c r="H80" s="8">
        <f t="shared" si="60"/>
        <v>0</v>
      </c>
      <c r="I80" s="16">
        <f t="shared" si="60"/>
        <v>0</v>
      </c>
      <c r="J80" s="27">
        <f t="shared" si="60"/>
        <v>0</v>
      </c>
      <c r="K80" s="16">
        <f t="shared" si="60"/>
        <v>2885</v>
      </c>
      <c r="L80" s="27">
        <f t="shared" si="60"/>
        <v>779335</v>
      </c>
      <c r="M80" s="16">
        <f t="shared" si="60"/>
        <v>31571</v>
      </c>
      <c r="N80" s="27">
        <f t="shared" si="60"/>
        <v>887445</v>
      </c>
      <c r="O80" s="16">
        <f t="shared" si="60"/>
        <v>34237</v>
      </c>
      <c r="P80" s="8">
        <f t="shared" si="60"/>
        <v>853208</v>
      </c>
      <c r="Q80" s="9">
        <f t="shared" si="60"/>
        <v>84206</v>
      </c>
      <c r="R80" s="27">
        <f t="shared" si="60"/>
        <v>769002</v>
      </c>
      <c r="S80" s="16">
        <f t="shared" si="60"/>
        <v>81616</v>
      </c>
      <c r="T80" s="27">
        <f t="shared" si="60"/>
        <v>687386</v>
      </c>
      <c r="U80" s="16">
        <f t="shared" si="60"/>
        <v>79027</v>
      </c>
      <c r="V80" s="27">
        <f t="shared" si="57"/>
        <v>608359</v>
      </c>
      <c r="W80" s="16">
        <f t="shared" si="57"/>
        <v>76503</v>
      </c>
      <c r="X80" s="27">
        <f t="shared" si="57"/>
        <v>531856</v>
      </c>
      <c r="Y80" s="16">
        <f t="shared" si="57"/>
        <v>73848</v>
      </c>
      <c r="Z80" s="8">
        <f aca="true" t="shared" si="61" ref="Z80:AO80">Z20+Z50</f>
        <v>458008</v>
      </c>
      <c r="AA80" s="9">
        <f t="shared" si="61"/>
        <v>71259</v>
      </c>
      <c r="AB80" s="8">
        <f t="shared" si="61"/>
        <v>386749</v>
      </c>
      <c r="AC80" s="9">
        <f t="shared" si="61"/>
        <v>68670</v>
      </c>
      <c r="AD80" s="8">
        <f t="shared" si="61"/>
        <v>318079</v>
      </c>
      <c r="AE80" s="9">
        <f t="shared" si="61"/>
        <v>66118</v>
      </c>
      <c r="AF80" s="8">
        <f t="shared" si="61"/>
        <v>251961</v>
      </c>
      <c r="AG80" s="9">
        <f t="shared" si="61"/>
        <v>63491</v>
      </c>
      <c r="AH80" s="8">
        <f t="shared" si="61"/>
        <v>188470</v>
      </c>
      <c r="AI80" s="9">
        <f t="shared" si="61"/>
        <v>60902</v>
      </c>
      <c r="AJ80" s="8">
        <f t="shared" si="61"/>
        <v>127568</v>
      </c>
      <c r="AK80" s="9">
        <f t="shared" si="61"/>
        <v>58312</v>
      </c>
      <c r="AL80" s="8">
        <f t="shared" si="61"/>
        <v>69256</v>
      </c>
      <c r="AM80" s="9">
        <f t="shared" si="61"/>
        <v>55732</v>
      </c>
      <c r="AN80" s="8">
        <f t="shared" si="61"/>
        <v>13524</v>
      </c>
      <c r="AO80" s="9">
        <f t="shared" si="61"/>
        <v>13524</v>
      </c>
      <c r="AP80" s="13" t="s">
        <v>35</v>
      </c>
      <c r="AQ80" s="14" t="s">
        <v>35</v>
      </c>
      <c r="AR80" s="13" t="s">
        <v>35</v>
      </c>
      <c r="AS80" s="14" t="s">
        <v>35</v>
      </c>
      <c r="AT80" s="13" t="s">
        <v>35</v>
      </c>
      <c r="AU80" s="14" t="s">
        <v>35</v>
      </c>
      <c r="AV80" s="13" t="s">
        <v>35</v>
      </c>
      <c r="AW80" s="14" t="s">
        <v>35</v>
      </c>
      <c r="AX80" s="13" t="s">
        <v>35</v>
      </c>
      <c r="AY80" s="14" t="s">
        <v>35</v>
      </c>
      <c r="AZ80" s="13" t="s">
        <v>35</v>
      </c>
      <c r="BA80" s="14" t="s">
        <v>35</v>
      </c>
      <c r="BB80" s="13" t="s">
        <v>35</v>
      </c>
      <c r="BC80" s="14" t="s">
        <v>35</v>
      </c>
    </row>
    <row r="81" spans="1:55" ht="12.75">
      <c r="A81" s="15" t="s">
        <v>288</v>
      </c>
      <c r="B81" s="8"/>
      <c r="C81" s="16"/>
      <c r="D81" s="8"/>
      <c r="E81" s="16"/>
      <c r="F81" s="8"/>
      <c r="G81" s="16"/>
      <c r="H81" s="8"/>
      <c r="I81" s="16"/>
      <c r="J81" s="27">
        <f aca="true" t="shared" si="62" ref="J81:U81">J21+J51</f>
        <v>0</v>
      </c>
      <c r="K81" s="16">
        <f t="shared" si="62"/>
        <v>239</v>
      </c>
      <c r="L81" s="27">
        <f t="shared" si="62"/>
        <v>340207</v>
      </c>
      <c r="M81" s="16">
        <f t="shared" si="62"/>
        <v>10475</v>
      </c>
      <c r="N81" s="27">
        <f t="shared" si="62"/>
        <v>332579</v>
      </c>
      <c r="O81" s="16">
        <f t="shared" si="62"/>
        <v>12281</v>
      </c>
      <c r="P81" s="8">
        <f t="shared" si="62"/>
        <v>320298</v>
      </c>
      <c r="Q81" s="9">
        <f t="shared" si="62"/>
        <v>21541</v>
      </c>
      <c r="R81" s="27">
        <f t="shared" si="62"/>
        <v>298757</v>
      </c>
      <c r="S81" s="16">
        <f t="shared" si="62"/>
        <v>23798</v>
      </c>
      <c r="T81" s="27">
        <f t="shared" si="62"/>
        <v>274959</v>
      </c>
      <c r="U81" s="16">
        <f t="shared" si="62"/>
        <v>23061</v>
      </c>
      <c r="V81" s="27">
        <f t="shared" si="57"/>
        <v>251898</v>
      </c>
      <c r="W81" s="16">
        <f t="shared" si="57"/>
        <v>22356</v>
      </c>
      <c r="X81" s="27">
        <f t="shared" si="57"/>
        <v>229542</v>
      </c>
      <c r="Y81" s="16">
        <f t="shared" si="57"/>
        <v>21590</v>
      </c>
      <c r="Z81" s="8">
        <f aca="true" t="shared" si="63" ref="Z81:AO81">Z21+Z51</f>
        <v>207952</v>
      </c>
      <c r="AA81" s="9">
        <f t="shared" si="63"/>
        <v>20856</v>
      </c>
      <c r="AB81" s="8">
        <f t="shared" si="63"/>
        <v>187096</v>
      </c>
      <c r="AC81" s="9">
        <f t="shared" si="63"/>
        <v>20120</v>
      </c>
      <c r="AD81" s="8">
        <f t="shared" si="63"/>
        <v>166976</v>
      </c>
      <c r="AE81" s="9">
        <f t="shared" si="63"/>
        <v>19406</v>
      </c>
      <c r="AF81" s="8">
        <f t="shared" si="63"/>
        <v>147570</v>
      </c>
      <c r="AG81" s="9">
        <f t="shared" si="63"/>
        <v>18649</v>
      </c>
      <c r="AH81" s="8">
        <f t="shared" si="63"/>
        <v>128921</v>
      </c>
      <c r="AI81" s="9">
        <f t="shared" si="63"/>
        <v>17914</v>
      </c>
      <c r="AJ81" s="8">
        <f t="shared" si="63"/>
        <v>111007</v>
      </c>
      <c r="AK81" s="9">
        <f t="shared" si="63"/>
        <v>17178</v>
      </c>
      <c r="AL81" s="8">
        <f t="shared" si="63"/>
        <v>93829</v>
      </c>
      <c r="AM81" s="9">
        <f t="shared" si="63"/>
        <v>16457</v>
      </c>
      <c r="AN81" s="8">
        <f t="shared" si="63"/>
        <v>77372</v>
      </c>
      <c r="AO81" s="9">
        <f t="shared" si="63"/>
        <v>15707</v>
      </c>
      <c r="AP81" s="8">
        <f aca="true" t="shared" si="64" ref="AP81:AY81">AP21+AP51</f>
        <v>61665</v>
      </c>
      <c r="AQ81" s="9">
        <f t="shared" si="64"/>
        <v>14973</v>
      </c>
      <c r="AR81" s="8">
        <f t="shared" si="64"/>
        <v>46692</v>
      </c>
      <c r="AS81" s="9">
        <f t="shared" si="64"/>
        <v>14236</v>
      </c>
      <c r="AT81" s="8">
        <f t="shared" si="64"/>
        <v>32456</v>
      </c>
      <c r="AU81" s="9">
        <f t="shared" si="64"/>
        <v>13507</v>
      </c>
      <c r="AV81" s="8">
        <f t="shared" si="64"/>
        <v>18949</v>
      </c>
      <c r="AW81" s="9">
        <f t="shared" si="64"/>
        <v>12765</v>
      </c>
      <c r="AX81" s="8">
        <f t="shared" si="64"/>
        <v>6184</v>
      </c>
      <c r="AY81" s="9">
        <f t="shared" si="64"/>
        <v>6184</v>
      </c>
      <c r="AZ81" s="13" t="s">
        <v>35</v>
      </c>
      <c r="BA81" s="14" t="s">
        <v>35</v>
      </c>
      <c r="BB81" s="13" t="s">
        <v>35</v>
      </c>
      <c r="BC81" s="14" t="s">
        <v>35</v>
      </c>
    </row>
    <row r="82" spans="1:55" ht="12.75">
      <c r="A82" s="15" t="s">
        <v>289</v>
      </c>
      <c r="B82" s="8"/>
      <c r="C82" s="16"/>
      <c r="D82" s="8"/>
      <c r="E82" s="16"/>
      <c r="F82" s="8"/>
      <c r="G82" s="16"/>
      <c r="H82" s="8"/>
      <c r="I82" s="16"/>
      <c r="J82" s="27">
        <f aca="true" t="shared" si="65" ref="J82:U82">J22+J52</f>
        <v>0</v>
      </c>
      <c r="K82" s="16">
        <f t="shared" si="65"/>
        <v>299</v>
      </c>
      <c r="L82" s="27">
        <f t="shared" si="65"/>
        <v>392428</v>
      </c>
      <c r="M82" s="16">
        <f t="shared" si="65"/>
        <v>12841</v>
      </c>
      <c r="N82" s="27">
        <f t="shared" si="65"/>
        <v>379587</v>
      </c>
      <c r="O82" s="16">
        <f t="shared" si="65"/>
        <v>14752</v>
      </c>
      <c r="P82" s="8">
        <f t="shared" si="65"/>
        <v>364835</v>
      </c>
      <c r="Q82" s="9">
        <f t="shared" si="65"/>
        <v>24978</v>
      </c>
      <c r="R82" s="27">
        <f t="shared" si="65"/>
        <v>339857</v>
      </c>
      <c r="S82" s="16">
        <f t="shared" si="65"/>
        <v>27413</v>
      </c>
      <c r="T82" s="27">
        <f t="shared" si="65"/>
        <v>312444</v>
      </c>
      <c r="U82" s="16">
        <f t="shared" si="65"/>
        <v>26532</v>
      </c>
      <c r="V82" s="27">
        <f t="shared" si="57"/>
        <v>285912</v>
      </c>
      <c r="W82" s="16">
        <f t="shared" si="57"/>
        <v>25687</v>
      </c>
      <c r="X82" s="27">
        <f t="shared" si="57"/>
        <v>260225</v>
      </c>
      <c r="Y82" s="16">
        <f t="shared" si="57"/>
        <v>24771</v>
      </c>
      <c r="Z82" s="8">
        <f aca="true" t="shared" si="66" ref="Z82:AO82">Z22+Z52</f>
        <v>235454</v>
      </c>
      <c r="AA82" s="9">
        <f t="shared" si="66"/>
        <v>23890</v>
      </c>
      <c r="AB82" s="8">
        <f t="shared" si="66"/>
        <v>211564</v>
      </c>
      <c r="AC82" s="9">
        <f t="shared" si="66"/>
        <v>23010</v>
      </c>
      <c r="AD82" s="8">
        <f t="shared" si="66"/>
        <v>188554</v>
      </c>
      <c r="AE82" s="9">
        <f t="shared" si="66"/>
        <v>22154</v>
      </c>
      <c r="AF82" s="8">
        <f t="shared" si="66"/>
        <v>166400</v>
      </c>
      <c r="AG82" s="9">
        <f t="shared" si="66"/>
        <v>21248</v>
      </c>
      <c r="AH82" s="8">
        <f t="shared" si="66"/>
        <v>145152</v>
      </c>
      <c r="AI82" s="9">
        <f t="shared" si="66"/>
        <v>20368</v>
      </c>
      <c r="AJ82" s="8">
        <f t="shared" si="66"/>
        <v>124784</v>
      </c>
      <c r="AK82" s="9">
        <f t="shared" si="66"/>
        <v>19487</v>
      </c>
      <c r="AL82" s="8">
        <f t="shared" si="66"/>
        <v>105297</v>
      </c>
      <c r="AM82" s="9">
        <f t="shared" si="66"/>
        <v>18622</v>
      </c>
      <c r="AN82" s="8">
        <f t="shared" si="66"/>
        <v>86675</v>
      </c>
      <c r="AO82" s="9">
        <f t="shared" si="66"/>
        <v>17726</v>
      </c>
      <c r="AP82" s="8">
        <f aca="true" t="shared" si="67" ref="AP82:AY82">AP22+AP52</f>
        <v>68949</v>
      </c>
      <c r="AQ82" s="9">
        <f t="shared" si="67"/>
        <v>16845</v>
      </c>
      <c r="AR82" s="8">
        <f t="shared" si="67"/>
        <v>52104</v>
      </c>
      <c r="AS82" s="9">
        <f t="shared" si="67"/>
        <v>15965</v>
      </c>
      <c r="AT82" s="8">
        <f t="shared" si="67"/>
        <v>36139</v>
      </c>
      <c r="AU82" s="9">
        <f t="shared" si="67"/>
        <v>15090</v>
      </c>
      <c r="AV82" s="8">
        <f t="shared" si="67"/>
        <v>21049</v>
      </c>
      <c r="AW82" s="9">
        <f t="shared" si="67"/>
        <v>14203</v>
      </c>
      <c r="AX82" s="8">
        <f t="shared" si="67"/>
        <v>6846</v>
      </c>
      <c r="AY82" s="9">
        <f t="shared" si="67"/>
        <v>6846</v>
      </c>
      <c r="AZ82" s="13" t="s">
        <v>35</v>
      </c>
      <c r="BA82" s="14" t="s">
        <v>35</v>
      </c>
      <c r="BB82" s="13" t="s">
        <v>35</v>
      </c>
      <c r="BC82" s="14" t="s">
        <v>35</v>
      </c>
    </row>
    <row r="83" spans="1:55" ht="12.75">
      <c r="A83" s="15" t="s">
        <v>290</v>
      </c>
      <c r="B83" s="8"/>
      <c r="C83" s="16"/>
      <c r="D83" s="8"/>
      <c r="E83" s="16"/>
      <c r="F83" s="8"/>
      <c r="G83" s="16"/>
      <c r="H83" s="8"/>
      <c r="I83" s="16"/>
      <c r="J83" s="27">
        <f aca="true" t="shared" si="68" ref="J83:U83">J23+J53</f>
        <v>0</v>
      </c>
      <c r="K83" s="16">
        <f t="shared" si="68"/>
        <v>10</v>
      </c>
      <c r="L83" s="27">
        <f t="shared" si="68"/>
        <v>15514</v>
      </c>
      <c r="M83" s="16">
        <f t="shared" si="68"/>
        <v>479</v>
      </c>
      <c r="N83" s="27">
        <f t="shared" si="68"/>
        <v>16857</v>
      </c>
      <c r="O83" s="16">
        <f t="shared" si="68"/>
        <v>622</v>
      </c>
      <c r="P83" s="8">
        <f t="shared" si="68"/>
        <v>16235</v>
      </c>
      <c r="Q83" s="9">
        <f t="shared" si="68"/>
        <v>1092</v>
      </c>
      <c r="R83" s="27">
        <f t="shared" si="68"/>
        <v>15143</v>
      </c>
      <c r="S83" s="16">
        <f t="shared" si="68"/>
        <v>1206</v>
      </c>
      <c r="T83" s="27">
        <f t="shared" si="68"/>
        <v>13937</v>
      </c>
      <c r="U83" s="16">
        <f t="shared" si="68"/>
        <v>1169</v>
      </c>
      <c r="V83" s="27">
        <f t="shared" si="57"/>
        <v>12768</v>
      </c>
      <c r="W83" s="16">
        <f t="shared" si="57"/>
        <v>1133</v>
      </c>
      <c r="X83" s="27">
        <f t="shared" si="57"/>
        <v>11635</v>
      </c>
      <c r="Y83" s="16">
        <f t="shared" si="57"/>
        <v>1094</v>
      </c>
      <c r="Z83" s="8">
        <f aca="true" t="shared" si="69" ref="Z83:AO83">Z23+Z53</f>
        <v>10541</v>
      </c>
      <c r="AA83" s="9">
        <f t="shared" si="69"/>
        <v>1057</v>
      </c>
      <c r="AB83" s="8">
        <f t="shared" si="69"/>
        <v>9484</v>
      </c>
      <c r="AC83" s="9">
        <f t="shared" si="69"/>
        <v>1020</v>
      </c>
      <c r="AD83" s="8">
        <f t="shared" si="69"/>
        <v>8464</v>
      </c>
      <c r="AE83" s="9">
        <f t="shared" si="69"/>
        <v>984</v>
      </c>
      <c r="AF83" s="8">
        <f t="shared" si="69"/>
        <v>7480</v>
      </c>
      <c r="AG83" s="9">
        <f t="shared" si="69"/>
        <v>945</v>
      </c>
      <c r="AH83" s="8">
        <f t="shared" si="69"/>
        <v>6535</v>
      </c>
      <c r="AI83" s="9">
        <f t="shared" si="69"/>
        <v>908</v>
      </c>
      <c r="AJ83" s="8">
        <f t="shared" si="69"/>
        <v>5627</v>
      </c>
      <c r="AK83" s="9">
        <f t="shared" si="69"/>
        <v>871</v>
      </c>
      <c r="AL83" s="8">
        <f t="shared" si="69"/>
        <v>4756</v>
      </c>
      <c r="AM83" s="9">
        <f t="shared" si="69"/>
        <v>834</v>
      </c>
      <c r="AN83" s="8">
        <f t="shared" si="69"/>
        <v>3922</v>
      </c>
      <c r="AO83" s="9">
        <f t="shared" si="69"/>
        <v>796</v>
      </c>
      <c r="AP83" s="8">
        <f aca="true" t="shared" si="70" ref="AP83:AY83">AP23+AP53</f>
        <v>3126</v>
      </c>
      <c r="AQ83" s="9">
        <f t="shared" si="70"/>
        <v>759</v>
      </c>
      <c r="AR83" s="8">
        <f t="shared" si="70"/>
        <v>2367</v>
      </c>
      <c r="AS83" s="9">
        <f t="shared" si="70"/>
        <v>722</v>
      </c>
      <c r="AT83" s="8">
        <f t="shared" si="70"/>
        <v>1645</v>
      </c>
      <c r="AU83" s="9">
        <f t="shared" si="70"/>
        <v>685</v>
      </c>
      <c r="AV83" s="8">
        <f t="shared" si="70"/>
        <v>960</v>
      </c>
      <c r="AW83" s="9">
        <f t="shared" si="70"/>
        <v>647</v>
      </c>
      <c r="AX83" s="8">
        <f t="shared" si="70"/>
        <v>313</v>
      </c>
      <c r="AY83" s="9">
        <f t="shared" si="70"/>
        <v>313</v>
      </c>
      <c r="AZ83" s="13" t="s">
        <v>35</v>
      </c>
      <c r="BA83" s="14" t="s">
        <v>35</v>
      </c>
      <c r="BB83" s="13" t="s">
        <v>35</v>
      </c>
      <c r="BC83" s="14" t="s">
        <v>35</v>
      </c>
    </row>
    <row r="84" spans="1:55" ht="13.5" thickBot="1">
      <c r="A84" s="15" t="s">
        <v>291</v>
      </c>
      <c r="B84" s="334"/>
      <c r="C84" s="17"/>
      <c r="D84" s="334"/>
      <c r="E84" s="17"/>
      <c r="F84" s="334"/>
      <c r="G84" s="17"/>
      <c r="H84" s="334"/>
      <c r="I84" s="17"/>
      <c r="J84" s="27">
        <f aca="true" t="shared" si="71" ref="J84:U84">J24+J54</f>
        <v>0</v>
      </c>
      <c r="K84" s="16">
        <f t="shared" si="71"/>
        <v>11</v>
      </c>
      <c r="L84" s="27">
        <f t="shared" si="71"/>
        <v>16610</v>
      </c>
      <c r="M84" s="16">
        <f t="shared" si="71"/>
        <v>512</v>
      </c>
      <c r="N84" s="27">
        <f t="shared" si="71"/>
        <v>17703</v>
      </c>
      <c r="O84" s="16">
        <f t="shared" si="71"/>
        <v>654</v>
      </c>
      <c r="P84" s="8">
        <f t="shared" si="71"/>
        <v>17049</v>
      </c>
      <c r="Q84" s="9">
        <f t="shared" si="71"/>
        <v>1153</v>
      </c>
      <c r="R84" s="27">
        <f t="shared" si="71"/>
        <v>15896</v>
      </c>
      <c r="S84" s="16">
        <f t="shared" si="71"/>
        <v>1275</v>
      </c>
      <c r="T84" s="27">
        <f t="shared" si="71"/>
        <v>14621</v>
      </c>
      <c r="U84" s="16">
        <f t="shared" si="71"/>
        <v>1235</v>
      </c>
      <c r="V84" s="27">
        <f t="shared" si="57"/>
        <v>13386</v>
      </c>
      <c r="W84" s="16">
        <f t="shared" si="57"/>
        <v>1198</v>
      </c>
      <c r="X84" s="27">
        <f t="shared" si="57"/>
        <v>12188</v>
      </c>
      <c r="Y84" s="16">
        <f t="shared" si="57"/>
        <v>1157</v>
      </c>
      <c r="Z84" s="8">
        <f aca="true" t="shared" si="72" ref="Z84:AO84">Z24+Z54</f>
        <v>11031</v>
      </c>
      <c r="AA84" s="9">
        <f t="shared" si="72"/>
        <v>1118</v>
      </c>
      <c r="AB84" s="8">
        <f t="shared" si="72"/>
        <v>9913</v>
      </c>
      <c r="AC84" s="9">
        <f t="shared" si="72"/>
        <v>1079</v>
      </c>
      <c r="AD84" s="8">
        <f t="shared" si="72"/>
        <v>8834</v>
      </c>
      <c r="AE84" s="9">
        <f t="shared" si="72"/>
        <v>1041</v>
      </c>
      <c r="AF84" s="8">
        <f t="shared" si="72"/>
        <v>7793</v>
      </c>
      <c r="AG84" s="9">
        <f t="shared" si="72"/>
        <v>1001</v>
      </c>
      <c r="AH84" s="8">
        <f t="shared" si="72"/>
        <v>6792</v>
      </c>
      <c r="AI84" s="9">
        <f t="shared" si="72"/>
        <v>961</v>
      </c>
      <c r="AJ84" s="8">
        <f t="shared" si="72"/>
        <v>5831</v>
      </c>
      <c r="AK84" s="9">
        <f t="shared" si="72"/>
        <v>922</v>
      </c>
      <c r="AL84" s="8">
        <f t="shared" si="72"/>
        <v>4909</v>
      </c>
      <c r="AM84" s="9">
        <f t="shared" si="72"/>
        <v>884</v>
      </c>
      <c r="AN84" s="8">
        <f t="shared" si="72"/>
        <v>4025</v>
      </c>
      <c r="AO84" s="9">
        <f t="shared" si="72"/>
        <v>844</v>
      </c>
      <c r="AP84" s="8">
        <f aca="true" t="shared" si="73" ref="AP84:AY84">AP24+AP54</f>
        <v>3181</v>
      </c>
      <c r="AQ84" s="9">
        <f t="shared" si="73"/>
        <v>805</v>
      </c>
      <c r="AR84" s="8">
        <f t="shared" si="73"/>
        <v>2376</v>
      </c>
      <c r="AS84" s="9">
        <f t="shared" si="73"/>
        <v>766</v>
      </c>
      <c r="AT84" s="8">
        <f t="shared" si="73"/>
        <v>1610</v>
      </c>
      <c r="AU84" s="9">
        <f t="shared" si="73"/>
        <v>727</v>
      </c>
      <c r="AV84" s="8">
        <f t="shared" si="73"/>
        <v>883</v>
      </c>
      <c r="AW84" s="9">
        <f t="shared" si="73"/>
        <v>687</v>
      </c>
      <c r="AX84" s="8">
        <f t="shared" si="73"/>
        <v>196</v>
      </c>
      <c r="AY84" s="9">
        <f t="shared" si="73"/>
        <v>335</v>
      </c>
      <c r="AZ84" s="13" t="s">
        <v>35</v>
      </c>
      <c r="BA84" s="14" t="s">
        <v>35</v>
      </c>
      <c r="BB84" s="13" t="s">
        <v>35</v>
      </c>
      <c r="BC84" s="14" t="s">
        <v>35</v>
      </c>
    </row>
    <row r="85" spans="1:55" ht="13.5" thickTop="1">
      <c r="A85" s="15" t="s">
        <v>307</v>
      </c>
      <c r="B85" s="8"/>
      <c r="C85" s="16"/>
      <c r="D85" s="8"/>
      <c r="E85" s="16"/>
      <c r="F85" s="8"/>
      <c r="G85" s="16"/>
      <c r="H85" s="8"/>
      <c r="I85" s="16"/>
      <c r="J85" s="27">
        <f aca="true" t="shared" si="74" ref="J85:U85">J25+J55</f>
        <v>0</v>
      </c>
      <c r="K85" s="16">
        <f t="shared" si="74"/>
        <v>0</v>
      </c>
      <c r="L85" s="27">
        <f t="shared" si="74"/>
        <v>248663</v>
      </c>
      <c r="M85" s="16">
        <f t="shared" si="74"/>
        <v>2440</v>
      </c>
      <c r="N85" s="27">
        <f t="shared" si="74"/>
        <v>489549</v>
      </c>
      <c r="O85" s="16">
        <f t="shared" si="74"/>
        <v>24960</v>
      </c>
      <c r="P85" s="8">
        <f t="shared" si="74"/>
        <v>716180</v>
      </c>
      <c r="Q85" s="9">
        <f t="shared" si="74"/>
        <v>41714</v>
      </c>
      <c r="R85" s="27">
        <f t="shared" si="74"/>
        <v>674466</v>
      </c>
      <c r="S85" s="16">
        <f t="shared" si="74"/>
        <v>70283</v>
      </c>
      <c r="T85" s="27">
        <f t="shared" si="74"/>
        <v>604183</v>
      </c>
      <c r="U85" s="16">
        <f t="shared" si="74"/>
        <v>67754</v>
      </c>
      <c r="V85" s="27">
        <f t="shared" si="57"/>
        <v>536429</v>
      </c>
      <c r="W85" s="16">
        <f t="shared" si="57"/>
        <v>65294</v>
      </c>
      <c r="X85" s="27">
        <f t="shared" si="57"/>
        <v>471135</v>
      </c>
      <c r="Y85" s="16">
        <f t="shared" si="57"/>
        <v>62696</v>
      </c>
      <c r="Z85" s="8">
        <f aca="true" t="shared" si="75" ref="Z85:AO85">Z25+Z55</f>
        <v>408439</v>
      </c>
      <c r="AA85" s="9">
        <f t="shared" si="75"/>
        <v>60167</v>
      </c>
      <c r="AB85" s="8">
        <f t="shared" si="75"/>
        <v>348272</v>
      </c>
      <c r="AC85" s="9">
        <f t="shared" si="75"/>
        <v>57638</v>
      </c>
      <c r="AD85" s="8">
        <f t="shared" si="75"/>
        <v>290634</v>
      </c>
      <c r="AE85" s="9">
        <f t="shared" si="75"/>
        <v>55151</v>
      </c>
      <c r="AF85" s="8">
        <f t="shared" si="75"/>
        <v>235483</v>
      </c>
      <c r="AG85" s="9">
        <f t="shared" si="75"/>
        <v>52580</v>
      </c>
      <c r="AH85" s="8">
        <f t="shared" si="75"/>
        <v>182903</v>
      </c>
      <c r="AI85" s="9">
        <f t="shared" si="75"/>
        <v>49887</v>
      </c>
      <c r="AJ85" s="8">
        <f t="shared" si="75"/>
        <v>133016</v>
      </c>
      <c r="AK85" s="9">
        <f t="shared" si="75"/>
        <v>46863</v>
      </c>
      <c r="AL85" s="8">
        <f t="shared" si="75"/>
        <v>86153</v>
      </c>
      <c r="AM85" s="9">
        <f t="shared" si="75"/>
        <v>44348</v>
      </c>
      <c r="AN85" s="8">
        <f t="shared" si="75"/>
        <v>41805</v>
      </c>
      <c r="AO85" s="9">
        <f t="shared" si="75"/>
        <v>41805</v>
      </c>
      <c r="AP85" s="13" t="s">
        <v>35</v>
      </c>
      <c r="AQ85" s="24" t="s">
        <v>35</v>
      </c>
      <c r="AR85" s="13" t="s">
        <v>35</v>
      </c>
      <c r="AS85" s="14" t="s">
        <v>35</v>
      </c>
      <c r="AT85" s="13" t="s">
        <v>35</v>
      </c>
      <c r="AU85" s="14" t="s">
        <v>35</v>
      </c>
      <c r="AV85" s="13" t="s">
        <v>35</v>
      </c>
      <c r="AW85" s="14" t="s">
        <v>35</v>
      </c>
      <c r="AX85" s="13" t="s">
        <v>35</v>
      </c>
      <c r="AY85" s="14" t="s">
        <v>35</v>
      </c>
      <c r="AZ85" s="13" t="s">
        <v>35</v>
      </c>
      <c r="BA85" s="14" t="s">
        <v>35</v>
      </c>
      <c r="BB85" s="13" t="s">
        <v>35</v>
      </c>
      <c r="BC85" s="14" t="s">
        <v>35</v>
      </c>
    </row>
    <row r="86" spans="1:55" ht="12.75">
      <c r="A86" s="15" t="s">
        <v>230</v>
      </c>
      <c r="B86" s="8"/>
      <c r="C86" s="16"/>
      <c r="D86" s="8"/>
      <c r="E86" s="16"/>
      <c r="F86" s="8"/>
      <c r="G86" s="16"/>
      <c r="H86" s="8"/>
      <c r="I86" s="16"/>
      <c r="J86" s="27"/>
      <c r="K86" s="16"/>
      <c r="L86" s="27">
        <f aca="true" t="shared" si="76" ref="L86:U86">L26+L56</f>
        <v>122374</v>
      </c>
      <c r="M86" s="16">
        <f t="shared" si="76"/>
        <v>704</v>
      </c>
      <c r="N86" s="27">
        <f t="shared" si="76"/>
        <v>302762</v>
      </c>
      <c r="O86" s="16">
        <f t="shared" si="76"/>
        <v>10369</v>
      </c>
      <c r="P86" s="8">
        <f t="shared" si="76"/>
        <v>307661</v>
      </c>
      <c r="Q86" s="9">
        <f t="shared" si="76"/>
        <v>10870</v>
      </c>
      <c r="R86" s="27">
        <f t="shared" si="76"/>
        <v>296791</v>
      </c>
      <c r="S86" s="16">
        <f t="shared" si="76"/>
        <v>19169</v>
      </c>
      <c r="T86" s="27">
        <f t="shared" si="76"/>
        <v>277622</v>
      </c>
      <c r="U86" s="16">
        <f t="shared" si="76"/>
        <v>21400</v>
      </c>
      <c r="V86" s="27">
        <f t="shared" si="57"/>
        <v>256222</v>
      </c>
      <c r="W86" s="16">
        <f t="shared" si="57"/>
        <v>20814</v>
      </c>
      <c r="X86" s="27">
        <f t="shared" si="57"/>
        <v>235408</v>
      </c>
      <c r="Y86" s="16">
        <f t="shared" si="57"/>
        <v>20175</v>
      </c>
      <c r="Z86" s="8">
        <f aca="true" t="shared" si="77" ref="Z86:AO86">Z26+Z56</f>
        <v>215233</v>
      </c>
      <c r="AA86" s="9">
        <f t="shared" si="77"/>
        <v>19562</v>
      </c>
      <c r="AB86" s="8">
        <f t="shared" si="77"/>
        <v>195671</v>
      </c>
      <c r="AC86" s="9">
        <f t="shared" si="77"/>
        <v>18948</v>
      </c>
      <c r="AD86" s="8">
        <f t="shared" si="77"/>
        <v>176723</v>
      </c>
      <c r="AE86" s="9">
        <f t="shared" si="77"/>
        <v>18356</v>
      </c>
      <c r="AF86" s="8">
        <f t="shared" si="77"/>
        <v>158367</v>
      </c>
      <c r="AG86" s="9">
        <f t="shared" si="77"/>
        <v>17723</v>
      </c>
      <c r="AH86" s="8">
        <f t="shared" si="77"/>
        <v>140644</v>
      </c>
      <c r="AI86" s="9">
        <f t="shared" si="77"/>
        <v>17111</v>
      </c>
      <c r="AJ86" s="8">
        <f t="shared" si="77"/>
        <v>123533</v>
      </c>
      <c r="AK86" s="9">
        <f t="shared" si="77"/>
        <v>16497</v>
      </c>
      <c r="AL86" s="8">
        <f t="shared" si="77"/>
        <v>107036</v>
      </c>
      <c r="AM86" s="9">
        <f t="shared" si="77"/>
        <v>15899</v>
      </c>
      <c r="AN86" s="8">
        <f t="shared" si="77"/>
        <v>91137</v>
      </c>
      <c r="AO86" s="9">
        <f t="shared" si="77"/>
        <v>15272</v>
      </c>
      <c r="AP86" s="8">
        <f aca="true" t="shared" si="78" ref="AP86:BA86">AP26+AP56</f>
        <v>75865</v>
      </c>
      <c r="AQ86" s="9">
        <f t="shared" si="78"/>
        <v>14660</v>
      </c>
      <c r="AR86" s="8">
        <f t="shared" si="78"/>
        <v>61205</v>
      </c>
      <c r="AS86" s="9">
        <f t="shared" si="78"/>
        <v>14046</v>
      </c>
      <c r="AT86" s="8">
        <f t="shared" si="78"/>
        <v>47159</v>
      </c>
      <c r="AU86" s="9">
        <f t="shared" si="78"/>
        <v>13441</v>
      </c>
      <c r="AV86" s="8">
        <f t="shared" si="78"/>
        <v>33718</v>
      </c>
      <c r="AW86" s="9">
        <f t="shared" si="78"/>
        <v>12821</v>
      </c>
      <c r="AX86" s="8">
        <f t="shared" si="78"/>
        <v>20897</v>
      </c>
      <c r="AY86" s="9">
        <f t="shared" si="78"/>
        <v>12209</v>
      </c>
      <c r="AZ86" s="8">
        <f t="shared" si="78"/>
        <v>8688</v>
      </c>
      <c r="BA86" s="9">
        <f t="shared" si="78"/>
        <v>8688</v>
      </c>
      <c r="BB86" s="13" t="s">
        <v>35</v>
      </c>
      <c r="BC86" s="14" t="s">
        <v>35</v>
      </c>
    </row>
    <row r="87" spans="1:55" ht="12.75">
      <c r="A87" s="15" t="s">
        <v>231</v>
      </c>
      <c r="B87" s="8"/>
      <c r="C87" s="16"/>
      <c r="D87" s="8"/>
      <c r="E87" s="16"/>
      <c r="F87" s="8"/>
      <c r="G87" s="16"/>
      <c r="H87" s="8"/>
      <c r="I87" s="16"/>
      <c r="J87" s="27"/>
      <c r="K87" s="16"/>
      <c r="L87" s="27">
        <f aca="true" t="shared" si="79" ref="L87:U87">L27+L57</f>
        <v>528703</v>
      </c>
      <c r="M87" s="16">
        <f t="shared" si="79"/>
        <v>1743</v>
      </c>
      <c r="N87" s="27">
        <f t="shared" si="79"/>
        <v>878412</v>
      </c>
      <c r="O87" s="16">
        <f t="shared" si="79"/>
        <v>38990</v>
      </c>
      <c r="P87" s="8">
        <f t="shared" si="79"/>
        <v>1210082</v>
      </c>
      <c r="Q87" s="9">
        <f t="shared" si="79"/>
        <v>47742</v>
      </c>
      <c r="R87" s="27">
        <f t="shared" si="79"/>
        <v>1162340</v>
      </c>
      <c r="S87" s="16">
        <f t="shared" si="79"/>
        <v>78180</v>
      </c>
      <c r="T87" s="27">
        <f t="shared" si="79"/>
        <v>1084160</v>
      </c>
      <c r="U87" s="16">
        <f t="shared" si="79"/>
        <v>85966</v>
      </c>
      <c r="V87" s="27">
        <f t="shared" si="57"/>
        <v>998194</v>
      </c>
      <c r="W87" s="16">
        <f t="shared" si="57"/>
        <v>83385</v>
      </c>
      <c r="X87" s="27">
        <f t="shared" si="57"/>
        <v>914809</v>
      </c>
      <c r="Y87" s="16">
        <f t="shared" si="57"/>
        <v>80571</v>
      </c>
      <c r="Z87" s="8">
        <f aca="true" t="shared" si="80" ref="Z87:AO87">Z27+Z57</f>
        <v>834238</v>
      </c>
      <c r="AA87" s="9">
        <f t="shared" si="80"/>
        <v>77874</v>
      </c>
      <c r="AB87" s="8">
        <f t="shared" si="80"/>
        <v>756364</v>
      </c>
      <c r="AC87" s="9">
        <f t="shared" si="80"/>
        <v>75176</v>
      </c>
      <c r="AD87" s="8">
        <f t="shared" si="80"/>
        <v>681188</v>
      </c>
      <c r="AE87" s="9">
        <f t="shared" si="80"/>
        <v>72566</v>
      </c>
      <c r="AF87" s="8">
        <f t="shared" si="80"/>
        <v>608622</v>
      </c>
      <c r="AG87" s="9">
        <f t="shared" si="80"/>
        <v>69781</v>
      </c>
      <c r="AH87" s="8">
        <f t="shared" si="80"/>
        <v>538841</v>
      </c>
      <c r="AI87" s="9">
        <f t="shared" si="80"/>
        <v>67085</v>
      </c>
      <c r="AJ87" s="8">
        <f t="shared" si="80"/>
        <v>471756</v>
      </c>
      <c r="AK87" s="9">
        <f t="shared" si="80"/>
        <v>64387</v>
      </c>
      <c r="AL87" s="8">
        <f t="shared" si="80"/>
        <v>407369</v>
      </c>
      <c r="AM87" s="9">
        <f t="shared" si="80"/>
        <v>61748</v>
      </c>
      <c r="AN87" s="8">
        <f t="shared" si="80"/>
        <v>345621</v>
      </c>
      <c r="AO87" s="9">
        <f t="shared" si="80"/>
        <v>58992</v>
      </c>
      <c r="AP87" s="8">
        <f aca="true" t="shared" si="81" ref="AP87:BA87">AP27+AP57</f>
        <v>286629</v>
      </c>
      <c r="AQ87" s="9">
        <f t="shared" si="81"/>
        <v>56296</v>
      </c>
      <c r="AR87" s="8">
        <f t="shared" si="81"/>
        <v>230333</v>
      </c>
      <c r="AS87" s="9">
        <f t="shared" si="81"/>
        <v>53596</v>
      </c>
      <c r="AT87" s="8">
        <f t="shared" si="81"/>
        <v>176737</v>
      </c>
      <c r="AU87" s="9">
        <f t="shared" si="81"/>
        <v>50930</v>
      </c>
      <c r="AV87" s="8">
        <f t="shared" si="81"/>
        <v>125807</v>
      </c>
      <c r="AW87" s="9">
        <f t="shared" si="81"/>
        <v>48204</v>
      </c>
      <c r="AX87" s="8">
        <f t="shared" si="81"/>
        <v>77603</v>
      </c>
      <c r="AY87" s="9">
        <f t="shared" si="81"/>
        <v>45507</v>
      </c>
      <c r="AZ87" s="8">
        <f t="shared" si="81"/>
        <v>32096</v>
      </c>
      <c r="BA87" s="9">
        <f t="shared" si="81"/>
        <v>32096</v>
      </c>
      <c r="BB87" s="13" t="s">
        <v>35</v>
      </c>
      <c r="BC87" s="14" t="s">
        <v>35</v>
      </c>
    </row>
    <row r="88" spans="1:55" ht="13.5" thickBot="1">
      <c r="A88" s="15" t="s">
        <v>232</v>
      </c>
      <c r="B88" s="8"/>
      <c r="C88" s="16"/>
      <c r="D88" s="8"/>
      <c r="E88" s="16"/>
      <c r="F88" s="8"/>
      <c r="G88" s="16"/>
      <c r="H88" s="8"/>
      <c r="I88" s="16"/>
      <c r="J88" s="335">
        <f>J28+J58</f>
        <v>0</v>
      </c>
      <c r="K88" s="17">
        <f>K28+K58</f>
        <v>0</v>
      </c>
      <c r="L88" s="27">
        <f aca="true" t="shared" si="82" ref="L88:U88">L28+L58</f>
        <v>9476</v>
      </c>
      <c r="M88" s="16">
        <f t="shared" si="82"/>
        <v>50</v>
      </c>
      <c r="N88" s="27">
        <f t="shared" si="82"/>
        <v>22819</v>
      </c>
      <c r="O88" s="16">
        <f t="shared" si="82"/>
        <v>752</v>
      </c>
      <c r="P88" s="8">
        <f t="shared" si="82"/>
        <v>23976</v>
      </c>
      <c r="Q88" s="9">
        <f t="shared" si="82"/>
        <v>847</v>
      </c>
      <c r="R88" s="27">
        <f t="shared" si="82"/>
        <v>23129</v>
      </c>
      <c r="S88" s="16">
        <f t="shared" si="82"/>
        <v>1494</v>
      </c>
      <c r="T88" s="27">
        <f t="shared" si="82"/>
        <v>21635</v>
      </c>
      <c r="U88" s="16">
        <f t="shared" si="82"/>
        <v>1667</v>
      </c>
      <c r="V88" s="27">
        <f t="shared" si="57"/>
        <v>19968</v>
      </c>
      <c r="W88" s="16">
        <f t="shared" si="57"/>
        <v>1622</v>
      </c>
      <c r="X88" s="27">
        <f t="shared" si="57"/>
        <v>18346</v>
      </c>
      <c r="Y88" s="16">
        <f t="shared" si="57"/>
        <v>1572</v>
      </c>
      <c r="Z88" s="8">
        <f aca="true" t="shared" si="83" ref="Z88:AO88">Z28+Z58</f>
        <v>16774</v>
      </c>
      <c r="AA88" s="9">
        <f t="shared" si="83"/>
        <v>1524</v>
      </c>
      <c r="AB88" s="8">
        <f t="shared" si="83"/>
        <v>15250</v>
      </c>
      <c r="AC88" s="9">
        <f t="shared" si="83"/>
        <v>1477</v>
      </c>
      <c r="AD88" s="8">
        <f t="shared" si="83"/>
        <v>13773</v>
      </c>
      <c r="AE88" s="9">
        <f t="shared" si="83"/>
        <v>1430</v>
      </c>
      <c r="AF88" s="8">
        <f t="shared" si="83"/>
        <v>12343</v>
      </c>
      <c r="AG88" s="9">
        <f t="shared" si="83"/>
        <v>1382</v>
      </c>
      <c r="AH88" s="8">
        <f t="shared" si="83"/>
        <v>10961</v>
      </c>
      <c r="AI88" s="9">
        <f t="shared" si="83"/>
        <v>1333</v>
      </c>
      <c r="AJ88" s="8">
        <f t="shared" si="83"/>
        <v>9628</v>
      </c>
      <c r="AK88" s="9">
        <f t="shared" si="83"/>
        <v>1286</v>
      </c>
      <c r="AL88" s="8">
        <f t="shared" si="83"/>
        <v>8342</v>
      </c>
      <c r="AM88" s="9">
        <f t="shared" si="83"/>
        <v>1239</v>
      </c>
      <c r="AN88" s="8">
        <f t="shared" si="83"/>
        <v>7103</v>
      </c>
      <c r="AO88" s="9">
        <f t="shared" si="83"/>
        <v>1191</v>
      </c>
      <c r="AP88" s="8">
        <f aca="true" t="shared" si="84" ref="AP88:BA88">AP28+AP58</f>
        <v>5912</v>
      </c>
      <c r="AQ88" s="9">
        <f t="shared" si="84"/>
        <v>1142</v>
      </c>
      <c r="AR88" s="8">
        <f t="shared" si="84"/>
        <v>4770</v>
      </c>
      <c r="AS88" s="9">
        <f t="shared" si="84"/>
        <v>1095</v>
      </c>
      <c r="AT88" s="8">
        <f t="shared" si="84"/>
        <v>3675</v>
      </c>
      <c r="AU88" s="9">
        <f t="shared" si="84"/>
        <v>1047</v>
      </c>
      <c r="AV88" s="8">
        <f t="shared" si="84"/>
        <v>2628</v>
      </c>
      <c r="AW88" s="9">
        <f t="shared" si="84"/>
        <v>1000</v>
      </c>
      <c r="AX88" s="8">
        <f t="shared" si="84"/>
        <v>1628</v>
      </c>
      <c r="AY88" s="9">
        <f t="shared" si="84"/>
        <v>951</v>
      </c>
      <c r="AZ88" s="8">
        <f t="shared" si="84"/>
        <v>677</v>
      </c>
      <c r="BA88" s="9">
        <f t="shared" si="84"/>
        <v>677</v>
      </c>
      <c r="BB88" s="13" t="s">
        <v>35</v>
      </c>
      <c r="BC88" s="14" t="s">
        <v>35</v>
      </c>
    </row>
    <row r="89" spans="1:55" ht="13.5" thickTop="1">
      <c r="A89" s="15" t="s">
        <v>283</v>
      </c>
      <c r="B89" s="8"/>
      <c r="C89" s="16"/>
      <c r="D89" s="8"/>
      <c r="E89" s="16"/>
      <c r="F89" s="8"/>
      <c r="G89" s="16"/>
      <c r="H89" s="8"/>
      <c r="I89" s="16"/>
      <c r="J89" s="27"/>
      <c r="K89" s="16"/>
      <c r="L89" s="27">
        <f aca="true" t="shared" si="85" ref="L89:BC89">L29+L59</f>
        <v>0</v>
      </c>
      <c r="M89" s="16" t="e">
        <f t="shared" si="85"/>
        <v>#REF!</v>
      </c>
      <c r="N89" s="27">
        <f t="shared" si="85"/>
        <v>2635617</v>
      </c>
      <c r="O89" s="16">
        <f t="shared" si="85"/>
        <v>7840</v>
      </c>
      <c r="P89" s="8">
        <f t="shared" si="85"/>
        <v>3867777</v>
      </c>
      <c r="Q89" s="9">
        <f t="shared" si="85"/>
        <v>108015</v>
      </c>
      <c r="R89" s="27">
        <f t="shared" si="85"/>
        <v>4959762</v>
      </c>
      <c r="S89" s="16">
        <f t="shared" si="85"/>
        <v>192147</v>
      </c>
      <c r="T89" s="27">
        <f t="shared" si="85"/>
        <v>5967615</v>
      </c>
      <c r="U89" s="16">
        <f t="shared" si="85"/>
        <v>360872</v>
      </c>
      <c r="V89" s="27">
        <f t="shared" si="85"/>
        <v>5606743</v>
      </c>
      <c r="W89" s="16">
        <f t="shared" si="85"/>
        <v>456414</v>
      </c>
      <c r="X89" s="27">
        <f t="shared" si="85"/>
        <v>5150330</v>
      </c>
      <c r="Y89" s="16">
        <f t="shared" si="85"/>
        <v>440764</v>
      </c>
      <c r="Z89" s="8">
        <f t="shared" si="85"/>
        <v>4709566</v>
      </c>
      <c r="AA89" s="9">
        <f t="shared" si="85"/>
        <v>425792</v>
      </c>
      <c r="AB89" s="8">
        <f t="shared" si="85"/>
        <v>4283774</v>
      </c>
      <c r="AC89" s="9">
        <f t="shared" si="85"/>
        <v>410819</v>
      </c>
      <c r="AD89" s="8">
        <f t="shared" si="85"/>
        <v>3872956</v>
      </c>
      <c r="AE89" s="9">
        <f t="shared" si="85"/>
        <v>396359</v>
      </c>
      <c r="AF89" s="8">
        <f t="shared" si="85"/>
        <v>3476597</v>
      </c>
      <c r="AG89" s="9">
        <f t="shared" si="85"/>
        <v>380873</v>
      </c>
      <c r="AH89" s="8">
        <f t="shared" si="85"/>
        <v>3095724</v>
      </c>
      <c r="AI89" s="9">
        <f t="shared" si="85"/>
        <v>365900</v>
      </c>
      <c r="AJ89" s="8">
        <f t="shared" si="85"/>
        <v>2729825</v>
      </c>
      <c r="AK89" s="9">
        <f t="shared" si="85"/>
        <v>350928</v>
      </c>
      <c r="AL89" s="8">
        <f t="shared" si="85"/>
        <v>2378897</v>
      </c>
      <c r="AM89" s="9">
        <f t="shared" si="85"/>
        <v>336303</v>
      </c>
      <c r="AN89" s="8">
        <f t="shared" si="85"/>
        <v>2042594</v>
      </c>
      <c r="AO89" s="9">
        <f t="shared" si="85"/>
        <v>320982</v>
      </c>
      <c r="AP89" s="8">
        <f t="shared" si="85"/>
        <v>1721613</v>
      </c>
      <c r="AQ89" s="9">
        <f t="shared" si="85"/>
        <v>306009</v>
      </c>
      <c r="AR89" s="8">
        <f t="shared" si="85"/>
        <v>1415604</v>
      </c>
      <c r="AS89" s="9">
        <f t="shared" si="85"/>
        <v>291036</v>
      </c>
      <c r="AT89" s="8">
        <f t="shared" si="85"/>
        <v>1124568</v>
      </c>
      <c r="AU89" s="9">
        <f t="shared" si="85"/>
        <v>276248</v>
      </c>
      <c r="AV89" s="8">
        <f t="shared" si="85"/>
        <v>848321</v>
      </c>
      <c r="AW89" s="9">
        <f t="shared" si="85"/>
        <v>261091</v>
      </c>
      <c r="AX89" s="8">
        <f t="shared" si="85"/>
        <v>587230</v>
      </c>
      <c r="AY89" s="9">
        <f t="shared" si="85"/>
        <v>246118</v>
      </c>
      <c r="AZ89" s="8">
        <f t="shared" si="85"/>
        <v>341112</v>
      </c>
      <c r="BA89" s="9">
        <f t="shared" si="85"/>
        <v>231145</v>
      </c>
      <c r="BB89" s="8">
        <f t="shared" si="85"/>
        <v>109968</v>
      </c>
      <c r="BC89" s="9">
        <f t="shared" si="85"/>
        <v>109968</v>
      </c>
    </row>
    <row r="90" spans="1:55" ht="12.75">
      <c r="A90" s="15" t="s">
        <v>284</v>
      </c>
      <c r="B90" s="8"/>
      <c r="C90" s="16"/>
      <c r="D90" s="8"/>
      <c r="E90" s="16"/>
      <c r="F90" s="8"/>
      <c r="G90" s="16"/>
      <c r="H90" s="8"/>
      <c r="I90" s="16"/>
      <c r="J90" s="27"/>
      <c r="K90" s="16"/>
      <c r="L90" s="27">
        <f aca="true" t="shared" si="86" ref="L90:BC90">L30+L60</f>
        <v>0</v>
      </c>
      <c r="M90" s="16">
        <f t="shared" si="86"/>
        <v>0</v>
      </c>
      <c r="N90" s="27">
        <f t="shared" si="86"/>
        <v>507595</v>
      </c>
      <c r="O90" s="16">
        <f t="shared" si="86"/>
        <v>1525</v>
      </c>
      <c r="P90" s="8">
        <f t="shared" si="86"/>
        <v>766070</v>
      </c>
      <c r="Q90" s="9">
        <f t="shared" si="86"/>
        <v>20950</v>
      </c>
      <c r="R90" s="27">
        <f t="shared" si="86"/>
        <v>995120</v>
      </c>
      <c r="S90" s="16">
        <f t="shared" si="86"/>
        <v>37210</v>
      </c>
      <c r="T90" s="27">
        <f t="shared" si="86"/>
        <v>1207910</v>
      </c>
      <c r="U90" s="16">
        <f t="shared" si="86"/>
        <v>71508</v>
      </c>
      <c r="V90" s="27">
        <f t="shared" si="86"/>
        <v>1136402</v>
      </c>
      <c r="W90" s="16">
        <f t="shared" si="86"/>
        <v>91631</v>
      </c>
      <c r="X90" s="27">
        <f t="shared" si="86"/>
        <v>1044771</v>
      </c>
      <c r="Y90" s="16">
        <f t="shared" si="86"/>
        <v>88600</v>
      </c>
      <c r="Z90" s="8">
        <f t="shared" si="86"/>
        <v>956171</v>
      </c>
      <c r="AA90" s="9">
        <f t="shared" si="86"/>
        <v>85701</v>
      </c>
      <c r="AB90" s="8">
        <f t="shared" si="86"/>
        <v>870470</v>
      </c>
      <c r="AC90" s="9">
        <f t="shared" si="86"/>
        <v>82801</v>
      </c>
      <c r="AD90" s="8">
        <f t="shared" si="86"/>
        <v>787670</v>
      </c>
      <c r="AE90" s="9">
        <f t="shared" si="86"/>
        <v>80001</v>
      </c>
      <c r="AF90" s="8">
        <f t="shared" si="86"/>
        <v>707669</v>
      </c>
      <c r="AG90" s="9">
        <f t="shared" si="86"/>
        <v>77002</v>
      </c>
      <c r="AH90" s="8">
        <f t="shared" si="86"/>
        <v>630667</v>
      </c>
      <c r="AI90" s="9">
        <f t="shared" si="86"/>
        <v>74103</v>
      </c>
      <c r="AJ90" s="8">
        <f t="shared" si="86"/>
        <v>556564</v>
      </c>
      <c r="AK90" s="9">
        <f t="shared" si="86"/>
        <v>71203</v>
      </c>
      <c r="AL90" s="8">
        <f t="shared" si="86"/>
        <v>485361</v>
      </c>
      <c r="AM90" s="9">
        <f t="shared" si="86"/>
        <v>68371</v>
      </c>
      <c r="AN90" s="8">
        <f t="shared" si="86"/>
        <v>416990</v>
      </c>
      <c r="AO90" s="9">
        <f t="shared" si="86"/>
        <v>62504</v>
      </c>
      <c r="AP90" s="8">
        <f t="shared" si="86"/>
        <v>354486</v>
      </c>
      <c r="AQ90" s="9">
        <f t="shared" si="86"/>
        <v>62504</v>
      </c>
      <c r="AR90" s="8">
        <f t="shared" si="86"/>
        <v>291982</v>
      </c>
      <c r="AS90" s="9">
        <f t="shared" si="86"/>
        <v>59605</v>
      </c>
      <c r="AT90" s="8">
        <f t="shared" si="86"/>
        <v>232378</v>
      </c>
      <c r="AU90" s="9">
        <f t="shared" si="86"/>
        <v>56741</v>
      </c>
      <c r="AV90" s="8">
        <f t="shared" si="86"/>
        <v>175637</v>
      </c>
      <c r="AW90" s="9">
        <f t="shared" si="86"/>
        <v>53806</v>
      </c>
      <c r="AX90" s="8">
        <f t="shared" si="86"/>
        <v>121831</v>
      </c>
      <c r="AY90" s="9">
        <f t="shared" si="86"/>
        <v>50906</v>
      </c>
      <c r="AZ90" s="8">
        <f t="shared" si="86"/>
        <v>70925</v>
      </c>
      <c r="BA90" s="9">
        <f t="shared" si="86"/>
        <v>48007</v>
      </c>
      <c r="BB90" s="8">
        <f t="shared" si="86"/>
        <v>22918</v>
      </c>
      <c r="BC90" s="9">
        <f t="shared" si="86"/>
        <v>22918</v>
      </c>
    </row>
    <row r="91" spans="1:55" ht="12.75">
      <c r="A91" s="15" t="s">
        <v>285</v>
      </c>
      <c r="B91" s="8"/>
      <c r="C91" s="16"/>
      <c r="D91" s="8"/>
      <c r="E91" s="16"/>
      <c r="F91" s="8"/>
      <c r="G91" s="16"/>
      <c r="H91" s="8"/>
      <c r="I91" s="16"/>
      <c r="J91" s="27"/>
      <c r="K91" s="16"/>
      <c r="L91" s="27">
        <f aca="true" t="shared" si="87" ref="L91:BC91">L31+L61</f>
        <v>0</v>
      </c>
      <c r="M91" s="16">
        <f t="shared" si="87"/>
        <v>0</v>
      </c>
      <c r="N91" s="27">
        <f t="shared" si="87"/>
        <v>2060143</v>
      </c>
      <c r="O91" s="16">
        <f t="shared" si="87"/>
        <v>0</v>
      </c>
      <c r="P91" s="8">
        <f t="shared" si="87"/>
        <v>2060143</v>
      </c>
      <c r="Q91" s="9">
        <f t="shared" si="87"/>
        <v>9020</v>
      </c>
      <c r="R91" s="27">
        <f t="shared" si="87"/>
        <v>3131123</v>
      </c>
      <c r="S91" s="16">
        <f t="shared" si="87"/>
        <v>123309</v>
      </c>
      <c r="T91" s="27">
        <f t="shared" si="87"/>
        <v>5177814</v>
      </c>
      <c r="U91" s="16">
        <f t="shared" si="87"/>
        <v>305792</v>
      </c>
      <c r="V91" s="27">
        <f t="shared" si="87"/>
        <v>4872022</v>
      </c>
      <c r="W91" s="16">
        <f t="shared" si="87"/>
        <v>391843</v>
      </c>
      <c r="X91" s="27">
        <f t="shared" si="87"/>
        <v>4480178</v>
      </c>
      <c r="Y91" s="16">
        <f t="shared" si="87"/>
        <v>378883</v>
      </c>
      <c r="Z91" s="8">
        <f t="shared" si="87"/>
        <v>4101295</v>
      </c>
      <c r="AA91" s="9">
        <f t="shared" si="87"/>
        <v>366483</v>
      </c>
      <c r="AB91" s="8">
        <f t="shared" si="87"/>
        <v>3734811</v>
      </c>
      <c r="AC91" s="9">
        <f t="shared" si="87"/>
        <v>354084</v>
      </c>
      <c r="AD91" s="8">
        <f t="shared" si="87"/>
        <v>3380727</v>
      </c>
      <c r="AE91" s="9">
        <f t="shared" si="87"/>
        <v>342109</v>
      </c>
      <c r="AF91" s="8">
        <f t="shared" si="87"/>
        <v>3038617</v>
      </c>
      <c r="AG91" s="9">
        <f t="shared" si="87"/>
        <v>329285</v>
      </c>
      <c r="AH91" s="8">
        <f t="shared" si="87"/>
        <v>2709332</v>
      </c>
      <c r="AI91" s="9">
        <f t="shared" si="87"/>
        <v>316886</v>
      </c>
      <c r="AJ91" s="8">
        <f t="shared" si="87"/>
        <v>2392445</v>
      </c>
      <c r="AK91" s="9">
        <f t="shared" si="87"/>
        <v>304486</v>
      </c>
      <c r="AL91" s="8">
        <f t="shared" si="87"/>
        <v>2087959</v>
      </c>
      <c r="AM91" s="9">
        <f t="shared" si="87"/>
        <v>292375</v>
      </c>
      <c r="AN91" s="8">
        <f t="shared" si="87"/>
        <v>1795584</v>
      </c>
      <c r="AO91" s="9">
        <f t="shared" si="87"/>
        <v>279687</v>
      </c>
      <c r="AP91" s="8">
        <f t="shared" si="87"/>
        <v>1515896</v>
      </c>
      <c r="AQ91" s="9">
        <f t="shared" si="87"/>
        <v>267288</v>
      </c>
      <c r="AR91" s="8">
        <f t="shared" si="87"/>
        <v>1248608</v>
      </c>
      <c r="AS91" s="9">
        <f t="shared" si="87"/>
        <v>254888</v>
      </c>
      <c r="AT91" s="8">
        <f t="shared" si="87"/>
        <v>993719</v>
      </c>
      <c r="AU91" s="9">
        <f t="shared" si="87"/>
        <v>242642</v>
      </c>
      <c r="AV91" s="8">
        <f t="shared" si="87"/>
        <v>751077</v>
      </c>
      <c r="AW91" s="9">
        <f t="shared" si="87"/>
        <v>230090</v>
      </c>
      <c r="AX91" s="8">
        <f t="shared" si="87"/>
        <v>520986</v>
      </c>
      <c r="AY91" s="9">
        <f t="shared" si="87"/>
        <v>217690</v>
      </c>
      <c r="AZ91" s="8">
        <f t="shared" si="87"/>
        <v>303296</v>
      </c>
      <c r="BA91" s="9">
        <f t="shared" si="87"/>
        <v>205291</v>
      </c>
      <c r="BB91" s="8">
        <f t="shared" si="87"/>
        <v>98004</v>
      </c>
      <c r="BC91" s="9">
        <f t="shared" si="87"/>
        <v>98004</v>
      </c>
    </row>
    <row r="92" spans="1:55" ht="12.75">
      <c r="A92" s="15" t="s">
        <v>286</v>
      </c>
      <c r="B92" s="8"/>
      <c r="C92" s="16"/>
      <c r="D92" s="8"/>
      <c r="E92" s="16"/>
      <c r="F92" s="8"/>
      <c r="G92" s="16"/>
      <c r="H92" s="8"/>
      <c r="I92" s="16"/>
      <c r="J92" s="27"/>
      <c r="K92" s="16"/>
      <c r="L92" s="27">
        <f aca="true" t="shared" si="88" ref="L92:BC93">L32+L62</f>
        <v>0</v>
      </c>
      <c r="M92" s="16">
        <f t="shared" si="88"/>
        <v>0</v>
      </c>
      <c r="N92" s="27">
        <f t="shared" si="88"/>
        <v>903831</v>
      </c>
      <c r="O92" s="16">
        <f t="shared" si="88"/>
        <v>0</v>
      </c>
      <c r="P92" s="8">
        <f t="shared" si="88"/>
        <v>903831</v>
      </c>
      <c r="Q92" s="9">
        <f t="shared" si="88"/>
        <v>23587</v>
      </c>
      <c r="R92" s="27">
        <f t="shared" si="88"/>
        <v>1850244</v>
      </c>
      <c r="S92" s="16">
        <f t="shared" si="88"/>
        <v>79461</v>
      </c>
      <c r="T92" s="27">
        <f t="shared" si="88"/>
        <v>2150783</v>
      </c>
      <c r="U92" s="16">
        <f t="shared" si="88"/>
        <v>127021</v>
      </c>
      <c r="V92" s="27">
        <f t="shared" si="88"/>
        <v>2023762</v>
      </c>
      <c r="W92" s="16">
        <f t="shared" si="88"/>
        <v>162766</v>
      </c>
      <c r="X92" s="27">
        <f t="shared" si="88"/>
        <v>1860996</v>
      </c>
      <c r="Y92" s="16">
        <f t="shared" si="88"/>
        <v>157382</v>
      </c>
      <c r="Z92" s="8">
        <f t="shared" si="88"/>
        <v>1703615</v>
      </c>
      <c r="AA92" s="9">
        <f t="shared" si="88"/>
        <v>152232</v>
      </c>
      <c r="AB92" s="8">
        <f t="shared" si="88"/>
        <v>1551383</v>
      </c>
      <c r="AC92" s="9">
        <f t="shared" si="88"/>
        <v>147081</v>
      </c>
      <c r="AD92" s="8">
        <f t="shared" si="88"/>
        <v>1404302</v>
      </c>
      <c r="AE92" s="9">
        <f t="shared" si="88"/>
        <v>142107</v>
      </c>
      <c r="AF92" s="8">
        <f t="shared" si="88"/>
        <v>1262195</v>
      </c>
      <c r="AG92" s="9">
        <f t="shared" si="88"/>
        <v>136780</v>
      </c>
      <c r="AH92" s="8">
        <f t="shared" si="88"/>
        <v>1125416</v>
      </c>
      <c r="AI92" s="9">
        <f t="shared" si="88"/>
        <v>131630</v>
      </c>
      <c r="AJ92" s="8">
        <f t="shared" si="88"/>
        <v>993786</v>
      </c>
      <c r="AK92" s="9">
        <f t="shared" si="88"/>
        <v>126479</v>
      </c>
      <c r="AL92" s="8">
        <f t="shared" si="88"/>
        <v>867307</v>
      </c>
      <c r="AM92" s="9">
        <f t="shared" si="88"/>
        <v>121449</v>
      </c>
      <c r="AN92" s="8">
        <f t="shared" si="88"/>
        <v>745858</v>
      </c>
      <c r="AO92" s="9">
        <f t="shared" si="88"/>
        <v>116178</v>
      </c>
      <c r="AP92" s="8">
        <f t="shared" si="88"/>
        <v>629680</v>
      </c>
      <c r="AQ92" s="9">
        <f t="shared" si="88"/>
        <v>111028</v>
      </c>
      <c r="AR92" s="8">
        <f t="shared" si="88"/>
        <v>518653</v>
      </c>
      <c r="AS92" s="9">
        <f t="shared" si="88"/>
        <v>105877</v>
      </c>
      <c r="AT92" s="8">
        <f t="shared" si="88"/>
        <v>412776</v>
      </c>
      <c r="AU92" s="9">
        <f t="shared" si="88"/>
        <v>100790</v>
      </c>
      <c r="AV92" s="8">
        <f t="shared" si="88"/>
        <v>311986</v>
      </c>
      <c r="AW92" s="9">
        <f t="shared" si="88"/>
        <v>95576</v>
      </c>
      <c r="AX92" s="8">
        <f t="shared" si="88"/>
        <v>216410</v>
      </c>
      <c r="AY92" s="9">
        <f t="shared" si="88"/>
        <v>90426</v>
      </c>
      <c r="AZ92" s="8">
        <f t="shared" si="88"/>
        <v>125985</v>
      </c>
      <c r="BA92" s="9">
        <f t="shared" si="88"/>
        <v>85275</v>
      </c>
      <c r="BB92" s="8">
        <f t="shared" si="88"/>
        <v>40710</v>
      </c>
      <c r="BC92" s="9">
        <f t="shared" si="88"/>
        <v>40710</v>
      </c>
    </row>
    <row r="93" spans="1:55" ht="12.75">
      <c r="A93" s="15" t="s">
        <v>292</v>
      </c>
      <c r="B93" s="8"/>
      <c r="C93" s="16"/>
      <c r="D93" s="8"/>
      <c r="E93" s="16"/>
      <c r="F93" s="8"/>
      <c r="G93" s="16"/>
      <c r="H93" s="8"/>
      <c r="I93" s="16"/>
      <c r="J93" s="27"/>
      <c r="K93" s="16"/>
      <c r="L93" s="27"/>
      <c r="M93" s="16"/>
      <c r="N93" s="27">
        <f t="shared" si="88"/>
        <v>24400</v>
      </c>
      <c r="O93" s="16">
        <f t="shared" si="88"/>
        <v>24400</v>
      </c>
      <c r="P93" s="13" t="s">
        <v>35</v>
      </c>
      <c r="Q93" s="14" t="s">
        <v>35</v>
      </c>
      <c r="R93" s="13" t="s">
        <v>35</v>
      </c>
      <c r="S93" s="14" t="s">
        <v>35</v>
      </c>
      <c r="T93" s="13" t="s">
        <v>35</v>
      </c>
      <c r="U93" s="14" t="s">
        <v>35</v>
      </c>
      <c r="V93" s="13" t="s">
        <v>35</v>
      </c>
      <c r="W93" s="14" t="s">
        <v>35</v>
      </c>
      <c r="X93" s="13" t="s">
        <v>35</v>
      </c>
      <c r="Y93" s="14" t="s">
        <v>35</v>
      </c>
      <c r="Z93" s="13" t="s">
        <v>35</v>
      </c>
      <c r="AA93" s="14" t="s">
        <v>35</v>
      </c>
      <c r="AB93" s="13" t="s">
        <v>35</v>
      </c>
      <c r="AC93" s="14" t="s">
        <v>35</v>
      </c>
      <c r="AD93" s="13" t="s">
        <v>35</v>
      </c>
      <c r="AE93" s="14" t="s">
        <v>35</v>
      </c>
      <c r="AF93" s="13" t="s">
        <v>35</v>
      </c>
      <c r="AG93" s="14" t="s">
        <v>35</v>
      </c>
      <c r="AH93" s="13" t="s">
        <v>35</v>
      </c>
      <c r="AI93" s="14" t="s">
        <v>35</v>
      </c>
      <c r="AJ93" s="13" t="s">
        <v>35</v>
      </c>
      <c r="AK93" s="14" t="s">
        <v>35</v>
      </c>
      <c r="AL93" s="13" t="s">
        <v>35</v>
      </c>
      <c r="AM93" s="14" t="s">
        <v>35</v>
      </c>
      <c r="AN93" s="13" t="s">
        <v>35</v>
      </c>
      <c r="AO93" s="14" t="s">
        <v>35</v>
      </c>
      <c r="AP93" s="13" t="s">
        <v>35</v>
      </c>
      <c r="AQ93" s="14" t="s">
        <v>35</v>
      </c>
      <c r="AR93" s="13" t="s">
        <v>35</v>
      </c>
      <c r="AS93" s="14" t="s">
        <v>35</v>
      </c>
      <c r="AT93" s="13" t="s">
        <v>35</v>
      </c>
      <c r="AU93" s="14" t="s">
        <v>35</v>
      </c>
      <c r="AV93" s="13" t="s">
        <v>35</v>
      </c>
      <c r="AW93" s="14" t="s">
        <v>35</v>
      </c>
      <c r="AX93" s="13" t="s">
        <v>35</v>
      </c>
      <c r="AY93" s="14" t="s">
        <v>35</v>
      </c>
      <c r="AZ93" s="13" t="s">
        <v>35</v>
      </c>
      <c r="BA93" s="14" t="s">
        <v>35</v>
      </c>
      <c r="BB93" s="13" t="s">
        <v>35</v>
      </c>
      <c r="BC93" s="14" t="s">
        <v>35</v>
      </c>
    </row>
    <row r="94" spans="1:55" ht="13.5" thickBot="1">
      <c r="A94" s="15" t="s">
        <v>282</v>
      </c>
      <c r="B94" s="8"/>
      <c r="C94" s="16"/>
      <c r="D94" s="8"/>
      <c r="E94" s="16"/>
      <c r="F94" s="8"/>
      <c r="G94" s="16"/>
      <c r="H94" s="8"/>
      <c r="I94" s="16"/>
      <c r="J94" s="27"/>
      <c r="K94" s="16"/>
      <c r="L94" s="27">
        <f aca="true" t="shared" si="89" ref="L94:U94">L34+L64</f>
        <v>0</v>
      </c>
      <c r="M94" s="16">
        <f t="shared" si="89"/>
        <v>0</v>
      </c>
      <c r="N94" s="27">
        <f t="shared" si="89"/>
        <v>8709608</v>
      </c>
      <c r="O94" s="16">
        <f t="shared" si="89"/>
        <v>180639</v>
      </c>
      <c r="P94" s="8">
        <f t="shared" si="89"/>
        <v>8528969</v>
      </c>
      <c r="Q94" s="9">
        <f t="shared" si="89"/>
        <v>240090</v>
      </c>
      <c r="R94" s="27">
        <f t="shared" si="89"/>
        <v>8288879</v>
      </c>
      <c r="S94" s="16">
        <f t="shared" si="89"/>
        <v>240090</v>
      </c>
      <c r="T94" s="27">
        <f t="shared" si="89"/>
        <v>8048789</v>
      </c>
      <c r="U94" s="16">
        <f t="shared" si="89"/>
        <v>580410</v>
      </c>
      <c r="V94" s="27">
        <f>V34+V64</f>
        <v>7468379</v>
      </c>
      <c r="W94" s="16">
        <f>W34+W64</f>
        <v>567104</v>
      </c>
      <c r="X94" s="27">
        <f>X34+X64</f>
        <v>6901275</v>
      </c>
      <c r="Y94" s="16">
        <f>Y34+Y64</f>
        <v>552560</v>
      </c>
      <c r="Z94" s="8">
        <f aca="true" t="shared" si="90" ref="Z94:AO94">Z34+Z64</f>
        <v>6348715</v>
      </c>
      <c r="AA94" s="9">
        <f t="shared" si="90"/>
        <v>538634</v>
      </c>
      <c r="AB94" s="8">
        <f t="shared" si="90"/>
        <v>5810081</v>
      </c>
      <c r="AC94" s="9">
        <f t="shared" si="90"/>
        <v>524709</v>
      </c>
      <c r="AD94" s="8">
        <f t="shared" si="90"/>
        <v>5285372</v>
      </c>
      <c r="AE94" s="9">
        <f t="shared" si="90"/>
        <v>511251</v>
      </c>
      <c r="AF94" s="8">
        <f t="shared" si="90"/>
        <v>4774121</v>
      </c>
      <c r="AG94" s="9">
        <f t="shared" si="90"/>
        <v>496859</v>
      </c>
      <c r="AH94" s="8">
        <f t="shared" si="90"/>
        <v>4277262</v>
      </c>
      <c r="AI94" s="9">
        <f t="shared" si="90"/>
        <v>482933</v>
      </c>
      <c r="AJ94" s="8">
        <f t="shared" si="90"/>
        <v>3794329</v>
      </c>
      <c r="AK94" s="9">
        <f t="shared" si="90"/>
        <v>469008</v>
      </c>
      <c r="AL94" s="8">
        <f t="shared" si="90"/>
        <v>3325321</v>
      </c>
      <c r="AM94" s="9">
        <f t="shared" si="90"/>
        <v>455397</v>
      </c>
      <c r="AN94" s="8">
        <f t="shared" si="90"/>
        <v>2869924</v>
      </c>
      <c r="AO94" s="9">
        <f t="shared" si="90"/>
        <v>441158</v>
      </c>
      <c r="AP94" s="8">
        <f aca="true" t="shared" si="91" ref="AP94:BA94">AP34+AP64</f>
        <v>2428766</v>
      </c>
      <c r="AQ94" s="9">
        <f t="shared" si="91"/>
        <v>427233</v>
      </c>
      <c r="AR94" s="8">
        <f t="shared" si="91"/>
        <v>2001533</v>
      </c>
      <c r="AS94" s="9">
        <f t="shared" si="91"/>
        <v>413307</v>
      </c>
      <c r="AT94" s="8">
        <f t="shared" si="91"/>
        <v>1588226</v>
      </c>
      <c r="AU94" s="9">
        <f t="shared" si="91"/>
        <v>399544</v>
      </c>
      <c r="AV94" s="8">
        <f t="shared" si="91"/>
        <v>1188682</v>
      </c>
      <c r="AW94" s="9">
        <f t="shared" si="91"/>
        <v>385457</v>
      </c>
      <c r="AX94" s="8">
        <f t="shared" si="91"/>
        <v>803225</v>
      </c>
      <c r="AY94" s="9">
        <f t="shared" si="91"/>
        <v>371532</v>
      </c>
      <c r="AZ94" s="8">
        <f t="shared" si="91"/>
        <v>431693</v>
      </c>
      <c r="BA94" s="9">
        <f t="shared" si="91"/>
        <v>431693</v>
      </c>
      <c r="BB94" s="13" t="s">
        <v>35</v>
      </c>
      <c r="BC94" s="14" t="s">
        <v>35</v>
      </c>
    </row>
    <row r="95" spans="1:55" ht="13.5" thickTop="1">
      <c r="A95" s="10" t="s">
        <v>39</v>
      </c>
      <c r="B95" s="11">
        <f>SUM(B66:B79)</f>
        <v>1445239</v>
      </c>
      <c r="C95" s="2">
        <f>SUM(C66:C79)</f>
        <v>343356</v>
      </c>
      <c r="D95" s="11">
        <f>D35+D65</f>
        <v>2182206</v>
      </c>
      <c r="E95" s="2">
        <f>SUM(E66:E79)</f>
        <v>295594</v>
      </c>
      <c r="F95" s="29">
        <f>SUM(F66:F79)</f>
        <v>2910535</v>
      </c>
      <c r="G95" s="2">
        <f>SUM(G66:G79)</f>
        <v>506429</v>
      </c>
      <c r="H95" s="29">
        <f>SUM(H66:H79)</f>
        <v>3713422</v>
      </c>
      <c r="I95" s="2">
        <f>SUM(I66:I79)</f>
        <v>489346</v>
      </c>
      <c r="J95" s="29">
        <f>SUM(J66:J85)</f>
        <v>3726427</v>
      </c>
      <c r="K95" s="2">
        <f>SUM(K66:K85)</f>
        <v>538569</v>
      </c>
      <c r="L95" s="29">
        <f aca="true" t="shared" si="92" ref="L95:BA95">SUM(L66:L94)</f>
        <v>5928748</v>
      </c>
      <c r="M95" s="2" t="e">
        <f t="shared" si="92"/>
        <v>#REF!</v>
      </c>
      <c r="N95" s="29">
        <f t="shared" si="92"/>
        <v>19726636</v>
      </c>
      <c r="O95" s="2">
        <f t="shared" si="92"/>
        <v>479747</v>
      </c>
      <c r="P95" s="29">
        <f t="shared" si="92"/>
        <v>21386317</v>
      </c>
      <c r="Q95" s="2">
        <f t="shared" si="92"/>
        <v>771631</v>
      </c>
      <c r="R95" s="29">
        <f t="shared" si="92"/>
        <v>24114686</v>
      </c>
      <c r="S95" s="2">
        <f t="shared" si="92"/>
        <v>1108083</v>
      </c>
      <c r="T95" s="29">
        <f t="shared" si="92"/>
        <v>27006603</v>
      </c>
      <c r="U95" s="2">
        <f t="shared" si="92"/>
        <v>1874513</v>
      </c>
      <c r="V95" s="29">
        <f t="shared" si="92"/>
        <v>25132090</v>
      </c>
      <c r="W95" s="2">
        <f t="shared" si="92"/>
        <v>2078992</v>
      </c>
      <c r="X95" s="29">
        <f t="shared" si="92"/>
        <v>23053098</v>
      </c>
      <c r="Y95" s="2">
        <f t="shared" si="92"/>
        <v>2012841</v>
      </c>
      <c r="Z95" s="29">
        <f t="shared" si="92"/>
        <v>21040258</v>
      </c>
      <c r="AA95" s="2">
        <f t="shared" si="92"/>
        <v>1937720</v>
      </c>
      <c r="AB95" s="29">
        <f t="shared" si="92"/>
        <v>19102537</v>
      </c>
      <c r="AC95" s="2">
        <f t="shared" si="92"/>
        <v>1874725</v>
      </c>
      <c r="AD95" s="29">
        <f t="shared" si="92"/>
        <v>17227814</v>
      </c>
      <c r="AE95" s="2">
        <f t="shared" si="92"/>
        <v>1813736</v>
      </c>
      <c r="AF95" s="29">
        <f t="shared" si="92"/>
        <v>15414077</v>
      </c>
      <c r="AG95" s="2">
        <f t="shared" si="92"/>
        <v>1748736</v>
      </c>
      <c r="AH95" s="29">
        <f t="shared" si="92"/>
        <v>13665342</v>
      </c>
      <c r="AI95" s="2">
        <f t="shared" si="92"/>
        <v>1685579</v>
      </c>
      <c r="AJ95" s="29">
        <f t="shared" si="92"/>
        <v>11979763</v>
      </c>
      <c r="AK95" s="2">
        <f t="shared" si="92"/>
        <v>1622087</v>
      </c>
      <c r="AL95" s="29">
        <f t="shared" si="92"/>
        <v>10357676</v>
      </c>
      <c r="AM95" s="2">
        <f t="shared" si="92"/>
        <v>1560411</v>
      </c>
      <c r="AN95" s="29">
        <f t="shared" si="92"/>
        <v>8797265</v>
      </c>
      <c r="AO95" s="2">
        <f t="shared" si="92"/>
        <v>1453590</v>
      </c>
      <c r="AP95" s="29">
        <f t="shared" si="92"/>
        <v>7343675</v>
      </c>
      <c r="AQ95" s="2">
        <f t="shared" si="92"/>
        <v>1343283</v>
      </c>
      <c r="AR95" s="29">
        <f t="shared" si="92"/>
        <v>6000393</v>
      </c>
      <c r="AS95" s="2">
        <f t="shared" si="92"/>
        <v>1277214</v>
      </c>
      <c r="AT95" s="29">
        <f t="shared" si="92"/>
        <v>4723179</v>
      </c>
      <c r="AU95" s="2">
        <f t="shared" si="92"/>
        <v>1220323</v>
      </c>
      <c r="AV95" s="29">
        <f t="shared" si="92"/>
        <v>3502857</v>
      </c>
      <c r="AW95" s="2">
        <f t="shared" si="92"/>
        <v>1139507</v>
      </c>
      <c r="AX95" s="29">
        <f t="shared" si="92"/>
        <v>2363349</v>
      </c>
      <c r="AY95" s="2">
        <f t="shared" si="92"/>
        <v>1049017</v>
      </c>
      <c r="AZ95" s="29">
        <f t="shared" si="92"/>
        <v>1314472</v>
      </c>
      <c r="BA95" s="2">
        <f t="shared" si="92"/>
        <v>1042872</v>
      </c>
      <c r="BB95" s="29">
        <f>SUM(BB66:BB94)</f>
        <v>271600</v>
      </c>
      <c r="BC95" s="2">
        <f>SUM(BC66:BC94)</f>
        <v>271600</v>
      </c>
    </row>
    <row r="96" ht="7.5" customHeight="1">
      <c r="M96" s="18"/>
    </row>
    <row r="97" spans="1:22" s="38" customFormat="1" ht="14.25">
      <c r="A97" s="447" t="s">
        <v>200</v>
      </c>
      <c r="D97" s="415"/>
      <c r="E97" s="416"/>
      <c r="F97" s="417"/>
      <c r="H97" s="417"/>
      <c r="J97" s="417"/>
      <c r="L97" s="417"/>
      <c r="N97" s="417"/>
      <c r="P97" s="417"/>
      <c r="R97" s="417"/>
      <c r="T97" s="417"/>
      <c r="V97" s="417"/>
    </row>
    <row r="98" spans="1:22" s="38" customFormat="1" ht="12.75">
      <c r="A98" s="350" t="s">
        <v>294</v>
      </c>
      <c r="D98" s="415"/>
      <c r="E98" s="416"/>
      <c r="F98" s="417"/>
      <c r="H98" s="417"/>
      <c r="J98" s="417"/>
      <c r="L98" s="417"/>
      <c r="N98" s="417"/>
      <c r="P98" s="417"/>
      <c r="R98" s="417"/>
      <c r="T98" s="417"/>
      <c r="V98" s="417"/>
    </row>
    <row r="99" spans="1:55" ht="12.75">
      <c r="A99" s="3" t="s">
        <v>22</v>
      </c>
      <c r="B99" s="572" t="s">
        <v>63</v>
      </c>
      <c r="C99" s="573"/>
      <c r="D99" s="572" t="s">
        <v>23</v>
      </c>
      <c r="E99" s="573"/>
      <c r="F99" s="572" t="s">
        <v>24</v>
      </c>
      <c r="G99" s="573"/>
      <c r="H99" s="572" t="s">
        <v>25</v>
      </c>
      <c r="I99" s="573"/>
      <c r="J99" s="572" t="s">
        <v>26</v>
      </c>
      <c r="K99" s="573"/>
      <c r="L99" s="570" t="s">
        <v>27</v>
      </c>
      <c r="M99" s="571"/>
      <c r="N99" s="574" t="s">
        <v>28</v>
      </c>
      <c r="O99" s="574"/>
      <c r="P99" s="575" t="s">
        <v>29</v>
      </c>
      <c r="Q99" s="575"/>
      <c r="R99" s="572" t="s">
        <v>30</v>
      </c>
      <c r="S99" s="573"/>
      <c r="T99" s="570" t="s">
        <v>31</v>
      </c>
      <c r="U99" s="571"/>
      <c r="V99" s="570" t="s">
        <v>44</v>
      </c>
      <c r="W99" s="571"/>
      <c r="X99" s="570" t="s">
        <v>45</v>
      </c>
      <c r="Y99" s="571"/>
      <c r="Z99" s="570" t="s">
        <v>46</v>
      </c>
      <c r="AA99" s="571"/>
      <c r="AB99" s="570" t="s">
        <v>47</v>
      </c>
      <c r="AC99" s="571"/>
      <c r="AD99" s="570" t="s">
        <v>48</v>
      </c>
      <c r="AE99" s="571"/>
      <c r="AF99" s="570" t="s">
        <v>49</v>
      </c>
      <c r="AG99" s="571"/>
      <c r="AH99" s="570" t="s">
        <v>50</v>
      </c>
      <c r="AI99" s="571"/>
      <c r="AJ99" s="570" t="s">
        <v>51</v>
      </c>
      <c r="AK99" s="571"/>
      <c r="AL99" s="570" t="s">
        <v>52</v>
      </c>
      <c r="AM99" s="571"/>
      <c r="AN99" s="570" t="s">
        <v>53</v>
      </c>
      <c r="AO99" s="571"/>
      <c r="AP99" s="570" t="s">
        <v>54</v>
      </c>
      <c r="AQ99" s="571"/>
      <c r="AR99" s="570" t="s">
        <v>111</v>
      </c>
      <c r="AS99" s="571"/>
      <c r="AT99" s="570" t="s">
        <v>112</v>
      </c>
      <c r="AU99" s="571"/>
      <c r="AV99" s="570" t="s">
        <v>113</v>
      </c>
      <c r="AW99" s="571"/>
      <c r="AX99" s="570" t="s">
        <v>153</v>
      </c>
      <c r="AY99" s="571"/>
      <c r="AZ99" s="570" t="s">
        <v>218</v>
      </c>
      <c r="BA99" s="571"/>
      <c r="BB99" s="570" t="s">
        <v>287</v>
      </c>
      <c r="BC99" s="571"/>
    </row>
    <row r="100" spans="1:55" ht="12.75">
      <c r="A100" s="5"/>
      <c r="B100" s="33" t="s">
        <v>32</v>
      </c>
      <c r="C100" s="21" t="s">
        <v>33</v>
      </c>
      <c r="D100" s="6" t="s">
        <v>32</v>
      </c>
      <c r="E100" s="21" t="s">
        <v>33</v>
      </c>
      <c r="F100" s="6" t="s">
        <v>32</v>
      </c>
      <c r="G100" s="21" t="s">
        <v>33</v>
      </c>
      <c r="H100" s="6" t="s">
        <v>32</v>
      </c>
      <c r="I100" s="356" t="s">
        <v>33</v>
      </c>
      <c r="J100" s="6" t="s">
        <v>32</v>
      </c>
      <c r="K100" s="21" t="s">
        <v>33</v>
      </c>
      <c r="L100" s="6" t="s">
        <v>32</v>
      </c>
      <c r="M100" s="21" t="s">
        <v>33</v>
      </c>
      <c r="N100" s="46" t="s">
        <v>32</v>
      </c>
      <c r="O100" s="21" t="s">
        <v>33</v>
      </c>
      <c r="P100" s="6" t="s">
        <v>32</v>
      </c>
      <c r="Q100" s="49" t="s">
        <v>33</v>
      </c>
      <c r="R100" s="6" t="s">
        <v>32</v>
      </c>
      <c r="S100" s="21" t="s">
        <v>33</v>
      </c>
      <c r="T100" s="6" t="s">
        <v>32</v>
      </c>
      <c r="U100" s="21" t="s">
        <v>33</v>
      </c>
      <c r="V100" s="6" t="s">
        <v>32</v>
      </c>
      <c r="W100" s="21" t="s">
        <v>33</v>
      </c>
      <c r="X100" s="32" t="s">
        <v>32</v>
      </c>
      <c r="Y100" s="34" t="s">
        <v>33</v>
      </c>
      <c r="Z100" s="32" t="s">
        <v>32</v>
      </c>
      <c r="AA100" s="34" t="s">
        <v>33</v>
      </c>
      <c r="AB100" s="32" t="s">
        <v>32</v>
      </c>
      <c r="AC100" s="34" t="s">
        <v>33</v>
      </c>
      <c r="AD100" s="32" t="s">
        <v>32</v>
      </c>
      <c r="AE100" s="34" t="s">
        <v>33</v>
      </c>
      <c r="AF100" s="32" t="s">
        <v>32</v>
      </c>
      <c r="AG100" s="34" t="s">
        <v>33</v>
      </c>
      <c r="AH100" s="32" t="s">
        <v>32</v>
      </c>
      <c r="AI100" s="34" t="s">
        <v>33</v>
      </c>
      <c r="AJ100" s="32" t="s">
        <v>32</v>
      </c>
      <c r="AK100" s="34" t="s">
        <v>33</v>
      </c>
      <c r="AL100" s="32" t="s">
        <v>32</v>
      </c>
      <c r="AM100" s="34" t="s">
        <v>33</v>
      </c>
      <c r="AN100" s="32" t="s">
        <v>32</v>
      </c>
      <c r="AO100" s="34" t="s">
        <v>33</v>
      </c>
      <c r="AP100" s="32" t="s">
        <v>32</v>
      </c>
      <c r="AQ100" s="34" t="s">
        <v>174</v>
      </c>
      <c r="AR100" s="32" t="s">
        <v>32</v>
      </c>
      <c r="AS100" s="34" t="s">
        <v>174</v>
      </c>
      <c r="AT100" s="32" t="s">
        <v>32</v>
      </c>
      <c r="AU100" s="34" t="s">
        <v>174</v>
      </c>
      <c r="AV100" s="32" t="s">
        <v>32</v>
      </c>
      <c r="AW100" s="34" t="s">
        <v>174</v>
      </c>
      <c r="AX100" s="32" t="s">
        <v>32</v>
      </c>
      <c r="AY100" s="34" t="s">
        <v>174</v>
      </c>
      <c r="AZ100" s="32" t="s">
        <v>32</v>
      </c>
      <c r="BA100" s="34" t="s">
        <v>174</v>
      </c>
      <c r="BB100" s="32" t="s">
        <v>32</v>
      </c>
      <c r="BC100" s="34" t="s">
        <v>174</v>
      </c>
    </row>
    <row r="101" spans="1:55" ht="12.75">
      <c r="A101" s="25"/>
      <c r="B101" s="1" t="s">
        <v>34</v>
      </c>
      <c r="C101" s="26"/>
      <c r="D101" s="7" t="s">
        <v>34</v>
      </c>
      <c r="E101" s="26"/>
      <c r="F101" s="7" t="s">
        <v>34</v>
      </c>
      <c r="G101" s="26"/>
      <c r="H101" s="7" t="s">
        <v>34</v>
      </c>
      <c r="I101" s="357"/>
      <c r="J101" s="7" t="s">
        <v>34</v>
      </c>
      <c r="K101" s="26"/>
      <c r="L101" s="7" t="s">
        <v>34</v>
      </c>
      <c r="M101" s="26"/>
      <c r="N101" s="47" t="s">
        <v>34</v>
      </c>
      <c r="O101" s="26"/>
      <c r="P101" s="7" t="s">
        <v>34</v>
      </c>
      <c r="Q101" s="50"/>
      <c r="R101" s="7" t="s">
        <v>34</v>
      </c>
      <c r="S101" s="26"/>
      <c r="T101" s="7" t="s">
        <v>34</v>
      </c>
      <c r="U101" s="26"/>
      <c r="V101" s="7" t="s">
        <v>34</v>
      </c>
      <c r="W101" s="26"/>
      <c r="X101" s="30" t="s">
        <v>34</v>
      </c>
      <c r="Y101" s="31"/>
      <c r="Z101" s="30" t="s">
        <v>34</v>
      </c>
      <c r="AA101" s="31"/>
      <c r="AB101" s="30" t="s">
        <v>34</v>
      </c>
      <c r="AC101" s="31"/>
      <c r="AD101" s="30" t="s">
        <v>34</v>
      </c>
      <c r="AE101" s="31"/>
      <c r="AF101" s="30" t="s">
        <v>34</v>
      </c>
      <c r="AG101" s="31"/>
      <c r="AH101" s="30" t="s">
        <v>34</v>
      </c>
      <c r="AI101" s="31"/>
      <c r="AJ101" s="30" t="s">
        <v>34</v>
      </c>
      <c r="AK101" s="31"/>
      <c r="AL101" s="30" t="s">
        <v>34</v>
      </c>
      <c r="AM101" s="31"/>
      <c r="AN101" s="30" t="s">
        <v>34</v>
      </c>
      <c r="AO101" s="31"/>
      <c r="AP101" s="30" t="s">
        <v>34</v>
      </c>
      <c r="AQ101" s="31" t="s">
        <v>175</v>
      </c>
      <c r="AR101" s="30" t="s">
        <v>34</v>
      </c>
      <c r="AS101" s="31" t="s">
        <v>175</v>
      </c>
      <c r="AT101" s="30" t="s">
        <v>34</v>
      </c>
      <c r="AU101" s="31" t="s">
        <v>175</v>
      </c>
      <c r="AV101" s="30" t="s">
        <v>34</v>
      </c>
      <c r="AW101" s="31" t="s">
        <v>175</v>
      </c>
      <c r="AX101" s="30" t="s">
        <v>34</v>
      </c>
      <c r="AY101" s="31" t="s">
        <v>175</v>
      </c>
      <c r="AZ101" s="30" t="s">
        <v>34</v>
      </c>
      <c r="BA101" s="31" t="s">
        <v>175</v>
      </c>
      <c r="BB101" s="30" t="s">
        <v>34</v>
      </c>
      <c r="BC101" s="31" t="s">
        <v>175</v>
      </c>
    </row>
    <row r="102" spans="1:55" s="38" customFormat="1" ht="12.75">
      <c r="A102" s="372" t="s">
        <v>176</v>
      </c>
      <c r="B102" s="373"/>
      <c r="C102" s="374"/>
      <c r="D102" s="375"/>
      <c r="E102" s="374"/>
      <c r="F102" s="375"/>
      <c r="G102" s="374"/>
      <c r="H102" s="375"/>
      <c r="I102" s="376"/>
      <c r="J102" s="377">
        <f>SUM(J6:J19,J21:J25)</f>
        <v>2839622</v>
      </c>
      <c r="K102" s="35">
        <f>SUM(K6:K19,K21:K25)</f>
        <v>363239</v>
      </c>
      <c r="L102" s="377">
        <f>SUM(L6:L19,L21:L25,L29:L33)</f>
        <v>3205765</v>
      </c>
      <c r="M102" s="35" t="e">
        <f>SUM(M6:M19,M21:M25,M29:M33)</f>
        <v>#REF!</v>
      </c>
      <c r="N102" s="377">
        <f>SUM(N6:N19,N21:N25,N29:N32)</f>
        <v>1718922</v>
      </c>
      <c r="O102" s="35">
        <f>SUM(O6:O19,O21:O25,O29:O32)</f>
        <v>66299</v>
      </c>
      <c r="P102" s="377">
        <f aca="true" t="shared" si="93" ref="P102:BC102">SUM(P6:P19,P21:P25,P29:P32)</f>
        <v>3404214</v>
      </c>
      <c r="Q102" s="35">
        <f t="shared" si="93"/>
        <v>107454</v>
      </c>
      <c r="R102" s="377">
        <f t="shared" si="93"/>
        <v>6796760</v>
      </c>
      <c r="S102" s="35">
        <f t="shared" si="93"/>
        <v>144283</v>
      </c>
      <c r="T102" s="377">
        <f t="shared" si="93"/>
        <v>10652477</v>
      </c>
      <c r="U102" s="35">
        <f t="shared" si="93"/>
        <v>403020</v>
      </c>
      <c r="V102" s="377">
        <f t="shared" si="93"/>
        <v>10249457</v>
      </c>
      <c r="W102" s="35">
        <f t="shared" si="93"/>
        <v>661759</v>
      </c>
      <c r="X102" s="377">
        <f t="shared" si="93"/>
        <v>9587698</v>
      </c>
      <c r="Y102" s="35">
        <f t="shared" si="93"/>
        <v>661758</v>
      </c>
      <c r="Z102" s="377">
        <f t="shared" si="93"/>
        <v>8925941</v>
      </c>
      <c r="AA102" s="35">
        <f t="shared" si="93"/>
        <v>649911</v>
      </c>
      <c r="AB102" s="377">
        <f t="shared" si="93"/>
        <v>8276029</v>
      </c>
      <c r="AC102" s="35">
        <f t="shared" si="93"/>
        <v>649910</v>
      </c>
      <c r="AD102" s="377">
        <f t="shared" si="93"/>
        <v>7626121</v>
      </c>
      <c r="AE102" s="35">
        <f t="shared" si="93"/>
        <v>649911</v>
      </c>
      <c r="AF102" s="377">
        <f t="shared" si="93"/>
        <v>6976209</v>
      </c>
      <c r="AG102" s="35">
        <f t="shared" si="93"/>
        <v>649910</v>
      </c>
      <c r="AH102" s="377">
        <f t="shared" si="93"/>
        <v>6326300</v>
      </c>
      <c r="AI102" s="35">
        <f t="shared" si="93"/>
        <v>649911</v>
      </c>
      <c r="AJ102" s="377">
        <f t="shared" si="93"/>
        <v>5676389</v>
      </c>
      <c r="AK102" s="35">
        <f t="shared" si="93"/>
        <v>649910</v>
      </c>
      <c r="AL102" s="377">
        <f t="shared" si="93"/>
        <v>5026479</v>
      </c>
      <c r="AM102" s="35">
        <f t="shared" si="93"/>
        <v>649911</v>
      </c>
      <c r="AN102" s="377">
        <f t="shared" si="93"/>
        <v>4376568</v>
      </c>
      <c r="AO102" s="35">
        <f t="shared" si="93"/>
        <v>649910</v>
      </c>
      <c r="AP102" s="377">
        <f t="shared" si="93"/>
        <v>3726658</v>
      </c>
      <c r="AQ102" s="35">
        <f t="shared" si="93"/>
        <v>609511</v>
      </c>
      <c r="AR102" s="377">
        <f t="shared" si="93"/>
        <v>3117148</v>
      </c>
      <c r="AS102" s="35">
        <f t="shared" si="93"/>
        <v>601195</v>
      </c>
      <c r="AT102" s="377">
        <f t="shared" si="93"/>
        <v>2515953</v>
      </c>
      <c r="AU102" s="35">
        <f t="shared" si="93"/>
        <v>601196</v>
      </c>
      <c r="AV102" s="377">
        <f t="shared" si="93"/>
        <v>1914758</v>
      </c>
      <c r="AW102" s="35">
        <f t="shared" si="93"/>
        <v>578282</v>
      </c>
      <c r="AX102" s="377">
        <f t="shared" si="93"/>
        <v>1336475</v>
      </c>
      <c r="AY102" s="35">
        <f t="shared" si="93"/>
        <v>542497</v>
      </c>
      <c r="AZ102" s="377">
        <f t="shared" si="93"/>
        <v>794118</v>
      </c>
      <c r="BA102" s="35">
        <f t="shared" si="93"/>
        <v>529412</v>
      </c>
      <c r="BB102" s="377">
        <f t="shared" si="93"/>
        <v>264706</v>
      </c>
      <c r="BC102" s="35">
        <f t="shared" si="93"/>
        <v>264706</v>
      </c>
    </row>
    <row r="103" spans="1:55" ht="12.75">
      <c r="A103" s="372" t="s">
        <v>177</v>
      </c>
      <c r="B103" s="385"/>
      <c r="C103" s="386"/>
      <c r="D103" s="387"/>
      <c r="E103" s="386"/>
      <c r="F103" s="387"/>
      <c r="G103" s="386"/>
      <c r="H103" s="387"/>
      <c r="I103" s="388"/>
      <c r="J103" s="8">
        <f>J20</f>
        <v>0</v>
      </c>
      <c r="K103" s="16">
        <f>K20</f>
        <v>0</v>
      </c>
      <c r="L103" s="377">
        <f>L20+L34</f>
        <v>463458</v>
      </c>
      <c r="M103" s="35">
        <f>M20+M34</f>
        <v>0</v>
      </c>
      <c r="N103" s="377">
        <f>N20</f>
        <v>603139</v>
      </c>
      <c r="O103" s="35">
        <f>O20</f>
        <v>0</v>
      </c>
      <c r="P103" s="377">
        <f aca="true" t="shared" si="94" ref="P103:AO103">P20</f>
        <v>603139</v>
      </c>
      <c r="Q103" s="35">
        <f t="shared" si="94"/>
        <v>49236</v>
      </c>
      <c r="R103" s="377">
        <f t="shared" si="94"/>
        <v>553903</v>
      </c>
      <c r="S103" s="35">
        <f t="shared" si="94"/>
        <v>49236</v>
      </c>
      <c r="T103" s="377">
        <f t="shared" si="94"/>
        <v>504667</v>
      </c>
      <c r="U103" s="35">
        <f t="shared" si="94"/>
        <v>49236</v>
      </c>
      <c r="V103" s="377">
        <f t="shared" si="94"/>
        <v>455431</v>
      </c>
      <c r="W103" s="35">
        <f t="shared" si="94"/>
        <v>49236</v>
      </c>
      <c r="X103" s="377">
        <f t="shared" si="94"/>
        <v>406195</v>
      </c>
      <c r="Y103" s="35">
        <f t="shared" si="94"/>
        <v>49236</v>
      </c>
      <c r="Z103" s="377">
        <f t="shared" si="94"/>
        <v>356959</v>
      </c>
      <c r="AA103" s="35">
        <f t="shared" si="94"/>
        <v>49236</v>
      </c>
      <c r="AB103" s="377">
        <f t="shared" si="94"/>
        <v>307723</v>
      </c>
      <c r="AC103" s="35">
        <f t="shared" si="94"/>
        <v>49236</v>
      </c>
      <c r="AD103" s="377">
        <f t="shared" si="94"/>
        <v>258487</v>
      </c>
      <c r="AE103" s="35">
        <f t="shared" si="94"/>
        <v>49236</v>
      </c>
      <c r="AF103" s="377">
        <f t="shared" si="94"/>
        <v>209251</v>
      </c>
      <c r="AG103" s="35">
        <f t="shared" si="94"/>
        <v>49236</v>
      </c>
      <c r="AH103" s="377">
        <f t="shared" si="94"/>
        <v>160015</v>
      </c>
      <c r="AI103" s="35">
        <f t="shared" si="94"/>
        <v>49236</v>
      </c>
      <c r="AJ103" s="377">
        <f t="shared" si="94"/>
        <v>110779</v>
      </c>
      <c r="AK103" s="35">
        <f t="shared" si="94"/>
        <v>49236</v>
      </c>
      <c r="AL103" s="377">
        <f t="shared" si="94"/>
        <v>61543</v>
      </c>
      <c r="AM103" s="35">
        <f t="shared" si="94"/>
        <v>49236</v>
      </c>
      <c r="AN103" s="377">
        <f t="shared" si="94"/>
        <v>12307</v>
      </c>
      <c r="AO103" s="35">
        <f t="shared" si="94"/>
        <v>12307</v>
      </c>
      <c r="AP103" s="346" t="s">
        <v>35</v>
      </c>
      <c r="AQ103" s="378" t="s">
        <v>35</v>
      </c>
      <c r="AR103" s="346" t="s">
        <v>35</v>
      </c>
      <c r="AS103" s="378" t="s">
        <v>35</v>
      </c>
      <c r="AT103" s="346" t="s">
        <v>35</v>
      </c>
      <c r="AU103" s="378" t="s">
        <v>35</v>
      </c>
      <c r="AV103" s="346" t="s">
        <v>35</v>
      </c>
      <c r="AW103" s="378" t="s">
        <v>35</v>
      </c>
      <c r="AX103" s="346" t="s">
        <v>35</v>
      </c>
      <c r="AY103" s="378" t="s">
        <v>35</v>
      </c>
      <c r="AZ103" s="346" t="s">
        <v>35</v>
      </c>
      <c r="BA103" s="378" t="s">
        <v>35</v>
      </c>
      <c r="BB103" s="346" t="s">
        <v>35</v>
      </c>
      <c r="BC103" s="378" t="s">
        <v>35</v>
      </c>
    </row>
    <row r="104" spans="1:55" ht="12.75">
      <c r="A104" s="372" t="s">
        <v>297</v>
      </c>
      <c r="B104" s="385"/>
      <c r="C104" s="386"/>
      <c r="D104" s="387"/>
      <c r="E104" s="386"/>
      <c r="F104" s="387"/>
      <c r="G104" s="386"/>
      <c r="H104" s="387"/>
      <c r="I104" s="388"/>
      <c r="J104" s="8"/>
      <c r="K104" s="16"/>
      <c r="L104" s="377"/>
      <c r="M104" s="35"/>
      <c r="N104" s="377">
        <f>N33</f>
        <v>24183</v>
      </c>
      <c r="O104" s="35">
        <f>O33</f>
        <v>24183</v>
      </c>
      <c r="P104" s="13" t="s">
        <v>35</v>
      </c>
      <c r="Q104" s="14" t="s">
        <v>35</v>
      </c>
      <c r="R104" s="13" t="s">
        <v>35</v>
      </c>
      <c r="S104" s="14" t="s">
        <v>35</v>
      </c>
      <c r="T104" s="13" t="s">
        <v>35</v>
      </c>
      <c r="U104" s="14" t="s">
        <v>35</v>
      </c>
      <c r="V104" s="13" t="s">
        <v>35</v>
      </c>
      <c r="W104" s="14" t="s">
        <v>35</v>
      </c>
      <c r="X104" s="13" t="s">
        <v>35</v>
      </c>
      <c r="Y104" s="14" t="s">
        <v>35</v>
      </c>
      <c r="Z104" s="13" t="s">
        <v>35</v>
      </c>
      <c r="AA104" s="14" t="s">
        <v>35</v>
      </c>
      <c r="AB104" s="13" t="s">
        <v>35</v>
      </c>
      <c r="AC104" s="14" t="s">
        <v>35</v>
      </c>
      <c r="AD104" s="13" t="s">
        <v>35</v>
      </c>
      <c r="AE104" s="14" t="s">
        <v>35</v>
      </c>
      <c r="AF104" s="13" t="s">
        <v>35</v>
      </c>
      <c r="AG104" s="14" t="s">
        <v>35</v>
      </c>
      <c r="AH104" s="13" t="s">
        <v>35</v>
      </c>
      <c r="AI104" s="14" t="s">
        <v>35</v>
      </c>
      <c r="AJ104" s="13" t="s">
        <v>35</v>
      </c>
      <c r="AK104" s="14" t="s">
        <v>35</v>
      </c>
      <c r="AL104" s="13" t="s">
        <v>35</v>
      </c>
      <c r="AM104" s="14" t="s">
        <v>35</v>
      </c>
      <c r="AN104" s="13" t="s">
        <v>35</v>
      </c>
      <c r="AO104" s="14" t="s">
        <v>35</v>
      </c>
      <c r="AP104" s="13" t="s">
        <v>35</v>
      </c>
      <c r="AQ104" s="14" t="s">
        <v>35</v>
      </c>
      <c r="AR104" s="13" t="s">
        <v>35</v>
      </c>
      <c r="AS104" s="14" t="s">
        <v>35</v>
      </c>
      <c r="AT104" s="13" t="s">
        <v>35</v>
      </c>
      <c r="AU104" s="14" t="s">
        <v>35</v>
      </c>
      <c r="AV104" s="13" t="s">
        <v>35</v>
      </c>
      <c r="AW104" s="14" t="s">
        <v>35</v>
      </c>
      <c r="AX104" s="13" t="s">
        <v>35</v>
      </c>
      <c r="AY104" s="14" t="s">
        <v>35</v>
      </c>
      <c r="AZ104" s="13" t="s">
        <v>35</v>
      </c>
      <c r="BA104" s="14" t="s">
        <v>35</v>
      </c>
      <c r="BB104" s="13" t="s">
        <v>35</v>
      </c>
      <c r="BC104" s="14" t="s">
        <v>35</v>
      </c>
    </row>
    <row r="105" spans="1:55" s="38" customFormat="1" ht="13.5" thickBot="1">
      <c r="A105" s="372" t="s">
        <v>247</v>
      </c>
      <c r="B105" s="373"/>
      <c r="C105" s="374"/>
      <c r="D105" s="375"/>
      <c r="E105" s="374"/>
      <c r="F105" s="375"/>
      <c r="G105" s="374"/>
      <c r="H105" s="375"/>
      <c r="I105" s="376"/>
      <c r="J105" s="377"/>
      <c r="K105" s="35"/>
      <c r="L105" s="377">
        <f aca="true" t="shared" si="95" ref="L105:BA105">SUM(L26:L28)</f>
        <v>0</v>
      </c>
      <c r="M105" s="35">
        <f t="shared" si="95"/>
        <v>0</v>
      </c>
      <c r="N105" s="377">
        <f t="shared" si="95"/>
        <v>545937</v>
      </c>
      <c r="O105" s="35">
        <f t="shared" si="95"/>
        <v>0</v>
      </c>
      <c r="P105" s="377">
        <f t="shared" si="95"/>
        <v>933774</v>
      </c>
      <c r="Q105" s="35">
        <f t="shared" si="95"/>
        <v>0</v>
      </c>
      <c r="R105" s="377">
        <f t="shared" si="95"/>
        <v>933774</v>
      </c>
      <c r="S105" s="35">
        <f t="shared" si="95"/>
        <v>40019</v>
      </c>
      <c r="T105" s="377">
        <f t="shared" si="95"/>
        <v>893755</v>
      </c>
      <c r="U105" s="35">
        <f t="shared" si="95"/>
        <v>53359</v>
      </c>
      <c r="V105" s="377">
        <f t="shared" si="95"/>
        <v>840396</v>
      </c>
      <c r="W105" s="35">
        <f t="shared" si="95"/>
        <v>53359</v>
      </c>
      <c r="X105" s="377">
        <f t="shared" si="95"/>
        <v>787037</v>
      </c>
      <c r="Y105" s="35">
        <f t="shared" si="95"/>
        <v>53359</v>
      </c>
      <c r="Z105" s="377">
        <f t="shared" si="95"/>
        <v>733678</v>
      </c>
      <c r="AA105" s="35">
        <f t="shared" si="95"/>
        <v>53359</v>
      </c>
      <c r="AB105" s="377">
        <f t="shared" si="95"/>
        <v>680319</v>
      </c>
      <c r="AC105" s="35">
        <f t="shared" si="95"/>
        <v>53358</v>
      </c>
      <c r="AD105" s="377">
        <f t="shared" si="95"/>
        <v>626961</v>
      </c>
      <c r="AE105" s="35">
        <f t="shared" si="95"/>
        <v>53359</v>
      </c>
      <c r="AF105" s="377">
        <f t="shared" si="95"/>
        <v>573602</v>
      </c>
      <c r="AG105" s="35">
        <f t="shared" si="95"/>
        <v>53358</v>
      </c>
      <c r="AH105" s="377">
        <f t="shared" si="95"/>
        <v>520244</v>
      </c>
      <c r="AI105" s="35">
        <f t="shared" si="95"/>
        <v>53359</v>
      </c>
      <c r="AJ105" s="377">
        <f t="shared" si="95"/>
        <v>466885</v>
      </c>
      <c r="AK105" s="35">
        <f t="shared" si="95"/>
        <v>53358</v>
      </c>
      <c r="AL105" s="377">
        <f t="shared" si="95"/>
        <v>413527</v>
      </c>
      <c r="AM105" s="35">
        <f t="shared" si="95"/>
        <v>53359</v>
      </c>
      <c r="AN105" s="377">
        <f t="shared" si="95"/>
        <v>360168</v>
      </c>
      <c r="AO105" s="35">
        <f t="shared" si="95"/>
        <v>53358</v>
      </c>
      <c r="AP105" s="377">
        <f t="shared" si="95"/>
        <v>306810</v>
      </c>
      <c r="AQ105" s="35">
        <f t="shared" si="95"/>
        <v>53359</v>
      </c>
      <c r="AR105" s="377">
        <f t="shared" si="95"/>
        <v>253451</v>
      </c>
      <c r="AS105" s="35">
        <f t="shared" si="95"/>
        <v>53356</v>
      </c>
      <c r="AT105" s="377">
        <f t="shared" si="95"/>
        <v>200095</v>
      </c>
      <c r="AU105" s="35">
        <f t="shared" si="95"/>
        <v>53359</v>
      </c>
      <c r="AV105" s="377">
        <f t="shared" si="95"/>
        <v>146736</v>
      </c>
      <c r="AW105" s="35">
        <f t="shared" si="95"/>
        <v>53358</v>
      </c>
      <c r="AX105" s="377">
        <f t="shared" si="95"/>
        <v>93378</v>
      </c>
      <c r="AY105" s="35">
        <f t="shared" si="95"/>
        <v>53359</v>
      </c>
      <c r="AZ105" s="377">
        <f t="shared" si="95"/>
        <v>40019</v>
      </c>
      <c r="BA105" s="35">
        <f t="shared" si="95"/>
        <v>40019</v>
      </c>
      <c r="BB105" s="346" t="s">
        <v>35</v>
      </c>
      <c r="BC105" s="378" t="s">
        <v>35</v>
      </c>
    </row>
    <row r="106" spans="1:55" s="38" customFormat="1" ht="14.25" customHeight="1" hidden="1" thickBot="1">
      <c r="A106" s="419" t="s">
        <v>251</v>
      </c>
      <c r="B106" s="379"/>
      <c r="C106" s="380"/>
      <c r="D106" s="381"/>
      <c r="E106" s="380"/>
      <c r="F106" s="381"/>
      <c r="G106" s="380"/>
      <c r="H106" s="381"/>
      <c r="I106" s="382"/>
      <c r="J106" s="383">
        <f>SUM(J28)</f>
        <v>0</v>
      </c>
      <c r="K106" s="384">
        <f>SUM(K28)</f>
        <v>0</v>
      </c>
      <c r="L106" s="444">
        <v>0</v>
      </c>
      <c r="M106" s="445">
        <v>0</v>
      </c>
      <c r="N106" s="444">
        <v>0</v>
      </c>
      <c r="O106" s="445">
        <v>0</v>
      </c>
      <c r="P106" s="444">
        <v>0</v>
      </c>
      <c r="Q106" s="445">
        <v>0</v>
      </c>
      <c r="R106" s="444">
        <v>0</v>
      </c>
      <c r="S106" s="445">
        <v>0</v>
      </c>
      <c r="T106" s="444">
        <v>0</v>
      </c>
      <c r="U106" s="445">
        <v>0</v>
      </c>
      <c r="V106" s="444">
        <v>0</v>
      </c>
      <c r="W106" s="445">
        <v>0</v>
      </c>
      <c r="X106" s="444">
        <v>0</v>
      </c>
      <c r="Y106" s="445">
        <v>0</v>
      </c>
      <c r="Z106" s="444">
        <v>0</v>
      </c>
      <c r="AA106" s="445">
        <v>0</v>
      </c>
      <c r="AB106" s="444">
        <v>0</v>
      </c>
      <c r="AC106" s="445">
        <v>0</v>
      </c>
      <c r="AD106" s="444">
        <v>0</v>
      </c>
      <c r="AE106" s="445">
        <v>0</v>
      </c>
      <c r="AF106" s="444">
        <v>0</v>
      </c>
      <c r="AG106" s="445">
        <v>0</v>
      </c>
      <c r="AH106" s="444">
        <v>0</v>
      </c>
      <c r="AI106" s="445">
        <v>0</v>
      </c>
      <c r="AJ106" s="444">
        <v>0</v>
      </c>
      <c r="AK106" s="445">
        <v>0</v>
      </c>
      <c r="AL106" s="444">
        <v>0</v>
      </c>
      <c r="AM106" s="445">
        <v>0</v>
      </c>
      <c r="AN106" s="444">
        <v>0</v>
      </c>
      <c r="AO106" s="445">
        <v>0</v>
      </c>
      <c r="AP106" s="444">
        <v>0</v>
      </c>
      <c r="AQ106" s="445">
        <v>0</v>
      </c>
      <c r="AR106" s="444">
        <v>0</v>
      </c>
      <c r="AS106" s="445">
        <v>0</v>
      </c>
      <c r="AT106" s="444">
        <v>0</v>
      </c>
      <c r="AU106" s="445">
        <v>0</v>
      </c>
      <c r="AV106" s="444">
        <v>0</v>
      </c>
      <c r="AW106" s="445">
        <v>0</v>
      </c>
      <c r="AX106" s="444">
        <v>0</v>
      </c>
      <c r="AY106" s="445">
        <v>0</v>
      </c>
      <c r="AZ106" s="444">
        <v>0</v>
      </c>
      <c r="BA106" s="445">
        <v>0</v>
      </c>
      <c r="BB106" s="444">
        <v>0</v>
      </c>
      <c r="BC106" s="445">
        <v>0</v>
      </c>
    </row>
    <row r="107" spans="1:55" s="350" customFormat="1" ht="13.5" thickTop="1">
      <c r="A107" s="355" t="s">
        <v>178</v>
      </c>
      <c r="B107" s="354"/>
      <c r="C107" s="351"/>
      <c r="D107" s="352"/>
      <c r="E107" s="351"/>
      <c r="F107" s="352"/>
      <c r="G107" s="351"/>
      <c r="H107" s="352"/>
      <c r="I107" s="358"/>
      <c r="J107" s="29">
        <f aca="true" t="shared" si="96" ref="J107:AY107">SUM(J102:J106)</f>
        <v>2839622</v>
      </c>
      <c r="K107" s="353">
        <f t="shared" si="96"/>
        <v>363239</v>
      </c>
      <c r="L107" s="29">
        <f>SUM(L102:L106)</f>
        <v>3669223</v>
      </c>
      <c r="M107" s="353" t="e">
        <f t="shared" si="96"/>
        <v>#REF!</v>
      </c>
      <c r="N107" s="29">
        <f t="shared" si="96"/>
        <v>2892181</v>
      </c>
      <c r="O107" s="353">
        <f t="shared" si="96"/>
        <v>90482</v>
      </c>
      <c r="P107" s="29">
        <f t="shared" si="96"/>
        <v>4941127</v>
      </c>
      <c r="Q107" s="353">
        <f t="shared" si="96"/>
        <v>156690</v>
      </c>
      <c r="R107" s="29">
        <f t="shared" si="96"/>
        <v>8284437</v>
      </c>
      <c r="S107" s="353">
        <f t="shared" si="96"/>
        <v>233538</v>
      </c>
      <c r="T107" s="29">
        <f t="shared" si="96"/>
        <v>12050899</v>
      </c>
      <c r="U107" s="353">
        <f t="shared" si="96"/>
        <v>505615</v>
      </c>
      <c r="V107" s="29">
        <f t="shared" si="96"/>
        <v>11545284</v>
      </c>
      <c r="W107" s="353">
        <f t="shared" si="96"/>
        <v>764354</v>
      </c>
      <c r="X107" s="29">
        <f t="shared" si="96"/>
        <v>10780930</v>
      </c>
      <c r="Y107" s="353">
        <f t="shared" si="96"/>
        <v>764353</v>
      </c>
      <c r="Z107" s="29">
        <f t="shared" si="96"/>
        <v>10016578</v>
      </c>
      <c r="AA107" s="353">
        <f t="shared" si="96"/>
        <v>752506</v>
      </c>
      <c r="AB107" s="29">
        <f t="shared" si="96"/>
        <v>9264071</v>
      </c>
      <c r="AC107" s="353">
        <f t="shared" si="96"/>
        <v>752504</v>
      </c>
      <c r="AD107" s="29">
        <f t="shared" si="96"/>
        <v>8511569</v>
      </c>
      <c r="AE107" s="353">
        <f t="shared" si="96"/>
        <v>752506</v>
      </c>
      <c r="AF107" s="29">
        <f t="shared" si="96"/>
        <v>7759062</v>
      </c>
      <c r="AG107" s="353">
        <f t="shared" si="96"/>
        <v>752504</v>
      </c>
      <c r="AH107" s="29">
        <f t="shared" si="96"/>
        <v>7006559</v>
      </c>
      <c r="AI107" s="353">
        <f t="shared" si="96"/>
        <v>752506</v>
      </c>
      <c r="AJ107" s="29">
        <f t="shared" si="96"/>
        <v>6254053</v>
      </c>
      <c r="AK107" s="353">
        <f t="shared" si="96"/>
        <v>752504</v>
      </c>
      <c r="AL107" s="29">
        <f t="shared" si="96"/>
        <v>5501549</v>
      </c>
      <c r="AM107" s="353">
        <f t="shared" si="96"/>
        <v>752506</v>
      </c>
      <c r="AN107" s="29">
        <f t="shared" si="96"/>
        <v>4749043</v>
      </c>
      <c r="AO107" s="353">
        <f t="shared" si="96"/>
        <v>715575</v>
      </c>
      <c r="AP107" s="29">
        <f t="shared" si="96"/>
        <v>4033468</v>
      </c>
      <c r="AQ107" s="353">
        <f t="shared" si="96"/>
        <v>662870</v>
      </c>
      <c r="AR107" s="29">
        <f t="shared" si="96"/>
        <v>3370599</v>
      </c>
      <c r="AS107" s="353">
        <f t="shared" si="96"/>
        <v>654551</v>
      </c>
      <c r="AT107" s="29">
        <f t="shared" si="96"/>
        <v>2716048</v>
      </c>
      <c r="AU107" s="353">
        <f t="shared" si="96"/>
        <v>654555</v>
      </c>
      <c r="AV107" s="29">
        <f t="shared" si="96"/>
        <v>2061494</v>
      </c>
      <c r="AW107" s="353">
        <f t="shared" si="96"/>
        <v>631640</v>
      </c>
      <c r="AX107" s="29">
        <f>SUM(AX102:AX106)</f>
        <v>1429853</v>
      </c>
      <c r="AY107" s="353">
        <f t="shared" si="96"/>
        <v>595856</v>
      </c>
      <c r="AZ107" s="29">
        <f>SUM(AZ102:AZ106)</f>
        <v>834137</v>
      </c>
      <c r="BA107" s="353">
        <f>SUM(BA102:BA106)</f>
        <v>569431</v>
      </c>
      <c r="BB107" s="29">
        <f>SUM(BB102:BB106)</f>
        <v>264706</v>
      </c>
      <c r="BC107" s="353">
        <f>SUM(BC102:BC106)</f>
        <v>264706</v>
      </c>
    </row>
    <row r="108" spans="1:55" s="38" customFormat="1" ht="12.75">
      <c r="A108" s="372" t="s">
        <v>176</v>
      </c>
      <c r="B108" s="373"/>
      <c r="C108" s="374"/>
      <c r="D108" s="375"/>
      <c r="E108" s="374"/>
      <c r="F108" s="375"/>
      <c r="G108" s="374"/>
      <c r="H108" s="375"/>
      <c r="I108" s="376"/>
      <c r="J108" s="377">
        <f>SUM(J36:J49,J51:J55)</f>
        <v>886805</v>
      </c>
      <c r="K108" s="35">
        <f>SUM(K36:K49,K51:K55)</f>
        <v>172445</v>
      </c>
      <c r="L108" s="377">
        <f>SUM(L36:L49,L51:L55,L59:L63)</f>
        <v>1283095</v>
      </c>
      <c r="M108" s="35">
        <f>SUM(M36:M49,M51:M55,M59:M63)</f>
        <v>208013</v>
      </c>
      <c r="N108" s="377">
        <f>SUM(N36:N49,N51:N55,N59:N62)</f>
        <v>7182268</v>
      </c>
      <c r="O108" s="35">
        <f>SUM(O36:O49,O51:O55,O59:O62)</f>
        <v>124061</v>
      </c>
      <c r="P108" s="377">
        <f aca="true" t="shared" si="97" ref="P108:BC108">SUM(P36:P49,P51:P55,P59:P62)</f>
        <v>7058207</v>
      </c>
      <c r="Q108" s="35">
        <f t="shared" si="97"/>
        <v>280422</v>
      </c>
      <c r="R108" s="377">
        <f t="shared" si="97"/>
        <v>6777785</v>
      </c>
      <c r="S108" s="35">
        <f t="shared" si="97"/>
        <v>543251</v>
      </c>
      <c r="T108" s="377">
        <f t="shared" si="97"/>
        <v>6234534</v>
      </c>
      <c r="U108" s="35">
        <f t="shared" si="97"/>
        <v>703023</v>
      </c>
      <c r="V108" s="377">
        <f t="shared" si="97"/>
        <v>5531511</v>
      </c>
      <c r="W108" s="35">
        <f t="shared" si="97"/>
        <v>667805</v>
      </c>
      <c r="X108" s="377">
        <f t="shared" si="97"/>
        <v>4863706</v>
      </c>
      <c r="Y108" s="35">
        <f t="shared" si="97"/>
        <v>622357</v>
      </c>
      <c r="Z108" s="377">
        <f t="shared" si="97"/>
        <v>4241349</v>
      </c>
      <c r="AA108" s="35">
        <f t="shared" si="97"/>
        <v>578956</v>
      </c>
      <c r="AB108" s="377">
        <f t="shared" si="97"/>
        <v>3662393</v>
      </c>
      <c r="AC108" s="35">
        <f t="shared" si="97"/>
        <v>535835</v>
      </c>
      <c r="AD108" s="377">
        <f t="shared" si="97"/>
        <v>3126558</v>
      </c>
      <c r="AE108" s="35">
        <f t="shared" si="97"/>
        <v>494104</v>
      </c>
      <c r="AF108" s="377">
        <f t="shared" si="97"/>
        <v>2632454</v>
      </c>
      <c r="AG108" s="35">
        <f t="shared" si="97"/>
        <v>449590</v>
      </c>
      <c r="AH108" s="377">
        <f t="shared" si="97"/>
        <v>2182864</v>
      </c>
      <c r="AI108" s="35">
        <f t="shared" si="97"/>
        <v>406304</v>
      </c>
      <c r="AJ108" s="377">
        <f t="shared" si="97"/>
        <v>1776560</v>
      </c>
      <c r="AK108" s="35">
        <f t="shared" si="97"/>
        <v>362687</v>
      </c>
      <c r="AL108" s="377">
        <f t="shared" si="97"/>
        <v>1413873</v>
      </c>
      <c r="AM108" s="35">
        <f t="shared" si="97"/>
        <v>320485</v>
      </c>
      <c r="AN108" s="377">
        <f t="shared" si="97"/>
        <v>1093388</v>
      </c>
      <c r="AO108" s="35">
        <f t="shared" si="97"/>
        <v>273543</v>
      </c>
      <c r="AP108" s="377">
        <f t="shared" si="97"/>
        <v>819845</v>
      </c>
      <c r="AQ108" s="35">
        <f t="shared" si="97"/>
        <v>234441</v>
      </c>
      <c r="AR108" s="377">
        <f t="shared" si="97"/>
        <v>585404</v>
      </c>
      <c r="AS108" s="35">
        <f t="shared" si="97"/>
        <v>193975</v>
      </c>
      <c r="AT108" s="377">
        <f t="shared" si="97"/>
        <v>391429</v>
      </c>
      <c r="AU108" s="35">
        <f t="shared" si="97"/>
        <v>154165</v>
      </c>
      <c r="AV108" s="377">
        <f t="shared" si="97"/>
        <v>237264</v>
      </c>
      <c r="AW108" s="35">
        <f t="shared" si="97"/>
        <v>113743</v>
      </c>
      <c r="AX108" s="377">
        <f t="shared" si="97"/>
        <v>123521</v>
      </c>
      <c r="AY108" s="35">
        <f t="shared" si="97"/>
        <v>76321</v>
      </c>
      <c r="AZ108" s="377">
        <f t="shared" si="97"/>
        <v>47200</v>
      </c>
      <c r="BA108" s="35">
        <f t="shared" si="97"/>
        <v>40306</v>
      </c>
      <c r="BB108" s="377">
        <f t="shared" si="97"/>
        <v>6894</v>
      </c>
      <c r="BC108" s="35">
        <f t="shared" si="97"/>
        <v>6894</v>
      </c>
    </row>
    <row r="109" spans="1:55" s="38" customFormat="1" ht="12.75">
      <c r="A109" s="372" t="s">
        <v>177</v>
      </c>
      <c r="B109" s="373"/>
      <c r="C109" s="374"/>
      <c r="D109" s="375"/>
      <c r="E109" s="374"/>
      <c r="F109" s="375"/>
      <c r="G109" s="374"/>
      <c r="H109" s="375"/>
      <c r="I109" s="376"/>
      <c r="J109" s="377">
        <f>J50</f>
        <v>0</v>
      </c>
      <c r="K109" s="35">
        <f>K50</f>
        <v>2885</v>
      </c>
      <c r="L109" s="377">
        <f>SUM(L50,L64)</f>
        <v>315877</v>
      </c>
      <c r="M109" s="35">
        <f>SUM(M50,M64)</f>
        <v>31571</v>
      </c>
      <c r="N109" s="377">
        <f>N50</f>
        <v>284306</v>
      </c>
      <c r="O109" s="35">
        <f>O50</f>
        <v>34237</v>
      </c>
      <c r="P109" s="377">
        <f aca="true" t="shared" si="98" ref="P109:AO109">P50</f>
        <v>250069</v>
      </c>
      <c r="Q109" s="35">
        <f t="shared" si="98"/>
        <v>34970</v>
      </c>
      <c r="R109" s="377">
        <f t="shared" si="98"/>
        <v>215099</v>
      </c>
      <c r="S109" s="35">
        <f t="shared" si="98"/>
        <v>32380</v>
      </c>
      <c r="T109" s="377">
        <f t="shared" si="98"/>
        <v>182719</v>
      </c>
      <c r="U109" s="35">
        <f t="shared" si="98"/>
        <v>29791</v>
      </c>
      <c r="V109" s="377">
        <f t="shared" si="98"/>
        <v>152928</v>
      </c>
      <c r="W109" s="35">
        <f t="shared" si="98"/>
        <v>27267</v>
      </c>
      <c r="X109" s="377">
        <f t="shared" si="98"/>
        <v>125661</v>
      </c>
      <c r="Y109" s="35">
        <f t="shared" si="98"/>
        <v>24612</v>
      </c>
      <c r="Z109" s="377">
        <f t="shared" si="98"/>
        <v>101049</v>
      </c>
      <c r="AA109" s="35">
        <f t="shared" si="98"/>
        <v>22023</v>
      </c>
      <c r="AB109" s="377">
        <f t="shared" si="98"/>
        <v>79026</v>
      </c>
      <c r="AC109" s="35">
        <f t="shared" si="98"/>
        <v>19434</v>
      </c>
      <c r="AD109" s="377">
        <f t="shared" si="98"/>
        <v>59592</v>
      </c>
      <c r="AE109" s="35">
        <f t="shared" si="98"/>
        <v>16882</v>
      </c>
      <c r="AF109" s="377">
        <f t="shared" si="98"/>
        <v>42710</v>
      </c>
      <c r="AG109" s="35">
        <f t="shared" si="98"/>
        <v>14255</v>
      </c>
      <c r="AH109" s="377">
        <f t="shared" si="98"/>
        <v>28455</v>
      </c>
      <c r="AI109" s="35">
        <f t="shared" si="98"/>
        <v>11666</v>
      </c>
      <c r="AJ109" s="377">
        <f t="shared" si="98"/>
        <v>16789</v>
      </c>
      <c r="AK109" s="35">
        <f t="shared" si="98"/>
        <v>9076</v>
      </c>
      <c r="AL109" s="377">
        <f t="shared" si="98"/>
        <v>7713</v>
      </c>
      <c r="AM109" s="35">
        <f t="shared" si="98"/>
        <v>6496</v>
      </c>
      <c r="AN109" s="377">
        <f t="shared" si="98"/>
        <v>1217</v>
      </c>
      <c r="AO109" s="35">
        <f t="shared" si="98"/>
        <v>1217</v>
      </c>
      <c r="AP109" s="346" t="s">
        <v>35</v>
      </c>
      <c r="AQ109" s="378" t="s">
        <v>35</v>
      </c>
      <c r="AR109" s="346" t="s">
        <v>35</v>
      </c>
      <c r="AS109" s="378" t="s">
        <v>35</v>
      </c>
      <c r="AT109" s="346" t="s">
        <v>35</v>
      </c>
      <c r="AU109" s="378" t="s">
        <v>35</v>
      </c>
      <c r="AV109" s="346" t="s">
        <v>35</v>
      </c>
      <c r="AW109" s="378" t="s">
        <v>35</v>
      </c>
      <c r="AX109" s="346" t="s">
        <v>35</v>
      </c>
      <c r="AY109" s="378" t="s">
        <v>35</v>
      </c>
      <c r="AZ109" s="346" t="s">
        <v>35</v>
      </c>
      <c r="BA109" s="378" t="s">
        <v>35</v>
      </c>
      <c r="BB109" s="346" t="s">
        <v>35</v>
      </c>
      <c r="BC109" s="378" t="s">
        <v>35</v>
      </c>
    </row>
    <row r="110" spans="1:55" s="38" customFormat="1" ht="12.75">
      <c r="A110" s="372" t="s">
        <v>297</v>
      </c>
      <c r="B110" s="373"/>
      <c r="C110" s="374"/>
      <c r="D110" s="375"/>
      <c r="E110" s="374"/>
      <c r="F110" s="375"/>
      <c r="G110" s="374"/>
      <c r="H110" s="375"/>
      <c r="I110" s="376"/>
      <c r="J110" s="377"/>
      <c r="K110" s="35"/>
      <c r="L110" s="377"/>
      <c r="M110" s="35"/>
      <c r="N110" s="377">
        <f>N63</f>
        <v>217</v>
      </c>
      <c r="O110" s="35">
        <f>O63</f>
        <v>217</v>
      </c>
      <c r="P110" s="13" t="s">
        <v>35</v>
      </c>
      <c r="Q110" s="14" t="s">
        <v>35</v>
      </c>
      <c r="R110" s="13" t="s">
        <v>35</v>
      </c>
      <c r="S110" s="14" t="s">
        <v>35</v>
      </c>
      <c r="T110" s="13" t="s">
        <v>35</v>
      </c>
      <c r="U110" s="14" t="s">
        <v>35</v>
      </c>
      <c r="V110" s="13" t="s">
        <v>35</v>
      </c>
      <c r="W110" s="14" t="s">
        <v>35</v>
      </c>
      <c r="X110" s="13" t="s">
        <v>35</v>
      </c>
      <c r="Y110" s="14" t="s">
        <v>35</v>
      </c>
      <c r="Z110" s="13" t="s">
        <v>35</v>
      </c>
      <c r="AA110" s="14" t="s">
        <v>35</v>
      </c>
      <c r="AB110" s="13" t="s">
        <v>35</v>
      </c>
      <c r="AC110" s="14" t="s">
        <v>35</v>
      </c>
      <c r="AD110" s="13" t="s">
        <v>35</v>
      </c>
      <c r="AE110" s="14" t="s">
        <v>35</v>
      </c>
      <c r="AF110" s="13" t="s">
        <v>35</v>
      </c>
      <c r="AG110" s="14" t="s">
        <v>35</v>
      </c>
      <c r="AH110" s="13" t="s">
        <v>35</v>
      </c>
      <c r="AI110" s="14" t="s">
        <v>35</v>
      </c>
      <c r="AJ110" s="13" t="s">
        <v>35</v>
      </c>
      <c r="AK110" s="14" t="s">
        <v>35</v>
      </c>
      <c r="AL110" s="13" t="s">
        <v>35</v>
      </c>
      <c r="AM110" s="14" t="s">
        <v>35</v>
      </c>
      <c r="AN110" s="13" t="s">
        <v>35</v>
      </c>
      <c r="AO110" s="14" t="s">
        <v>35</v>
      </c>
      <c r="AP110" s="13" t="s">
        <v>35</v>
      </c>
      <c r="AQ110" s="14" t="s">
        <v>35</v>
      </c>
      <c r="AR110" s="13" t="s">
        <v>35</v>
      </c>
      <c r="AS110" s="14" t="s">
        <v>35</v>
      </c>
      <c r="AT110" s="13" t="s">
        <v>35</v>
      </c>
      <c r="AU110" s="14" t="s">
        <v>35</v>
      </c>
      <c r="AV110" s="13" t="s">
        <v>35</v>
      </c>
      <c r="AW110" s="14" t="s">
        <v>35</v>
      </c>
      <c r="AX110" s="13" t="s">
        <v>35</v>
      </c>
      <c r="AY110" s="14" t="s">
        <v>35</v>
      </c>
      <c r="AZ110" s="13" t="s">
        <v>35</v>
      </c>
      <c r="BA110" s="14" t="s">
        <v>35</v>
      </c>
      <c r="BB110" s="13" t="s">
        <v>35</v>
      </c>
      <c r="BC110" s="14" t="s">
        <v>35</v>
      </c>
    </row>
    <row r="111" spans="1:55" s="38" customFormat="1" ht="13.5" thickBot="1">
      <c r="A111" s="372" t="s">
        <v>247</v>
      </c>
      <c r="B111" s="373"/>
      <c r="C111" s="374"/>
      <c r="D111" s="375"/>
      <c r="E111" s="374"/>
      <c r="F111" s="375"/>
      <c r="G111" s="374"/>
      <c r="H111" s="375"/>
      <c r="I111" s="376"/>
      <c r="J111" s="377"/>
      <c r="K111" s="35"/>
      <c r="L111" s="377">
        <f aca="true" t="shared" si="99" ref="L111:BA111">SUM(L56:L58)</f>
        <v>660553</v>
      </c>
      <c r="M111" s="35">
        <f t="shared" si="99"/>
        <v>2497</v>
      </c>
      <c r="N111" s="377">
        <f t="shared" si="99"/>
        <v>658056</v>
      </c>
      <c r="O111" s="35">
        <f t="shared" si="99"/>
        <v>50111</v>
      </c>
      <c r="P111" s="377">
        <f t="shared" si="99"/>
        <v>607945</v>
      </c>
      <c r="Q111" s="35">
        <f t="shared" si="99"/>
        <v>59459</v>
      </c>
      <c r="R111" s="377">
        <f t="shared" si="99"/>
        <v>548486</v>
      </c>
      <c r="S111" s="35">
        <f t="shared" si="99"/>
        <v>58824</v>
      </c>
      <c r="T111" s="377">
        <f t="shared" si="99"/>
        <v>489662</v>
      </c>
      <c r="U111" s="35">
        <f t="shared" si="99"/>
        <v>55674</v>
      </c>
      <c r="V111" s="377">
        <f t="shared" si="99"/>
        <v>433988</v>
      </c>
      <c r="W111" s="35">
        <f t="shared" si="99"/>
        <v>52462</v>
      </c>
      <c r="X111" s="377">
        <f t="shared" si="99"/>
        <v>381526</v>
      </c>
      <c r="Y111" s="35">
        <f t="shared" si="99"/>
        <v>48959</v>
      </c>
      <c r="Z111" s="377">
        <f t="shared" si="99"/>
        <v>332567</v>
      </c>
      <c r="AA111" s="35">
        <f t="shared" si="99"/>
        <v>45601</v>
      </c>
      <c r="AB111" s="377">
        <f t="shared" si="99"/>
        <v>286966</v>
      </c>
      <c r="AC111" s="35">
        <f t="shared" si="99"/>
        <v>42243</v>
      </c>
      <c r="AD111" s="377">
        <f t="shared" si="99"/>
        <v>244723</v>
      </c>
      <c r="AE111" s="35">
        <f t="shared" si="99"/>
        <v>38993</v>
      </c>
      <c r="AF111" s="377">
        <f t="shared" si="99"/>
        <v>205730</v>
      </c>
      <c r="AG111" s="35">
        <f t="shared" si="99"/>
        <v>35528</v>
      </c>
      <c r="AH111" s="377">
        <f t="shared" si="99"/>
        <v>170202</v>
      </c>
      <c r="AI111" s="35">
        <f t="shared" si="99"/>
        <v>32170</v>
      </c>
      <c r="AJ111" s="377">
        <f t="shared" si="99"/>
        <v>138032</v>
      </c>
      <c r="AK111" s="35">
        <f t="shared" si="99"/>
        <v>28812</v>
      </c>
      <c r="AL111" s="377">
        <f t="shared" si="99"/>
        <v>109220</v>
      </c>
      <c r="AM111" s="35">
        <f t="shared" si="99"/>
        <v>25527</v>
      </c>
      <c r="AN111" s="377">
        <f t="shared" si="99"/>
        <v>83693</v>
      </c>
      <c r="AO111" s="35">
        <f t="shared" si="99"/>
        <v>22097</v>
      </c>
      <c r="AP111" s="377">
        <f t="shared" si="99"/>
        <v>61596</v>
      </c>
      <c r="AQ111" s="35">
        <f t="shared" si="99"/>
        <v>18739</v>
      </c>
      <c r="AR111" s="377">
        <f t="shared" si="99"/>
        <v>42857</v>
      </c>
      <c r="AS111" s="35">
        <f t="shared" si="99"/>
        <v>15381</v>
      </c>
      <c r="AT111" s="377">
        <f t="shared" si="99"/>
        <v>27476</v>
      </c>
      <c r="AU111" s="35">
        <f t="shared" si="99"/>
        <v>12059</v>
      </c>
      <c r="AV111" s="377">
        <f t="shared" si="99"/>
        <v>15417</v>
      </c>
      <c r="AW111" s="35">
        <f t="shared" si="99"/>
        <v>8667</v>
      </c>
      <c r="AX111" s="377">
        <f t="shared" si="99"/>
        <v>6750</v>
      </c>
      <c r="AY111" s="35">
        <f t="shared" si="99"/>
        <v>5308</v>
      </c>
      <c r="AZ111" s="377">
        <f t="shared" si="99"/>
        <v>1442</v>
      </c>
      <c r="BA111" s="35">
        <f t="shared" si="99"/>
        <v>1442</v>
      </c>
      <c r="BB111" s="346" t="s">
        <v>35</v>
      </c>
      <c r="BC111" s="378" t="s">
        <v>35</v>
      </c>
    </row>
    <row r="112" spans="1:55" s="38" customFormat="1" ht="14.25" customHeight="1" hidden="1" thickBot="1">
      <c r="A112" s="419" t="s">
        <v>251</v>
      </c>
      <c r="B112" s="379"/>
      <c r="C112" s="380"/>
      <c r="D112" s="381"/>
      <c r="E112" s="380"/>
      <c r="F112" s="381"/>
      <c r="G112" s="380"/>
      <c r="H112" s="381"/>
      <c r="I112" s="382"/>
      <c r="J112" s="383">
        <f>SUM(J39)</f>
        <v>12304</v>
      </c>
      <c r="K112" s="384">
        <f>SUM(K39)</f>
        <v>6717</v>
      </c>
      <c r="L112" s="444">
        <v>0</v>
      </c>
      <c r="M112" s="445">
        <v>0</v>
      </c>
      <c r="N112" s="444">
        <v>0</v>
      </c>
      <c r="O112" s="445">
        <v>0</v>
      </c>
      <c r="P112" s="444">
        <v>0</v>
      </c>
      <c r="Q112" s="445">
        <v>0</v>
      </c>
      <c r="R112" s="444">
        <v>0</v>
      </c>
      <c r="S112" s="445">
        <v>0</v>
      </c>
      <c r="T112" s="444">
        <v>0</v>
      </c>
      <c r="U112" s="445">
        <v>0</v>
      </c>
      <c r="V112" s="444">
        <v>0</v>
      </c>
      <c r="W112" s="445">
        <v>0</v>
      </c>
      <c r="X112" s="444">
        <v>0</v>
      </c>
      <c r="Y112" s="445">
        <v>0</v>
      </c>
      <c r="Z112" s="444">
        <v>0</v>
      </c>
      <c r="AA112" s="445">
        <v>0</v>
      </c>
      <c r="AB112" s="444">
        <v>0</v>
      </c>
      <c r="AC112" s="445">
        <v>0</v>
      </c>
      <c r="AD112" s="444">
        <v>0</v>
      </c>
      <c r="AE112" s="445">
        <v>0</v>
      </c>
      <c r="AF112" s="444">
        <v>0</v>
      </c>
      <c r="AG112" s="445">
        <v>0</v>
      </c>
      <c r="AH112" s="444">
        <v>0</v>
      </c>
      <c r="AI112" s="445">
        <v>0</v>
      </c>
      <c r="AJ112" s="444">
        <v>0</v>
      </c>
      <c r="AK112" s="445">
        <v>0</v>
      </c>
      <c r="AL112" s="444">
        <v>0</v>
      </c>
      <c r="AM112" s="445">
        <v>0</v>
      </c>
      <c r="AN112" s="444">
        <v>0</v>
      </c>
      <c r="AO112" s="445">
        <v>0</v>
      </c>
      <c r="AP112" s="444">
        <v>0</v>
      </c>
      <c r="AQ112" s="445">
        <v>0</v>
      </c>
      <c r="AR112" s="444">
        <v>0</v>
      </c>
      <c r="AS112" s="445">
        <v>0</v>
      </c>
      <c r="AT112" s="444">
        <v>0</v>
      </c>
      <c r="AU112" s="445">
        <v>0</v>
      </c>
      <c r="AV112" s="444">
        <v>0</v>
      </c>
      <c r="AW112" s="445">
        <v>0</v>
      </c>
      <c r="AX112" s="444">
        <v>0</v>
      </c>
      <c r="AY112" s="445">
        <v>0</v>
      </c>
      <c r="AZ112" s="444">
        <v>0</v>
      </c>
      <c r="BA112" s="445">
        <v>0</v>
      </c>
      <c r="BB112" s="444">
        <v>0</v>
      </c>
      <c r="BC112" s="445">
        <v>0</v>
      </c>
    </row>
    <row r="113" spans="1:55" s="350" customFormat="1" ht="13.5" thickTop="1">
      <c r="A113" s="355" t="s">
        <v>124</v>
      </c>
      <c r="B113" s="354"/>
      <c r="C113" s="351"/>
      <c r="D113" s="352"/>
      <c r="E113" s="351"/>
      <c r="F113" s="352"/>
      <c r="G113" s="351"/>
      <c r="H113" s="352"/>
      <c r="I113" s="358"/>
      <c r="J113" s="29">
        <f aca="true" t="shared" si="100" ref="J113:AY113">SUM(J108:J112)</f>
        <v>899109</v>
      </c>
      <c r="K113" s="353">
        <f t="shared" si="100"/>
        <v>182047</v>
      </c>
      <c r="L113" s="29">
        <f>SUM(L108:L112)</f>
        <v>2259525</v>
      </c>
      <c r="M113" s="353">
        <f t="shared" si="100"/>
        <v>242081</v>
      </c>
      <c r="N113" s="29">
        <f t="shared" si="100"/>
        <v>8124847</v>
      </c>
      <c r="O113" s="353">
        <f t="shared" si="100"/>
        <v>208626</v>
      </c>
      <c r="P113" s="29">
        <f t="shared" si="100"/>
        <v>7916221</v>
      </c>
      <c r="Q113" s="353">
        <f t="shared" si="100"/>
        <v>374851</v>
      </c>
      <c r="R113" s="29">
        <f t="shared" si="100"/>
        <v>7541370</v>
      </c>
      <c r="S113" s="353">
        <f t="shared" si="100"/>
        <v>634455</v>
      </c>
      <c r="T113" s="29">
        <f t="shared" si="100"/>
        <v>6906915</v>
      </c>
      <c r="U113" s="353">
        <f t="shared" si="100"/>
        <v>788488</v>
      </c>
      <c r="V113" s="29">
        <f t="shared" si="100"/>
        <v>6118427</v>
      </c>
      <c r="W113" s="353">
        <f t="shared" si="100"/>
        <v>747534</v>
      </c>
      <c r="X113" s="29">
        <f t="shared" si="100"/>
        <v>5370893</v>
      </c>
      <c r="Y113" s="353">
        <f t="shared" si="100"/>
        <v>695928</v>
      </c>
      <c r="Z113" s="29">
        <f t="shared" si="100"/>
        <v>4674965</v>
      </c>
      <c r="AA113" s="353">
        <f t="shared" si="100"/>
        <v>646580</v>
      </c>
      <c r="AB113" s="29">
        <f t="shared" si="100"/>
        <v>4028385</v>
      </c>
      <c r="AC113" s="353">
        <f t="shared" si="100"/>
        <v>597512</v>
      </c>
      <c r="AD113" s="29">
        <f t="shared" si="100"/>
        <v>3430873</v>
      </c>
      <c r="AE113" s="353">
        <f t="shared" si="100"/>
        <v>549979</v>
      </c>
      <c r="AF113" s="29">
        <f t="shared" si="100"/>
        <v>2880894</v>
      </c>
      <c r="AG113" s="353">
        <f t="shared" si="100"/>
        <v>499373</v>
      </c>
      <c r="AH113" s="29">
        <f t="shared" si="100"/>
        <v>2381521</v>
      </c>
      <c r="AI113" s="353">
        <f t="shared" si="100"/>
        <v>450140</v>
      </c>
      <c r="AJ113" s="29">
        <f t="shared" si="100"/>
        <v>1931381</v>
      </c>
      <c r="AK113" s="353">
        <f t="shared" si="100"/>
        <v>400575</v>
      </c>
      <c r="AL113" s="29">
        <f t="shared" si="100"/>
        <v>1530806</v>
      </c>
      <c r="AM113" s="353">
        <f t="shared" si="100"/>
        <v>352508</v>
      </c>
      <c r="AN113" s="29">
        <f t="shared" si="100"/>
        <v>1178298</v>
      </c>
      <c r="AO113" s="353">
        <f t="shared" si="100"/>
        <v>296857</v>
      </c>
      <c r="AP113" s="29">
        <f t="shared" si="100"/>
        <v>881441</v>
      </c>
      <c r="AQ113" s="353">
        <f t="shared" si="100"/>
        <v>253180</v>
      </c>
      <c r="AR113" s="29">
        <f t="shared" si="100"/>
        <v>628261</v>
      </c>
      <c r="AS113" s="353">
        <f t="shared" si="100"/>
        <v>209356</v>
      </c>
      <c r="AT113" s="29">
        <f t="shared" si="100"/>
        <v>418905</v>
      </c>
      <c r="AU113" s="353">
        <f t="shared" si="100"/>
        <v>166224</v>
      </c>
      <c r="AV113" s="29">
        <f t="shared" si="100"/>
        <v>252681</v>
      </c>
      <c r="AW113" s="353">
        <f t="shared" si="100"/>
        <v>122410</v>
      </c>
      <c r="AX113" s="29">
        <f t="shared" si="100"/>
        <v>130271</v>
      </c>
      <c r="AY113" s="353">
        <f t="shared" si="100"/>
        <v>81629</v>
      </c>
      <c r="AZ113" s="29">
        <f>SUM(AZ108:AZ112)</f>
        <v>48642</v>
      </c>
      <c r="BA113" s="353">
        <f>SUM(BA108:BA112)</f>
        <v>41748</v>
      </c>
      <c r="BB113" s="29">
        <f>SUM(BB108:BB112)</f>
        <v>6894</v>
      </c>
      <c r="BC113" s="353">
        <f>SUM(BC108:BC112)</f>
        <v>6894</v>
      </c>
    </row>
    <row r="114" spans="1:55" ht="12.75">
      <c r="A114" s="372" t="s">
        <v>176</v>
      </c>
      <c r="B114" s="385"/>
      <c r="C114" s="386"/>
      <c r="D114" s="387"/>
      <c r="E114" s="386"/>
      <c r="F114" s="387"/>
      <c r="G114" s="386"/>
      <c r="H114" s="387"/>
      <c r="I114" s="388"/>
      <c r="J114" s="8">
        <f>SUM(J102,J108)</f>
        <v>3726427</v>
      </c>
      <c r="K114" s="16">
        <f>SUM(K102,K108)</f>
        <v>535684</v>
      </c>
      <c r="L114" s="377">
        <f>L102+L108</f>
        <v>4488860</v>
      </c>
      <c r="M114" s="35" t="e">
        <f>M102+M108</f>
        <v>#REF!</v>
      </c>
      <c r="N114" s="377">
        <f aca="true" t="shared" si="101" ref="N114:BC114">N102+N108</f>
        <v>8901190</v>
      </c>
      <c r="O114" s="35">
        <f t="shared" si="101"/>
        <v>190360</v>
      </c>
      <c r="P114" s="377">
        <f t="shared" si="101"/>
        <v>10462421</v>
      </c>
      <c r="Q114" s="35">
        <f t="shared" si="101"/>
        <v>387876</v>
      </c>
      <c r="R114" s="377">
        <f t="shared" si="101"/>
        <v>13574545</v>
      </c>
      <c r="S114" s="35">
        <f t="shared" si="101"/>
        <v>687534</v>
      </c>
      <c r="T114" s="377">
        <f t="shared" si="101"/>
        <v>16887011</v>
      </c>
      <c r="U114" s="35">
        <f t="shared" si="101"/>
        <v>1106043</v>
      </c>
      <c r="V114" s="377">
        <f t="shared" si="101"/>
        <v>15780968</v>
      </c>
      <c r="W114" s="35">
        <f t="shared" si="101"/>
        <v>1329564</v>
      </c>
      <c r="X114" s="377">
        <f t="shared" si="101"/>
        <v>14451404</v>
      </c>
      <c r="Y114" s="35">
        <f t="shared" si="101"/>
        <v>1284115</v>
      </c>
      <c r="Z114" s="377">
        <f t="shared" si="101"/>
        <v>13167290</v>
      </c>
      <c r="AA114" s="35">
        <f t="shared" si="101"/>
        <v>1228867</v>
      </c>
      <c r="AB114" s="377">
        <f t="shared" si="101"/>
        <v>11938422</v>
      </c>
      <c r="AC114" s="35">
        <f t="shared" si="101"/>
        <v>1185745</v>
      </c>
      <c r="AD114" s="377">
        <f t="shared" si="101"/>
        <v>10752679</v>
      </c>
      <c r="AE114" s="35">
        <f t="shared" si="101"/>
        <v>1144015</v>
      </c>
      <c r="AF114" s="377">
        <f t="shared" si="101"/>
        <v>9608663</v>
      </c>
      <c r="AG114" s="35">
        <f t="shared" si="101"/>
        <v>1099500</v>
      </c>
      <c r="AH114" s="377">
        <f t="shared" si="101"/>
        <v>8509164</v>
      </c>
      <c r="AI114" s="35">
        <f t="shared" si="101"/>
        <v>1056215</v>
      </c>
      <c r="AJ114" s="377">
        <f t="shared" si="101"/>
        <v>7452949</v>
      </c>
      <c r="AK114" s="35">
        <f t="shared" si="101"/>
        <v>1012597</v>
      </c>
      <c r="AL114" s="377">
        <f t="shared" si="101"/>
        <v>6440352</v>
      </c>
      <c r="AM114" s="35">
        <f t="shared" si="101"/>
        <v>970396</v>
      </c>
      <c r="AN114" s="377">
        <f t="shared" si="101"/>
        <v>5469956</v>
      </c>
      <c r="AO114" s="35">
        <f t="shared" si="101"/>
        <v>923453</v>
      </c>
      <c r="AP114" s="377">
        <f t="shared" si="101"/>
        <v>4546503</v>
      </c>
      <c r="AQ114" s="35">
        <f t="shared" si="101"/>
        <v>843952</v>
      </c>
      <c r="AR114" s="377">
        <f t="shared" si="101"/>
        <v>3702552</v>
      </c>
      <c r="AS114" s="35">
        <f t="shared" si="101"/>
        <v>795170</v>
      </c>
      <c r="AT114" s="377">
        <f t="shared" si="101"/>
        <v>2907382</v>
      </c>
      <c r="AU114" s="35">
        <f t="shared" si="101"/>
        <v>755361</v>
      </c>
      <c r="AV114" s="377">
        <f t="shared" si="101"/>
        <v>2152022</v>
      </c>
      <c r="AW114" s="35">
        <f t="shared" si="101"/>
        <v>692025</v>
      </c>
      <c r="AX114" s="377">
        <f t="shared" si="101"/>
        <v>1459996</v>
      </c>
      <c r="AY114" s="35">
        <f t="shared" si="101"/>
        <v>618818</v>
      </c>
      <c r="AZ114" s="377">
        <f t="shared" si="101"/>
        <v>841318</v>
      </c>
      <c r="BA114" s="35">
        <f t="shared" si="101"/>
        <v>569718</v>
      </c>
      <c r="BB114" s="377">
        <f t="shared" si="101"/>
        <v>271600</v>
      </c>
      <c r="BC114" s="35">
        <f t="shared" si="101"/>
        <v>271600</v>
      </c>
    </row>
    <row r="115" spans="1:55" ht="12.75">
      <c r="A115" s="372" t="s">
        <v>177</v>
      </c>
      <c r="B115" s="385"/>
      <c r="C115" s="386"/>
      <c r="D115" s="387"/>
      <c r="E115" s="386"/>
      <c r="F115" s="387"/>
      <c r="G115" s="386"/>
      <c r="H115" s="387"/>
      <c r="I115" s="388"/>
      <c r="J115" s="8">
        <f>SUM(J103,J109)</f>
        <v>0</v>
      </c>
      <c r="K115" s="16">
        <f>SUM(K103,K109)</f>
        <v>2885</v>
      </c>
      <c r="L115" s="377">
        <f>L103+L109</f>
        <v>779335</v>
      </c>
      <c r="M115" s="35">
        <f>M103+M109</f>
        <v>31571</v>
      </c>
      <c r="N115" s="377">
        <f aca="true" t="shared" si="102" ref="N115:AO115">N103+N109</f>
        <v>887445</v>
      </c>
      <c r="O115" s="35">
        <f t="shared" si="102"/>
        <v>34237</v>
      </c>
      <c r="P115" s="377">
        <f t="shared" si="102"/>
        <v>853208</v>
      </c>
      <c r="Q115" s="35">
        <f t="shared" si="102"/>
        <v>84206</v>
      </c>
      <c r="R115" s="377">
        <f t="shared" si="102"/>
        <v>769002</v>
      </c>
      <c r="S115" s="35">
        <f t="shared" si="102"/>
        <v>81616</v>
      </c>
      <c r="T115" s="377">
        <f t="shared" si="102"/>
        <v>687386</v>
      </c>
      <c r="U115" s="35">
        <f t="shared" si="102"/>
        <v>79027</v>
      </c>
      <c r="V115" s="377">
        <f t="shared" si="102"/>
        <v>608359</v>
      </c>
      <c r="W115" s="35">
        <f t="shared" si="102"/>
        <v>76503</v>
      </c>
      <c r="X115" s="377">
        <f t="shared" si="102"/>
        <v>531856</v>
      </c>
      <c r="Y115" s="35">
        <f t="shared" si="102"/>
        <v>73848</v>
      </c>
      <c r="Z115" s="377">
        <f t="shared" si="102"/>
        <v>458008</v>
      </c>
      <c r="AA115" s="35">
        <f t="shared" si="102"/>
        <v>71259</v>
      </c>
      <c r="AB115" s="377">
        <f t="shared" si="102"/>
        <v>386749</v>
      </c>
      <c r="AC115" s="35">
        <f t="shared" si="102"/>
        <v>68670</v>
      </c>
      <c r="AD115" s="377">
        <f t="shared" si="102"/>
        <v>318079</v>
      </c>
      <c r="AE115" s="35">
        <f t="shared" si="102"/>
        <v>66118</v>
      </c>
      <c r="AF115" s="377">
        <f t="shared" si="102"/>
        <v>251961</v>
      </c>
      <c r="AG115" s="35">
        <f t="shared" si="102"/>
        <v>63491</v>
      </c>
      <c r="AH115" s="377">
        <f t="shared" si="102"/>
        <v>188470</v>
      </c>
      <c r="AI115" s="35">
        <f t="shared" si="102"/>
        <v>60902</v>
      </c>
      <c r="AJ115" s="377">
        <f t="shared" si="102"/>
        <v>127568</v>
      </c>
      <c r="AK115" s="35">
        <f t="shared" si="102"/>
        <v>58312</v>
      </c>
      <c r="AL115" s="377">
        <f t="shared" si="102"/>
        <v>69256</v>
      </c>
      <c r="AM115" s="35">
        <f t="shared" si="102"/>
        <v>55732</v>
      </c>
      <c r="AN115" s="377">
        <f t="shared" si="102"/>
        <v>13524</v>
      </c>
      <c r="AO115" s="35">
        <f t="shared" si="102"/>
        <v>13524</v>
      </c>
      <c r="AP115" s="346" t="s">
        <v>35</v>
      </c>
      <c r="AQ115" s="378" t="s">
        <v>35</v>
      </c>
      <c r="AR115" s="346" t="s">
        <v>35</v>
      </c>
      <c r="AS115" s="378" t="s">
        <v>35</v>
      </c>
      <c r="AT115" s="346" t="s">
        <v>35</v>
      </c>
      <c r="AU115" s="378" t="s">
        <v>35</v>
      </c>
      <c r="AV115" s="346" t="s">
        <v>35</v>
      </c>
      <c r="AW115" s="378" t="s">
        <v>35</v>
      </c>
      <c r="AX115" s="346" t="s">
        <v>35</v>
      </c>
      <c r="AY115" s="378" t="s">
        <v>35</v>
      </c>
      <c r="AZ115" s="346" t="s">
        <v>35</v>
      </c>
      <c r="BA115" s="378" t="s">
        <v>35</v>
      </c>
      <c r="BB115" s="346" t="s">
        <v>35</v>
      </c>
      <c r="BC115" s="378" t="s">
        <v>35</v>
      </c>
    </row>
    <row r="116" spans="1:55" ht="12.75">
      <c r="A116" s="372" t="s">
        <v>297</v>
      </c>
      <c r="B116" s="385"/>
      <c r="C116" s="386"/>
      <c r="D116" s="387"/>
      <c r="E116" s="386"/>
      <c r="F116" s="387"/>
      <c r="G116" s="386"/>
      <c r="H116" s="387"/>
      <c r="I116" s="388"/>
      <c r="J116" s="8"/>
      <c r="K116" s="16"/>
      <c r="L116" s="377"/>
      <c r="M116" s="35"/>
      <c r="N116" s="377">
        <f>N104+N110</f>
        <v>24400</v>
      </c>
      <c r="O116" s="35">
        <f>O104+O110</f>
        <v>24400</v>
      </c>
      <c r="P116" s="13" t="s">
        <v>35</v>
      </c>
      <c r="Q116" s="14" t="s">
        <v>35</v>
      </c>
      <c r="R116" s="13" t="s">
        <v>35</v>
      </c>
      <c r="S116" s="14" t="s">
        <v>35</v>
      </c>
      <c r="T116" s="13" t="s">
        <v>35</v>
      </c>
      <c r="U116" s="14" t="s">
        <v>35</v>
      </c>
      <c r="V116" s="13" t="s">
        <v>35</v>
      </c>
      <c r="W116" s="14" t="s">
        <v>35</v>
      </c>
      <c r="X116" s="13" t="s">
        <v>35</v>
      </c>
      <c r="Y116" s="14" t="s">
        <v>35</v>
      </c>
      <c r="Z116" s="13" t="s">
        <v>35</v>
      </c>
      <c r="AA116" s="14" t="s">
        <v>35</v>
      </c>
      <c r="AB116" s="13" t="s">
        <v>35</v>
      </c>
      <c r="AC116" s="14" t="s">
        <v>35</v>
      </c>
      <c r="AD116" s="13" t="s">
        <v>35</v>
      </c>
      <c r="AE116" s="14" t="s">
        <v>35</v>
      </c>
      <c r="AF116" s="13" t="s">
        <v>35</v>
      </c>
      <c r="AG116" s="14" t="s">
        <v>35</v>
      </c>
      <c r="AH116" s="13" t="s">
        <v>35</v>
      </c>
      <c r="AI116" s="14" t="s">
        <v>35</v>
      </c>
      <c r="AJ116" s="13" t="s">
        <v>35</v>
      </c>
      <c r="AK116" s="14" t="s">
        <v>35</v>
      </c>
      <c r="AL116" s="13" t="s">
        <v>35</v>
      </c>
      <c r="AM116" s="14" t="s">
        <v>35</v>
      </c>
      <c r="AN116" s="13" t="s">
        <v>35</v>
      </c>
      <c r="AO116" s="14" t="s">
        <v>35</v>
      </c>
      <c r="AP116" s="13" t="s">
        <v>35</v>
      </c>
      <c r="AQ116" s="14" t="s">
        <v>35</v>
      </c>
      <c r="AR116" s="13" t="s">
        <v>35</v>
      </c>
      <c r="AS116" s="14" t="s">
        <v>35</v>
      </c>
      <c r="AT116" s="13" t="s">
        <v>35</v>
      </c>
      <c r="AU116" s="14" t="s">
        <v>35</v>
      </c>
      <c r="AV116" s="13" t="s">
        <v>35</v>
      </c>
      <c r="AW116" s="14" t="s">
        <v>35</v>
      </c>
      <c r="AX116" s="13" t="s">
        <v>35</v>
      </c>
      <c r="AY116" s="14" t="s">
        <v>35</v>
      </c>
      <c r="AZ116" s="13" t="s">
        <v>35</v>
      </c>
      <c r="BA116" s="14" t="s">
        <v>35</v>
      </c>
      <c r="BB116" s="13" t="s">
        <v>35</v>
      </c>
      <c r="BC116" s="14" t="s">
        <v>35</v>
      </c>
    </row>
    <row r="117" spans="1:55" ht="13.5" thickBot="1">
      <c r="A117" s="372" t="s">
        <v>247</v>
      </c>
      <c r="B117" s="385"/>
      <c r="C117" s="386"/>
      <c r="D117" s="387"/>
      <c r="E117" s="386"/>
      <c r="F117" s="387"/>
      <c r="G117" s="386"/>
      <c r="H117" s="387"/>
      <c r="I117" s="388"/>
      <c r="J117" s="8"/>
      <c r="K117" s="16"/>
      <c r="L117" s="377">
        <f>L105+L111</f>
        <v>660553</v>
      </c>
      <c r="M117" s="35">
        <f>M105+M111</f>
        <v>2497</v>
      </c>
      <c r="N117" s="377">
        <f>N105+N111</f>
        <v>1203993</v>
      </c>
      <c r="O117" s="35">
        <f>O105+O111</f>
        <v>50111</v>
      </c>
      <c r="P117" s="377">
        <f aca="true" t="shared" si="103" ref="P117:BA117">P105+P111</f>
        <v>1541719</v>
      </c>
      <c r="Q117" s="35">
        <f t="shared" si="103"/>
        <v>59459</v>
      </c>
      <c r="R117" s="377">
        <f t="shared" si="103"/>
        <v>1482260</v>
      </c>
      <c r="S117" s="35">
        <f t="shared" si="103"/>
        <v>98843</v>
      </c>
      <c r="T117" s="377">
        <f t="shared" si="103"/>
        <v>1383417</v>
      </c>
      <c r="U117" s="35">
        <f t="shared" si="103"/>
        <v>109033</v>
      </c>
      <c r="V117" s="377">
        <f t="shared" si="103"/>
        <v>1274384</v>
      </c>
      <c r="W117" s="35">
        <f t="shared" si="103"/>
        <v>105821</v>
      </c>
      <c r="X117" s="377">
        <f t="shared" si="103"/>
        <v>1168563</v>
      </c>
      <c r="Y117" s="35">
        <f t="shared" si="103"/>
        <v>102318</v>
      </c>
      <c r="Z117" s="377">
        <f t="shared" si="103"/>
        <v>1066245</v>
      </c>
      <c r="AA117" s="35">
        <f t="shared" si="103"/>
        <v>98960</v>
      </c>
      <c r="AB117" s="377">
        <f t="shared" si="103"/>
        <v>967285</v>
      </c>
      <c r="AC117" s="35">
        <f t="shared" si="103"/>
        <v>95601</v>
      </c>
      <c r="AD117" s="377">
        <f t="shared" si="103"/>
        <v>871684</v>
      </c>
      <c r="AE117" s="35">
        <f t="shared" si="103"/>
        <v>92352</v>
      </c>
      <c r="AF117" s="377">
        <f t="shared" si="103"/>
        <v>779332</v>
      </c>
      <c r="AG117" s="35">
        <f t="shared" si="103"/>
        <v>88886</v>
      </c>
      <c r="AH117" s="377">
        <f t="shared" si="103"/>
        <v>690446</v>
      </c>
      <c r="AI117" s="35">
        <f t="shared" si="103"/>
        <v>85529</v>
      </c>
      <c r="AJ117" s="377">
        <f t="shared" si="103"/>
        <v>604917</v>
      </c>
      <c r="AK117" s="35">
        <f t="shared" si="103"/>
        <v>82170</v>
      </c>
      <c r="AL117" s="377">
        <f t="shared" si="103"/>
        <v>522747</v>
      </c>
      <c r="AM117" s="35">
        <f t="shared" si="103"/>
        <v>78886</v>
      </c>
      <c r="AN117" s="377">
        <f t="shared" si="103"/>
        <v>443861</v>
      </c>
      <c r="AO117" s="35">
        <f t="shared" si="103"/>
        <v>75455</v>
      </c>
      <c r="AP117" s="377">
        <f t="shared" si="103"/>
        <v>368406</v>
      </c>
      <c r="AQ117" s="35">
        <f t="shared" si="103"/>
        <v>72098</v>
      </c>
      <c r="AR117" s="377">
        <f t="shared" si="103"/>
        <v>296308</v>
      </c>
      <c r="AS117" s="35">
        <f t="shared" si="103"/>
        <v>68737</v>
      </c>
      <c r="AT117" s="377">
        <f t="shared" si="103"/>
        <v>227571</v>
      </c>
      <c r="AU117" s="35">
        <f t="shared" si="103"/>
        <v>65418</v>
      </c>
      <c r="AV117" s="377">
        <f t="shared" si="103"/>
        <v>162153</v>
      </c>
      <c r="AW117" s="35">
        <f t="shared" si="103"/>
        <v>62025</v>
      </c>
      <c r="AX117" s="377">
        <f t="shared" si="103"/>
        <v>100128</v>
      </c>
      <c r="AY117" s="35">
        <f t="shared" si="103"/>
        <v>58667</v>
      </c>
      <c r="AZ117" s="377">
        <f t="shared" si="103"/>
        <v>41461</v>
      </c>
      <c r="BA117" s="35">
        <f t="shared" si="103"/>
        <v>41461</v>
      </c>
      <c r="BB117" s="346" t="s">
        <v>35</v>
      </c>
      <c r="BC117" s="378" t="s">
        <v>35</v>
      </c>
    </row>
    <row r="118" spans="1:55" ht="13.5" customHeight="1" hidden="1" thickBot="1">
      <c r="A118" s="419" t="s">
        <v>251</v>
      </c>
      <c r="B118" s="389"/>
      <c r="C118" s="390"/>
      <c r="D118" s="391"/>
      <c r="E118" s="390"/>
      <c r="F118" s="391"/>
      <c r="G118" s="390"/>
      <c r="H118" s="391"/>
      <c r="I118" s="392"/>
      <c r="J118" s="334">
        <f>SUM(J106,J112)</f>
        <v>12304</v>
      </c>
      <c r="K118" s="17">
        <f>SUM(K106,K112)</f>
        <v>6717</v>
      </c>
      <c r="L118" s="444">
        <f>L106+L112</f>
        <v>0</v>
      </c>
      <c r="M118" s="445">
        <f>M106+M112</f>
        <v>0</v>
      </c>
      <c r="N118" s="444">
        <f aca="true" t="shared" si="104" ref="N118:BC118">N106+N112</f>
        <v>0</v>
      </c>
      <c r="O118" s="445">
        <f t="shared" si="104"/>
        <v>0</v>
      </c>
      <c r="P118" s="444">
        <f t="shared" si="104"/>
        <v>0</v>
      </c>
      <c r="Q118" s="445">
        <f t="shared" si="104"/>
        <v>0</v>
      </c>
      <c r="R118" s="444">
        <f t="shared" si="104"/>
        <v>0</v>
      </c>
      <c r="S118" s="445">
        <f t="shared" si="104"/>
        <v>0</v>
      </c>
      <c r="T118" s="444">
        <f t="shared" si="104"/>
        <v>0</v>
      </c>
      <c r="U118" s="445">
        <f t="shared" si="104"/>
        <v>0</v>
      </c>
      <c r="V118" s="444">
        <f t="shared" si="104"/>
        <v>0</v>
      </c>
      <c r="W118" s="445">
        <f t="shared" si="104"/>
        <v>0</v>
      </c>
      <c r="X118" s="444">
        <f t="shared" si="104"/>
        <v>0</v>
      </c>
      <c r="Y118" s="445">
        <f t="shared" si="104"/>
        <v>0</v>
      </c>
      <c r="Z118" s="444">
        <f t="shared" si="104"/>
        <v>0</v>
      </c>
      <c r="AA118" s="445">
        <f t="shared" si="104"/>
        <v>0</v>
      </c>
      <c r="AB118" s="444">
        <f t="shared" si="104"/>
        <v>0</v>
      </c>
      <c r="AC118" s="445">
        <f t="shared" si="104"/>
        <v>0</v>
      </c>
      <c r="AD118" s="444">
        <f t="shared" si="104"/>
        <v>0</v>
      </c>
      <c r="AE118" s="445">
        <f t="shared" si="104"/>
        <v>0</v>
      </c>
      <c r="AF118" s="444">
        <f t="shared" si="104"/>
        <v>0</v>
      </c>
      <c r="AG118" s="445">
        <f t="shared" si="104"/>
        <v>0</v>
      </c>
      <c r="AH118" s="444">
        <f t="shared" si="104"/>
        <v>0</v>
      </c>
      <c r="AI118" s="445">
        <f t="shared" si="104"/>
        <v>0</v>
      </c>
      <c r="AJ118" s="444">
        <f t="shared" si="104"/>
        <v>0</v>
      </c>
      <c r="AK118" s="445">
        <f t="shared" si="104"/>
        <v>0</v>
      </c>
      <c r="AL118" s="444">
        <f t="shared" si="104"/>
        <v>0</v>
      </c>
      <c r="AM118" s="445">
        <f t="shared" si="104"/>
        <v>0</v>
      </c>
      <c r="AN118" s="444">
        <f t="shared" si="104"/>
        <v>0</v>
      </c>
      <c r="AO118" s="445">
        <f t="shared" si="104"/>
        <v>0</v>
      </c>
      <c r="AP118" s="444">
        <f t="shared" si="104"/>
        <v>0</v>
      </c>
      <c r="AQ118" s="445">
        <f t="shared" si="104"/>
        <v>0</v>
      </c>
      <c r="AR118" s="444">
        <f t="shared" si="104"/>
        <v>0</v>
      </c>
      <c r="AS118" s="445">
        <f t="shared" si="104"/>
        <v>0</v>
      </c>
      <c r="AT118" s="444">
        <f t="shared" si="104"/>
        <v>0</v>
      </c>
      <c r="AU118" s="445">
        <f t="shared" si="104"/>
        <v>0</v>
      </c>
      <c r="AV118" s="444">
        <f t="shared" si="104"/>
        <v>0</v>
      </c>
      <c r="AW118" s="445">
        <f t="shared" si="104"/>
        <v>0</v>
      </c>
      <c r="AX118" s="444">
        <f t="shared" si="104"/>
        <v>0</v>
      </c>
      <c r="AY118" s="445">
        <f t="shared" si="104"/>
        <v>0</v>
      </c>
      <c r="AZ118" s="444">
        <f t="shared" si="104"/>
        <v>0</v>
      </c>
      <c r="BA118" s="445">
        <f t="shared" si="104"/>
        <v>0</v>
      </c>
      <c r="BB118" s="444">
        <f t="shared" si="104"/>
        <v>0</v>
      </c>
      <c r="BC118" s="445">
        <f t="shared" si="104"/>
        <v>0</v>
      </c>
    </row>
    <row r="119" spans="1:55" s="350" customFormat="1" ht="13.5" thickTop="1">
      <c r="A119" s="355" t="s">
        <v>179</v>
      </c>
      <c r="B119" s="354"/>
      <c r="C119" s="351"/>
      <c r="D119" s="352"/>
      <c r="E119" s="351"/>
      <c r="F119" s="352"/>
      <c r="G119" s="351"/>
      <c r="H119" s="352"/>
      <c r="I119" s="358"/>
      <c r="J119" s="29">
        <f aca="true" t="shared" si="105" ref="J119:AY119">SUM(J114:J118)</f>
        <v>3738731</v>
      </c>
      <c r="K119" s="353">
        <f t="shared" si="105"/>
        <v>545286</v>
      </c>
      <c r="L119" s="29">
        <f>SUM(L114:L118)</f>
        <v>5928748</v>
      </c>
      <c r="M119" s="353" t="e">
        <f t="shared" si="105"/>
        <v>#REF!</v>
      </c>
      <c r="N119" s="29">
        <f t="shared" si="105"/>
        <v>11017028</v>
      </c>
      <c r="O119" s="353">
        <f t="shared" si="105"/>
        <v>299108</v>
      </c>
      <c r="P119" s="29">
        <f t="shared" si="105"/>
        <v>12857348</v>
      </c>
      <c r="Q119" s="353">
        <f t="shared" si="105"/>
        <v>531541</v>
      </c>
      <c r="R119" s="29">
        <f t="shared" si="105"/>
        <v>15825807</v>
      </c>
      <c r="S119" s="353">
        <f t="shared" si="105"/>
        <v>867993</v>
      </c>
      <c r="T119" s="29">
        <f t="shared" si="105"/>
        <v>18957814</v>
      </c>
      <c r="U119" s="353">
        <f t="shared" si="105"/>
        <v>1294103</v>
      </c>
      <c r="V119" s="29">
        <f t="shared" si="105"/>
        <v>17663711</v>
      </c>
      <c r="W119" s="353">
        <f t="shared" si="105"/>
        <v>1511888</v>
      </c>
      <c r="X119" s="29">
        <f t="shared" si="105"/>
        <v>16151823</v>
      </c>
      <c r="Y119" s="353">
        <f t="shared" si="105"/>
        <v>1460281</v>
      </c>
      <c r="Z119" s="29">
        <f t="shared" si="105"/>
        <v>14691543</v>
      </c>
      <c r="AA119" s="353">
        <f t="shared" si="105"/>
        <v>1399086</v>
      </c>
      <c r="AB119" s="29">
        <f t="shared" si="105"/>
        <v>13292456</v>
      </c>
      <c r="AC119" s="353">
        <f t="shared" si="105"/>
        <v>1350016</v>
      </c>
      <c r="AD119" s="29">
        <f t="shared" si="105"/>
        <v>11942442</v>
      </c>
      <c r="AE119" s="353">
        <f t="shared" si="105"/>
        <v>1302485</v>
      </c>
      <c r="AF119" s="29">
        <f t="shared" si="105"/>
        <v>10639956</v>
      </c>
      <c r="AG119" s="353">
        <f t="shared" si="105"/>
        <v>1251877</v>
      </c>
      <c r="AH119" s="29">
        <f t="shared" si="105"/>
        <v>9388080</v>
      </c>
      <c r="AI119" s="353">
        <f t="shared" si="105"/>
        <v>1202646</v>
      </c>
      <c r="AJ119" s="29">
        <f t="shared" si="105"/>
        <v>8185434</v>
      </c>
      <c r="AK119" s="353">
        <f t="shared" si="105"/>
        <v>1153079</v>
      </c>
      <c r="AL119" s="29">
        <f t="shared" si="105"/>
        <v>7032355</v>
      </c>
      <c r="AM119" s="353">
        <f t="shared" si="105"/>
        <v>1105014</v>
      </c>
      <c r="AN119" s="29">
        <f t="shared" si="105"/>
        <v>5927341</v>
      </c>
      <c r="AO119" s="353">
        <f t="shared" si="105"/>
        <v>1012432</v>
      </c>
      <c r="AP119" s="29">
        <f t="shared" si="105"/>
        <v>4914909</v>
      </c>
      <c r="AQ119" s="353">
        <f t="shared" si="105"/>
        <v>916050</v>
      </c>
      <c r="AR119" s="29">
        <f t="shared" si="105"/>
        <v>3998860</v>
      </c>
      <c r="AS119" s="353">
        <f t="shared" si="105"/>
        <v>863907</v>
      </c>
      <c r="AT119" s="29">
        <f t="shared" si="105"/>
        <v>3134953</v>
      </c>
      <c r="AU119" s="353">
        <f t="shared" si="105"/>
        <v>820779</v>
      </c>
      <c r="AV119" s="29">
        <f t="shared" si="105"/>
        <v>2314175</v>
      </c>
      <c r="AW119" s="353">
        <f t="shared" si="105"/>
        <v>754050</v>
      </c>
      <c r="AX119" s="29">
        <f t="shared" si="105"/>
        <v>1560124</v>
      </c>
      <c r="AY119" s="353">
        <f t="shared" si="105"/>
        <v>677485</v>
      </c>
      <c r="AZ119" s="29">
        <f>SUM(AZ114:AZ118)</f>
        <v>882779</v>
      </c>
      <c r="BA119" s="353">
        <f>SUM(BA114:BA118)</f>
        <v>611179</v>
      </c>
      <c r="BB119" s="29">
        <f>SUM(BB114:BB118)</f>
        <v>271600</v>
      </c>
      <c r="BC119" s="353">
        <f>SUM(BC114:BC118)</f>
        <v>271600</v>
      </c>
    </row>
    <row r="120" spans="13:55" ht="8.25" customHeight="1">
      <c r="M120" s="19"/>
      <c r="O120" s="19"/>
      <c r="Q120" s="19"/>
      <c r="S120" s="19"/>
      <c r="U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1:22" s="38" customFormat="1" ht="12.75">
      <c r="A121" s="350" t="s">
        <v>293</v>
      </c>
      <c r="D121" s="415"/>
      <c r="E121" s="416"/>
      <c r="F121" s="417"/>
      <c r="H121" s="417"/>
      <c r="J121" s="417"/>
      <c r="L121" s="417"/>
      <c r="N121" s="417"/>
      <c r="P121" s="417"/>
      <c r="R121" s="417"/>
      <c r="T121" s="417"/>
      <c r="V121" s="417"/>
    </row>
    <row r="122" spans="1:55" ht="12.75">
      <c r="A122" s="3" t="s">
        <v>22</v>
      </c>
      <c r="B122" s="572" t="s">
        <v>63</v>
      </c>
      <c r="C122" s="573"/>
      <c r="D122" s="572" t="s">
        <v>23</v>
      </c>
      <c r="E122" s="573"/>
      <c r="F122" s="572" t="s">
        <v>24</v>
      </c>
      <c r="G122" s="573"/>
      <c r="H122" s="572" t="s">
        <v>25</v>
      </c>
      <c r="I122" s="573"/>
      <c r="J122" s="572" t="s">
        <v>26</v>
      </c>
      <c r="K122" s="573"/>
      <c r="L122" s="570" t="s">
        <v>27</v>
      </c>
      <c r="M122" s="571"/>
      <c r="N122" s="574" t="s">
        <v>28</v>
      </c>
      <c r="O122" s="574"/>
      <c r="P122" s="575" t="s">
        <v>29</v>
      </c>
      <c r="Q122" s="575"/>
      <c r="R122" s="572" t="s">
        <v>30</v>
      </c>
      <c r="S122" s="573"/>
      <c r="T122" s="570" t="s">
        <v>31</v>
      </c>
      <c r="U122" s="571"/>
      <c r="V122" s="570" t="s">
        <v>44</v>
      </c>
      <c r="W122" s="571"/>
      <c r="X122" s="570" t="s">
        <v>45</v>
      </c>
      <c r="Y122" s="571"/>
      <c r="Z122" s="570" t="s">
        <v>46</v>
      </c>
      <c r="AA122" s="571"/>
      <c r="AB122" s="570" t="s">
        <v>47</v>
      </c>
      <c r="AC122" s="571"/>
      <c r="AD122" s="570" t="s">
        <v>48</v>
      </c>
      <c r="AE122" s="571"/>
      <c r="AF122" s="570" t="s">
        <v>49</v>
      </c>
      <c r="AG122" s="571"/>
      <c r="AH122" s="570" t="s">
        <v>50</v>
      </c>
      <c r="AI122" s="571"/>
      <c r="AJ122" s="570" t="s">
        <v>51</v>
      </c>
      <c r="AK122" s="571"/>
      <c r="AL122" s="570" t="s">
        <v>52</v>
      </c>
      <c r="AM122" s="571"/>
      <c r="AN122" s="570" t="s">
        <v>53</v>
      </c>
      <c r="AO122" s="571"/>
      <c r="AP122" s="570" t="s">
        <v>54</v>
      </c>
      <c r="AQ122" s="571"/>
      <c r="AR122" s="570" t="s">
        <v>111</v>
      </c>
      <c r="AS122" s="571"/>
      <c r="AT122" s="570" t="s">
        <v>112</v>
      </c>
      <c r="AU122" s="571"/>
      <c r="AV122" s="570" t="s">
        <v>113</v>
      </c>
      <c r="AW122" s="571"/>
      <c r="AX122" s="570" t="s">
        <v>153</v>
      </c>
      <c r="AY122" s="571"/>
      <c r="AZ122" s="570" t="s">
        <v>218</v>
      </c>
      <c r="BA122" s="571"/>
      <c r="BB122" s="570" t="s">
        <v>287</v>
      </c>
      <c r="BC122" s="571"/>
    </row>
    <row r="123" spans="1:55" ht="12.75">
      <c r="A123" s="5"/>
      <c r="B123" s="33" t="s">
        <v>32</v>
      </c>
      <c r="C123" s="21" t="s">
        <v>33</v>
      </c>
      <c r="D123" s="6" t="s">
        <v>32</v>
      </c>
      <c r="E123" s="21" t="s">
        <v>33</v>
      </c>
      <c r="F123" s="6" t="s">
        <v>32</v>
      </c>
      <c r="G123" s="21" t="s">
        <v>33</v>
      </c>
      <c r="H123" s="6" t="s">
        <v>32</v>
      </c>
      <c r="I123" s="356" t="s">
        <v>33</v>
      </c>
      <c r="J123" s="6" t="s">
        <v>32</v>
      </c>
      <c r="K123" s="21" t="s">
        <v>33</v>
      </c>
      <c r="L123" s="6" t="s">
        <v>32</v>
      </c>
      <c r="M123" s="21" t="s">
        <v>33</v>
      </c>
      <c r="N123" s="46" t="s">
        <v>32</v>
      </c>
      <c r="O123" s="21" t="s">
        <v>33</v>
      </c>
      <c r="P123" s="6" t="s">
        <v>32</v>
      </c>
      <c r="Q123" s="49" t="s">
        <v>33</v>
      </c>
      <c r="R123" s="6" t="s">
        <v>32</v>
      </c>
      <c r="S123" s="21" t="s">
        <v>33</v>
      </c>
      <c r="T123" s="6" t="s">
        <v>32</v>
      </c>
      <c r="U123" s="21" t="s">
        <v>33</v>
      </c>
      <c r="V123" s="6" t="s">
        <v>32</v>
      </c>
      <c r="W123" s="21" t="s">
        <v>33</v>
      </c>
      <c r="X123" s="32" t="s">
        <v>32</v>
      </c>
      <c r="Y123" s="34" t="s">
        <v>33</v>
      </c>
      <c r="Z123" s="32" t="s">
        <v>32</v>
      </c>
      <c r="AA123" s="34" t="s">
        <v>33</v>
      </c>
      <c r="AB123" s="32" t="s">
        <v>32</v>
      </c>
      <c r="AC123" s="34" t="s">
        <v>33</v>
      </c>
      <c r="AD123" s="32" t="s">
        <v>32</v>
      </c>
      <c r="AE123" s="34" t="s">
        <v>33</v>
      </c>
      <c r="AF123" s="32" t="s">
        <v>32</v>
      </c>
      <c r="AG123" s="34" t="s">
        <v>33</v>
      </c>
      <c r="AH123" s="32" t="s">
        <v>32</v>
      </c>
      <c r="AI123" s="34" t="s">
        <v>33</v>
      </c>
      <c r="AJ123" s="32" t="s">
        <v>32</v>
      </c>
      <c r="AK123" s="34" t="s">
        <v>33</v>
      </c>
      <c r="AL123" s="32" t="s">
        <v>32</v>
      </c>
      <c r="AM123" s="34" t="s">
        <v>33</v>
      </c>
      <c r="AN123" s="32" t="s">
        <v>32</v>
      </c>
      <c r="AO123" s="34" t="s">
        <v>33</v>
      </c>
      <c r="AP123" s="32" t="s">
        <v>32</v>
      </c>
      <c r="AQ123" s="34" t="s">
        <v>174</v>
      </c>
      <c r="AR123" s="32" t="s">
        <v>32</v>
      </c>
      <c r="AS123" s="34" t="s">
        <v>174</v>
      </c>
      <c r="AT123" s="32" t="s">
        <v>32</v>
      </c>
      <c r="AU123" s="34" t="s">
        <v>174</v>
      </c>
      <c r="AV123" s="32" t="s">
        <v>32</v>
      </c>
      <c r="AW123" s="34" t="s">
        <v>174</v>
      </c>
      <c r="AX123" s="32" t="s">
        <v>32</v>
      </c>
      <c r="AY123" s="34" t="s">
        <v>174</v>
      </c>
      <c r="AZ123" s="32" t="s">
        <v>32</v>
      </c>
      <c r="BA123" s="34" t="s">
        <v>174</v>
      </c>
      <c r="BB123" s="32" t="s">
        <v>32</v>
      </c>
      <c r="BC123" s="34" t="s">
        <v>174</v>
      </c>
    </row>
    <row r="124" spans="1:55" ht="12.75">
      <c r="A124" s="25"/>
      <c r="B124" s="1" t="s">
        <v>34</v>
      </c>
      <c r="C124" s="26"/>
      <c r="D124" s="7" t="s">
        <v>34</v>
      </c>
      <c r="E124" s="26"/>
      <c r="F124" s="7" t="s">
        <v>34</v>
      </c>
      <c r="G124" s="26"/>
      <c r="H124" s="7" t="s">
        <v>34</v>
      </c>
      <c r="I124" s="357"/>
      <c r="J124" s="7" t="s">
        <v>34</v>
      </c>
      <c r="K124" s="26"/>
      <c r="L124" s="7" t="s">
        <v>34</v>
      </c>
      <c r="M124" s="26"/>
      <c r="N124" s="47" t="s">
        <v>34</v>
      </c>
      <c r="O124" s="26"/>
      <c r="P124" s="7" t="s">
        <v>34</v>
      </c>
      <c r="Q124" s="50"/>
      <c r="R124" s="7" t="s">
        <v>34</v>
      </c>
      <c r="S124" s="26"/>
      <c r="T124" s="7" t="s">
        <v>34</v>
      </c>
      <c r="U124" s="26"/>
      <c r="V124" s="7" t="s">
        <v>34</v>
      </c>
      <c r="W124" s="26"/>
      <c r="X124" s="30" t="s">
        <v>34</v>
      </c>
      <c r="Y124" s="31"/>
      <c r="Z124" s="30" t="s">
        <v>34</v>
      </c>
      <c r="AA124" s="31"/>
      <c r="AB124" s="30" t="s">
        <v>34</v>
      </c>
      <c r="AC124" s="31"/>
      <c r="AD124" s="30" t="s">
        <v>34</v>
      </c>
      <c r="AE124" s="31"/>
      <c r="AF124" s="30" t="s">
        <v>34</v>
      </c>
      <c r="AG124" s="31"/>
      <c r="AH124" s="30" t="s">
        <v>34</v>
      </c>
      <c r="AI124" s="31"/>
      <c r="AJ124" s="30" t="s">
        <v>34</v>
      </c>
      <c r="AK124" s="31"/>
      <c r="AL124" s="30" t="s">
        <v>34</v>
      </c>
      <c r="AM124" s="31"/>
      <c r="AN124" s="30" t="s">
        <v>34</v>
      </c>
      <c r="AO124" s="31"/>
      <c r="AP124" s="30" t="s">
        <v>34</v>
      </c>
      <c r="AQ124" s="31" t="s">
        <v>175</v>
      </c>
      <c r="AR124" s="30" t="s">
        <v>34</v>
      </c>
      <c r="AS124" s="31" t="s">
        <v>175</v>
      </c>
      <c r="AT124" s="30" t="s">
        <v>34</v>
      </c>
      <c r="AU124" s="31" t="s">
        <v>175</v>
      </c>
      <c r="AV124" s="30" t="s">
        <v>34</v>
      </c>
      <c r="AW124" s="31" t="s">
        <v>175</v>
      </c>
      <c r="AX124" s="30" t="s">
        <v>34</v>
      </c>
      <c r="AY124" s="31" t="s">
        <v>175</v>
      </c>
      <c r="AZ124" s="30" t="s">
        <v>34</v>
      </c>
      <c r="BA124" s="31" t="s">
        <v>175</v>
      </c>
      <c r="BB124" s="30" t="s">
        <v>34</v>
      </c>
      <c r="BC124" s="31" t="s">
        <v>175</v>
      </c>
    </row>
    <row r="125" spans="1:55" ht="12.75">
      <c r="A125" s="372" t="s">
        <v>295</v>
      </c>
      <c r="B125" s="385"/>
      <c r="C125" s="386"/>
      <c r="D125" s="387"/>
      <c r="E125" s="386"/>
      <c r="F125" s="387"/>
      <c r="G125" s="386"/>
      <c r="H125" s="387"/>
      <c r="I125" s="388"/>
      <c r="J125" s="8"/>
      <c r="K125" s="16"/>
      <c r="L125" s="377"/>
      <c r="M125" s="35"/>
      <c r="N125" s="377">
        <f aca="true" t="shared" si="106" ref="N125:BA125">N34</f>
        <v>5867586</v>
      </c>
      <c r="O125" s="35">
        <f t="shared" si="106"/>
        <v>0</v>
      </c>
      <c r="P125" s="377">
        <f t="shared" si="106"/>
        <v>5867586</v>
      </c>
      <c r="Q125" s="35">
        <f t="shared" si="106"/>
        <v>0</v>
      </c>
      <c r="R125" s="377">
        <f t="shared" si="106"/>
        <v>5867586</v>
      </c>
      <c r="S125" s="35">
        <f t="shared" si="106"/>
        <v>0</v>
      </c>
      <c r="T125" s="377">
        <f t="shared" si="106"/>
        <v>5867586</v>
      </c>
      <c r="U125" s="35">
        <f t="shared" si="106"/>
        <v>340320</v>
      </c>
      <c r="V125" s="377">
        <f t="shared" si="106"/>
        <v>5527266</v>
      </c>
      <c r="W125" s="35">
        <f t="shared" si="106"/>
        <v>340320</v>
      </c>
      <c r="X125" s="377">
        <f t="shared" si="106"/>
        <v>5186946</v>
      </c>
      <c r="Y125" s="35">
        <f t="shared" si="106"/>
        <v>340320</v>
      </c>
      <c r="Z125" s="377">
        <f t="shared" si="106"/>
        <v>4846626</v>
      </c>
      <c r="AA125" s="35">
        <f t="shared" si="106"/>
        <v>340320</v>
      </c>
      <c r="AB125" s="377">
        <f t="shared" si="106"/>
        <v>4506306</v>
      </c>
      <c r="AC125" s="35">
        <f t="shared" si="106"/>
        <v>340320</v>
      </c>
      <c r="AD125" s="377">
        <f t="shared" si="106"/>
        <v>4165986</v>
      </c>
      <c r="AE125" s="35">
        <f t="shared" si="106"/>
        <v>340320</v>
      </c>
      <c r="AF125" s="377">
        <f t="shared" si="106"/>
        <v>3825666</v>
      </c>
      <c r="AG125" s="35">
        <f t="shared" si="106"/>
        <v>340320</v>
      </c>
      <c r="AH125" s="377">
        <f t="shared" si="106"/>
        <v>3485346</v>
      </c>
      <c r="AI125" s="35">
        <f t="shared" si="106"/>
        <v>340320</v>
      </c>
      <c r="AJ125" s="377">
        <f t="shared" si="106"/>
        <v>3145026</v>
      </c>
      <c r="AK125" s="35">
        <f t="shared" si="106"/>
        <v>340320</v>
      </c>
      <c r="AL125" s="377">
        <f t="shared" si="106"/>
        <v>2804706</v>
      </c>
      <c r="AM125" s="35">
        <f t="shared" si="106"/>
        <v>340320</v>
      </c>
      <c r="AN125" s="377">
        <f t="shared" si="106"/>
        <v>2464386</v>
      </c>
      <c r="AO125" s="35">
        <f t="shared" si="106"/>
        <v>340320</v>
      </c>
      <c r="AP125" s="377">
        <f t="shared" si="106"/>
        <v>2124066</v>
      </c>
      <c r="AQ125" s="35">
        <f t="shared" si="106"/>
        <v>340320</v>
      </c>
      <c r="AR125" s="377">
        <f t="shared" si="106"/>
        <v>1783746</v>
      </c>
      <c r="AS125" s="35">
        <f t="shared" si="106"/>
        <v>340320</v>
      </c>
      <c r="AT125" s="377">
        <f t="shared" si="106"/>
        <v>1443426</v>
      </c>
      <c r="AU125" s="35">
        <f t="shared" si="106"/>
        <v>340320</v>
      </c>
      <c r="AV125" s="377">
        <f t="shared" si="106"/>
        <v>1103106</v>
      </c>
      <c r="AW125" s="35">
        <f t="shared" si="106"/>
        <v>340320</v>
      </c>
      <c r="AX125" s="377">
        <f t="shared" si="106"/>
        <v>762786</v>
      </c>
      <c r="AY125" s="35">
        <f t="shared" si="106"/>
        <v>340320</v>
      </c>
      <c r="AZ125" s="377">
        <f t="shared" si="106"/>
        <v>422466</v>
      </c>
      <c r="BA125" s="35">
        <f t="shared" si="106"/>
        <v>422466</v>
      </c>
      <c r="BB125" s="346" t="s">
        <v>35</v>
      </c>
      <c r="BC125" s="378" t="s">
        <v>35</v>
      </c>
    </row>
    <row r="126" spans="1:55" ht="13.5" thickBot="1">
      <c r="A126" s="372" t="s">
        <v>296</v>
      </c>
      <c r="B126" s="385"/>
      <c r="C126" s="386"/>
      <c r="D126" s="387"/>
      <c r="E126" s="386"/>
      <c r="F126" s="387"/>
      <c r="G126" s="386"/>
      <c r="H126" s="387"/>
      <c r="I126" s="388"/>
      <c r="J126" s="8"/>
      <c r="K126" s="16"/>
      <c r="L126" s="377"/>
      <c r="M126" s="35"/>
      <c r="N126" s="377">
        <f aca="true" t="shared" si="107" ref="N126:BA126">N64</f>
        <v>2842022</v>
      </c>
      <c r="O126" s="35">
        <f t="shared" si="107"/>
        <v>180639</v>
      </c>
      <c r="P126" s="377">
        <f t="shared" si="107"/>
        <v>2661383</v>
      </c>
      <c r="Q126" s="35">
        <f t="shared" si="107"/>
        <v>240090</v>
      </c>
      <c r="R126" s="377">
        <f t="shared" si="107"/>
        <v>2421293</v>
      </c>
      <c r="S126" s="35">
        <f t="shared" si="107"/>
        <v>240090</v>
      </c>
      <c r="T126" s="377">
        <f t="shared" si="107"/>
        <v>2181203</v>
      </c>
      <c r="U126" s="35">
        <f t="shared" si="107"/>
        <v>240090</v>
      </c>
      <c r="V126" s="377">
        <f t="shared" si="107"/>
        <v>1941113</v>
      </c>
      <c r="W126" s="35">
        <f t="shared" si="107"/>
        <v>226784</v>
      </c>
      <c r="X126" s="377">
        <f t="shared" si="107"/>
        <v>1714329</v>
      </c>
      <c r="Y126" s="35">
        <f t="shared" si="107"/>
        <v>212240</v>
      </c>
      <c r="Z126" s="377">
        <f t="shared" si="107"/>
        <v>1502089</v>
      </c>
      <c r="AA126" s="35">
        <f t="shared" si="107"/>
        <v>198314</v>
      </c>
      <c r="AB126" s="377">
        <f t="shared" si="107"/>
        <v>1303775</v>
      </c>
      <c r="AC126" s="35">
        <f t="shared" si="107"/>
        <v>184389</v>
      </c>
      <c r="AD126" s="377">
        <f t="shared" si="107"/>
        <v>1119386</v>
      </c>
      <c r="AE126" s="35">
        <f t="shared" si="107"/>
        <v>170931</v>
      </c>
      <c r="AF126" s="377">
        <f t="shared" si="107"/>
        <v>948455</v>
      </c>
      <c r="AG126" s="35">
        <f t="shared" si="107"/>
        <v>156539</v>
      </c>
      <c r="AH126" s="377">
        <f t="shared" si="107"/>
        <v>791916</v>
      </c>
      <c r="AI126" s="35">
        <f t="shared" si="107"/>
        <v>142613</v>
      </c>
      <c r="AJ126" s="377">
        <f t="shared" si="107"/>
        <v>649303</v>
      </c>
      <c r="AK126" s="35">
        <f t="shared" si="107"/>
        <v>128688</v>
      </c>
      <c r="AL126" s="377">
        <f t="shared" si="107"/>
        <v>520615</v>
      </c>
      <c r="AM126" s="35">
        <f t="shared" si="107"/>
        <v>115077</v>
      </c>
      <c r="AN126" s="377">
        <f t="shared" si="107"/>
        <v>405538</v>
      </c>
      <c r="AO126" s="35">
        <f t="shared" si="107"/>
        <v>100838</v>
      </c>
      <c r="AP126" s="40">
        <f t="shared" si="107"/>
        <v>304700</v>
      </c>
      <c r="AQ126" s="37">
        <f t="shared" si="107"/>
        <v>86913</v>
      </c>
      <c r="AR126" s="40">
        <f t="shared" si="107"/>
        <v>217787</v>
      </c>
      <c r="AS126" s="37">
        <f t="shared" si="107"/>
        <v>72987</v>
      </c>
      <c r="AT126" s="40">
        <f t="shared" si="107"/>
        <v>144800</v>
      </c>
      <c r="AU126" s="37">
        <f t="shared" si="107"/>
        <v>59224</v>
      </c>
      <c r="AV126" s="40">
        <f t="shared" si="107"/>
        <v>85576</v>
      </c>
      <c r="AW126" s="37">
        <f t="shared" si="107"/>
        <v>45137</v>
      </c>
      <c r="AX126" s="40">
        <f t="shared" si="107"/>
        <v>40439</v>
      </c>
      <c r="AY126" s="37">
        <f t="shared" si="107"/>
        <v>31212</v>
      </c>
      <c r="AZ126" s="40">
        <f t="shared" si="107"/>
        <v>9227</v>
      </c>
      <c r="BA126" s="37">
        <f t="shared" si="107"/>
        <v>9227</v>
      </c>
      <c r="BB126" s="346" t="s">
        <v>35</v>
      </c>
      <c r="BC126" s="378" t="s">
        <v>35</v>
      </c>
    </row>
    <row r="127" spans="1:55" ht="13.5" thickTop="1">
      <c r="A127" s="10" t="s">
        <v>179</v>
      </c>
      <c r="B127" s="501"/>
      <c r="C127" s="502"/>
      <c r="D127" s="503"/>
      <c r="E127" s="502"/>
      <c r="F127" s="503"/>
      <c r="G127" s="502"/>
      <c r="H127" s="503"/>
      <c r="I127" s="504"/>
      <c r="J127" s="11"/>
      <c r="K127" s="2"/>
      <c r="L127" s="11"/>
      <c r="M127" s="2"/>
      <c r="N127" s="11">
        <f>SUM(N125:N126)</f>
        <v>8709608</v>
      </c>
      <c r="O127" s="2">
        <f aca="true" t="shared" si="108" ref="O127:BA127">SUM(O125:O126)</f>
        <v>180639</v>
      </c>
      <c r="P127" s="11">
        <f t="shared" si="108"/>
        <v>8528969</v>
      </c>
      <c r="Q127" s="2">
        <f t="shared" si="108"/>
        <v>240090</v>
      </c>
      <c r="R127" s="11">
        <f t="shared" si="108"/>
        <v>8288879</v>
      </c>
      <c r="S127" s="2">
        <f t="shared" si="108"/>
        <v>240090</v>
      </c>
      <c r="T127" s="11">
        <f t="shared" si="108"/>
        <v>8048789</v>
      </c>
      <c r="U127" s="2">
        <f t="shared" si="108"/>
        <v>580410</v>
      </c>
      <c r="V127" s="11">
        <f t="shared" si="108"/>
        <v>7468379</v>
      </c>
      <c r="W127" s="2">
        <f t="shared" si="108"/>
        <v>567104</v>
      </c>
      <c r="X127" s="11">
        <f t="shared" si="108"/>
        <v>6901275</v>
      </c>
      <c r="Y127" s="2">
        <f t="shared" si="108"/>
        <v>552560</v>
      </c>
      <c r="Z127" s="11">
        <f t="shared" si="108"/>
        <v>6348715</v>
      </c>
      <c r="AA127" s="2">
        <f t="shared" si="108"/>
        <v>538634</v>
      </c>
      <c r="AB127" s="11">
        <f t="shared" si="108"/>
        <v>5810081</v>
      </c>
      <c r="AC127" s="2">
        <f t="shared" si="108"/>
        <v>524709</v>
      </c>
      <c r="AD127" s="11">
        <f t="shared" si="108"/>
        <v>5285372</v>
      </c>
      <c r="AE127" s="2">
        <f t="shared" si="108"/>
        <v>511251</v>
      </c>
      <c r="AF127" s="11">
        <f t="shared" si="108"/>
        <v>4774121</v>
      </c>
      <c r="AG127" s="2">
        <f t="shared" si="108"/>
        <v>496859</v>
      </c>
      <c r="AH127" s="11">
        <f t="shared" si="108"/>
        <v>4277262</v>
      </c>
      <c r="AI127" s="2">
        <f t="shared" si="108"/>
        <v>482933</v>
      </c>
      <c r="AJ127" s="11">
        <f t="shared" si="108"/>
        <v>3794329</v>
      </c>
      <c r="AK127" s="2">
        <f t="shared" si="108"/>
        <v>469008</v>
      </c>
      <c r="AL127" s="11">
        <f t="shared" si="108"/>
        <v>3325321</v>
      </c>
      <c r="AM127" s="2">
        <f t="shared" si="108"/>
        <v>455397</v>
      </c>
      <c r="AN127" s="11">
        <f t="shared" si="108"/>
        <v>2869924</v>
      </c>
      <c r="AO127" s="2">
        <f t="shared" si="108"/>
        <v>441158</v>
      </c>
      <c r="AP127" s="11">
        <f t="shared" si="108"/>
        <v>2428766</v>
      </c>
      <c r="AQ127" s="2">
        <f t="shared" si="108"/>
        <v>427233</v>
      </c>
      <c r="AR127" s="11">
        <f t="shared" si="108"/>
        <v>2001533</v>
      </c>
      <c r="AS127" s="2">
        <f t="shared" si="108"/>
        <v>413307</v>
      </c>
      <c r="AT127" s="11">
        <f t="shared" si="108"/>
        <v>1588226</v>
      </c>
      <c r="AU127" s="2">
        <f t="shared" si="108"/>
        <v>399544</v>
      </c>
      <c r="AV127" s="11">
        <f t="shared" si="108"/>
        <v>1188682</v>
      </c>
      <c r="AW127" s="2">
        <f t="shared" si="108"/>
        <v>385457</v>
      </c>
      <c r="AX127" s="11">
        <f t="shared" si="108"/>
        <v>803225</v>
      </c>
      <c r="AY127" s="2">
        <f t="shared" si="108"/>
        <v>371532</v>
      </c>
      <c r="AZ127" s="11">
        <f t="shared" si="108"/>
        <v>431693</v>
      </c>
      <c r="BA127" s="2">
        <f t="shared" si="108"/>
        <v>431693</v>
      </c>
      <c r="BB127" s="505" t="s">
        <v>35</v>
      </c>
      <c r="BC127" s="506" t="s">
        <v>35</v>
      </c>
    </row>
    <row r="129" spans="1:55" s="524" customFormat="1" ht="12.75" hidden="1">
      <c r="A129" s="523" t="s">
        <v>308</v>
      </c>
      <c r="D129" s="525"/>
      <c r="E129" s="526"/>
      <c r="F129" s="527"/>
      <c r="H129" s="527"/>
      <c r="J129" s="527"/>
      <c r="L129" s="527"/>
      <c r="N129" s="527">
        <f>N95-SUM(N119,N127)</f>
        <v>0</v>
      </c>
      <c r="O129" s="527">
        <f aca="true" t="shared" si="109" ref="O129:BB129">O95-SUM(O119,O127)</f>
        <v>0</v>
      </c>
      <c r="P129" s="527">
        <f t="shared" si="109"/>
        <v>0</v>
      </c>
      <c r="Q129" s="527">
        <f t="shared" si="109"/>
        <v>0</v>
      </c>
      <c r="R129" s="527">
        <f t="shared" si="109"/>
        <v>0</v>
      </c>
      <c r="S129" s="527">
        <f t="shared" si="109"/>
        <v>0</v>
      </c>
      <c r="T129" s="527">
        <f t="shared" si="109"/>
        <v>0</v>
      </c>
      <c r="U129" s="527">
        <f t="shared" si="109"/>
        <v>0</v>
      </c>
      <c r="V129" s="527">
        <f t="shared" si="109"/>
        <v>0</v>
      </c>
      <c r="W129" s="527">
        <f t="shared" si="109"/>
        <v>0</v>
      </c>
      <c r="X129" s="527">
        <f t="shared" si="109"/>
        <v>0</v>
      </c>
      <c r="Y129" s="527">
        <f t="shared" si="109"/>
        <v>0</v>
      </c>
      <c r="Z129" s="527">
        <f t="shared" si="109"/>
        <v>0</v>
      </c>
      <c r="AA129" s="527">
        <f t="shared" si="109"/>
        <v>0</v>
      </c>
      <c r="AB129" s="527">
        <f t="shared" si="109"/>
        <v>0</v>
      </c>
      <c r="AC129" s="527">
        <f t="shared" si="109"/>
        <v>0</v>
      </c>
      <c r="AD129" s="527">
        <f t="shared" si="109"/>
        <v>0</v>
      </c>
      <c r="AE129" s="527">
        <f t="shared" si="109"/>
        <v>0</v>
      </c>
      <c r="AF129" s="527">
        <f t="shared" si="109"/>
        <v>0</v>
      </c>
      <c r="AG129" s="527">
        <f t="shared" si="109"/>
        <v>0</v>
      </c>
      <c r="AH129" s="527">
        <f t="shared" si="109"/>
        <v>0</v>
      </c>
      <c r="AI129" s="527">
        <f>AI95-SUM(AI119,AI127)</f>
        <v>0</v>
      </c>
      <c r="AJ129" s="527">
        <f t="shared" si="109"/>
        <v>0</v>
      </c>
      <c r="AK129" s="527">
        <f t="shared" si="109"/>
        <v>0</v>
      </c>
      <c r="AL129" s="527">
        <f t="shared" si="109"/>
        <v>0</v>
      </c>
      <c r="AM129" s="527">
        <f t="shared" si="109"/>
        <v>0</v>
      </c>
      <c r="AN129" s="527">
        <f t="shared" si="109"/>
        <v>0</v>
      </c>
      <c r="AO129" s="527">
        <f t="shared" si="109"/>
        <v>0</v>
      </c>
      <c r="AP129" s="527">
        <f t="shared" si="109"/>
        <v>0</v>
      </c>
      <c r="AQ129" s="527">
        <f>AQ95-SUM(AQ119,AQ127)</f>
        <v>0</v>
      </c>
      <c r="AR129" s="527">
        <f t="shared" si="109"/>
        <v>0</v>
      </c>
      <c r="AS129" s="527">
        <f t="shared" si="109"/>
        <v>0</v>
      </c>
      <c r="AT129" s="527">
        <f t="shared" si="109"/>
        <v>0</v>
      </c>
      <c r="AU129" s="527">
        <f t="shared" si="109"/>
        <v>0</v>
      </c>
      <c r="AV129" s="527">
        <f t="shared" si="109"/>
        <v>0</v>
      </c>
      <c r="AW129" s="527">
        <f t="shared" si="109"/>
        <v>0</v>
      </c>
      <c r="AX129" s="527">
        <f>AX95-SUM(AX119,AX127)</f>
        <v>0</v>
      </c>
      <c r="AY129" s="527">
        <f t="shared" si="109"/>
        <v>0</v>
      </c>
      <c r="AZ129" s="527">
        <f t="shared" si="109"/>
        <v>0</v>
      </c>
      <c r="BA129" s="527">
        <f t="shared" si="109"/>
        <v>0</v>
      </c>
      <c r="BB129" s="527">
        <f t="shared" si="109"/>
        <v>0</v>
      </c>
      <c r="BC129" s="527">
        <f>BC95-SUM(BC119,BC127)</f>
        <v>0</v>
      </c>
    </row>
  </sheetData>
  <sheetProtection/>
  <mergeCells count="81">
    <mergeCell ref="BB3:BC3"/>
    <mergeCell ref="BB99:BC99"/>
    <mergeCell ref="AF99:AG99"/>
    <mergeCell ref="AJ3:AK3"/>
    <mergeCell ref="AL3:AM3"/>
    <mergeCell ref="AZ3:BA3"/>
    <mergeCell ref="AZ99:BA99"/>
    <mergeCell ref="AX99:AY99"/>
    <mergeCell ref="AP99:AQ99"/>
    <mergeCell ref="AR99:AS99"/>
    <mergeCell ref="AT99:AU99"/>
    <mergeCell ref="AV99:AW99"/>
    <mergeCell ref="J99:K99"/>
    <mergeCell ref="L99:M99"/>
    <mergeCell ref="V99:W99"/>
    <mergeCell ref="AH99:AI99"/>
    <mergeCell ref="AD99:AE99"/>
    <mergeCell ref="P99:Q99"/>
    <mergeCell ref="R99:S99"/>
    <mergeCell ref="T99:U99"/>
    <mergeCell ref="B99:C99"/>
    <mergeCell ref="D99:E99"/>
    <mergeCell ref="F99:G99"/>
    <mergeCell ref="H99:I99"/>
    <mergeCell ref="N99:O99"/>
    <mergeCell ref="AX3:AY3"/>
    <mergeCell ref="AR3:AS3"/>
    <mergeCell ref="L3:M3"/>
    <mergeCell ref="N3:O3"/>
    <mergeCell ref="AJ99:AK99"/>
    <mergeCell ref="AL99:AM99"/>
    <mergeCell ref="AN99:AO99"/>
    <mergeCell ref="AN3:AO3"/>
    <mergeCell ref="AB99:AC99"/>
    <mergeCell ref="AV3:AW3"/>
    <mergeCell ref="AF3:AG3"/>
    <mergeCell ref="AP3:AQ3"/>
    <mergeCell ref="AH3:AI3"/>
    <mergeCell ref="AT3:AU3"/>
    <mergeCell ref="AD3:AE3"/>
    <mergeCell ref="AB3:AC3"/>
    <mergeCell ref="B3:C3"/>
    <mergeCell ref="D3:E3"/>
    <mergeCell ref="F3:G3"/>
    <mergeCell ref="H3:I3"/>
    <mergeCell ref="P3:Q3"/>
    <mergeCell ref="J3:K3"/>
    <mergeCell ref="R3:S3"/>
    <mergeCell ref="T3:U3"/>
    <mergeCell ref="V3:W3"/>
    <mergeCell ref="X3:Y3"/>
    <mergeCell ref="Z3:AA3"/>
    <mergeCell ref="J122:K122"/>
    <mergeCell ref="L122:M122"/>
    <mergeCell ref="N122:O122"/>
    <mergeCell ref="P122:Q122"/>
    <mergeCell ref="B122:C122"/>
    <mergeCell ref="D122:E122"/>
    <mergeCell ref="F122:G122"/>
    <mergeCell ref="H122:I122"/>
    <mergeCell ref="Z122:AA122"/>
    <mergeCell ref="AB122:AC122"/>
    <mergeCell ref="X99:Y99"/>
    <mergeCell ref="Z99:AA99"/>
    <mergeCell ref="R122:S122"/>
    <mergeCell ref="T122:U122"/>
    <mergeCell ref="V122:W122"/>
    <mergeCell ref="X122:Y122"/>
    <mergeCell ref="AD122:AE122"/>
    <mergeCell ref="AF122:AG122"/>
    <mergeCell ref="AH122:AI122"/>
    <mergeCell ref="AJ122:AK122"/>
    <mergeCell ref="BB122:BC122"/>
    <mergeCell ref="AL122:AM122"/>
    <mergeCell ref="AN122:AO122"/>
    <mergeCell ref="AP122:AQ122"/>
    <mergeCell ref="AR122:AS122"/>
    <mergeCell ref="AT122:AU122"/>
    <mergeCell ref="AV122:AW122"/>
    <mergeCell ref="AX122:AY122"/>
    <mergeCell ref="AZ122:BA122"/>
  </mergeCells>
  <printOptions horizontalCentered="1"/>
  <pageMargins left="0.1968503937007874" right="0.1968503937007874" top="0.5905511811023623" bottom="0.1968503937007874" header="0.1968503937007874" footer="0"/>
  <pageSetup blackAndWhite="1" horizontalDpi="300" verticalDpi="300" orientation="portrait" pageOrder="overThenDown" paperSize="9" scale="60" r:id="rId1"/>
  <headerFooter alignWithMargins="0">
    <oddHeader>&amp;C&amp;"Times New Roman CE,Félkövér"&amp;16
Kimutatás az önkormányzat fejlesztési célú adósságszolgálatának alakulásáról&amp;R9.sz.melléklet&amp;"Times New Roman CE,Félkövér"&amp;12
 &amp;"Times New Roman CE,Normál"&amp;10
(ezer Ft-ban)</oddHeader>
    <oddFooter>&amp;L&amp;D&amp;Cadósságszolgálat 2007\&amp;F\&amp;A         Oláhné P. Andrea&amp;R&amp;P/&amp;N</oddFooter>
  </headerFooter>
  <colBreaks count="4" manualBreakCount="4">
    <brk id="23" max="65535" man="1"/>
    <brk id="33" max="65535" man="1"/>
    <brk id="43" max="65535" man="1"/>
    <brk id="5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SheetLayoutView="100" zoomScalePageLayoutView="0" workbookViewId="0" topLeftCell="A1">
      <pane ySplit="6" topLeftCell="BM55" activePane="bottomLeft" state="frozen"/>
      <selection pane="topLeft" activeCell="F64" sqref="F64"/>
      <selection pane="bottomLeft" activeCell="F64" sqref="F64"/>
    </sheetView>
  </sheetViews>
  <sheetFormatPr defaultColWidth="9.00390625" defaultRowHeight="12.75"/>
  <cols>
    <col min="1" max="1" width="11.00390625" style="58" customWidth="1"/>
    <col min="2" max="2" width="5.625" style="58" customWidth="1"/>
    <col min="3" max="3" width="12.50390625" style="121" customWidth="1"/>
    <col min="4" max="4" width="12.625" style="121" bestFit="1" customWidth="1"/>
    <col min="5" max="5" width="8.50390625" style="58" customWidth="1"/>
    <col min="6" max="7" width="12.625" style="58" customWidth="1"/>
    <col min="8" max="8" width="12.50390625" style="58" customWidth="1"/>
    <col min="9" max="9" width="12.625" style="58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9" ht="12.75">
      <c r="A1" s="163" t="s">
        <v>236</v>
      </c>
      <c r="B1" s="162"/>
      <c r="C1" s="163"/>
      <c r="D1" s="163"/>
      <c r="E1" s="163"/>
      <c r="G1" s="163"/>
      <c r="H1" s="163"/>
      <c r="I1" s="163"/>
    </row>
    <row r="2" spans="1:9" ht="12.75">
      <c r="A2" s="135" t="s">
        <v>15</v>
      </c>
      <c r="B2" s="133"/>
      <c r="C2" s="132"/>
      <c r="D2" s="132"/>
      <c r="E2" s="132"/>
      <c r="F2" s="132"/>
      <c r="G2" s="132"/>
      <c r="H2" s="132"/>
      <c r="I2" s="132"/>
    </row>
    <row r="3" spans="1:9" ht="12.75">
      <c r="A3" s="134"/>
      <c r="B3" s="133"/>
      <c r="C3" s="132"/>
      <c r="D3" s="132"/>
      <c r="E3" s="132"/>
      <c r="F3" s="132"/>
      <c r="G3" s="132"/>
      <c r="H3" s="132"/>
      <c r="I3" s="133" t="s">
        <v>2</v>
      </c>
    </row>
    <row r="4" spans="1:9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</row>
    <row r="5" spans="1:9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</row>
    <row r="6" spans="1:9" ht="12.75">
      <c r="A6" s="78"/>
      <c r="B6" s="79"/>
      <c r="C6" s="80"/>
      <c r="D6" s="80"/>
      <c r="E6" s="80"/>
      <c r="F6" s="81"/>
      <c r="G6" s="81"/>
      <c r="H6" s="82" t="s">
        <v>13</v>
      </c>
      <c r="I6" s="83" t="s">
        <v>12</v>
      </c>
    </row>
    <row r="7" spans="1:9" ht="12.75">
      <c r="A7" s="84">
        <v>36861</v>
      </c>
      <c r="B7" s="104"/>
      <c r="C7" s="138">
        <v>250000000</v>
      </c>
      <c r="D7" s="138"/>
      <c r="E7" s="138"/>
      <c r="F7" s="138"/>
      <c r="G7" s="148"/>
      <c r="H7" s="148"/>
      <c r="I7" s="149"/>
    </row>
    <row r="8" spans="1:9" ht="12.75">
      <c r="A8" s="97">
        <v>36891</v>
      </c>
      <c r="B8" s="98">
        <f aca="true" t="shared" si="0" ref="B8:B21">A8-A7</f>
        <v>30</v>
      </c>
      <c r="C8" s="144">
        <f aca="true" t="shared" si="1" ref="C8:C20">C7-D8</f>
        <v>250000000</v>
      </c>
      <c r="D8" s="144"/>
      <c r="E8" s="256">
        <v>0.1116</v>
      </c>
      <c r="F8" s="144">
        <f>(C8+D8)*E8/365*B8</f>
        <v>2293150.684931507</v>
      </c>
      <c r="G8" s="150">
        <f>SUM(F7:F8)</f>
        <v>2293150.684931507</v>
      </c>
      <c r="H8" s="150">
        <f>SUM(D7:D8)</f>
        <v>0</v>
      </c>
      <c r="I8" s="151">
        <f>SUM(G8:H8)</f>
        <v>2293150.684931507</v>
      </c>
    </row>
    <row r="9" spans="1:9" ht="12.75">
      <c r="A9" s="103">
        <v>36981</v>
      </c>
      <c r="B9" s="234">
        <f t="shared" si="0"/>
        <v>90</v>
      </c>
      <c r="C9" s="139">
        <f t="shared" si="1"/>
        <v>250000000</v>
      </c>
      <c r="D9" s="139"/>
      <c r="E9" s="53">
        <f>F9/(C9*B9)*365</f>
        <v>0.1241101388888889</v>
      </c>
      <c r="F9" s="138">
        <v>7650625</v>
      </c>
      <c r="G9" s="140"/>
      <c r="H9" s="140"/>
      <c r="I9" s="141"/>
    </row>
    <row r="10" spans="1:9" ht="12.75">
      <c r="A10" s="90">
        <v>37072</v>
      </c>
      <c r="B10" s="236">
        <f t="shared" si="0"/>
        <v>91</v>
      </c>
      <c r="C10" s="154">
        <f t="shared" si="1"/>
        <v>250000000</v>
      </c>
      <c r="D10" s="154"/>
      <c r="E10" s="53">
        <f>F10/(C10*B10)*365</f>
        <v>0.11535381384615385</v>
      </c>
      <c r="F10" s="138">
        <v>7189861</v>
      </c>
      <c r="G10" s="155"/>
      <c r="H10" s="155"/>
      <c r="I10" s="156"/>
    </row>
    <row r="11" spans="1:9" ht="12.75">
      <c r="A11" s="90">
        <v>37164</v>
      </c>
      <c r="B11" s="236">
        <f t="shared" si="0"/>
        <v>92</v>
      </c>
      <c r="C11" s="154">
        <f t="shared" si="1"/>
        <v>250000000</v>
      </c>
      <c r="D11" s="154"/>
      <c r="E11" s="53">
        <f>F11/(C11*B11)*365</f>
        <v>0.11091943739130435</v>
      </c>
      <c r="F11" s="138">
        <v>6989444</v>
      </c>
      <c r="G11" s="155"/>
      <c r="H11" s="155"/>
      <c r="I11" s="156"/>
    </row>
    <row r="12" spans="1:9" ht="12.75">
      <c r="A12" s="90">
        <v>37253</v>
      </c>
      <c r="B12" s="236">
        <f t="shared" si="0"/>
        <v>89</v>
      </c>
      <c r="C12" s="154">
        <f t="shared" si="1"/>
        <v>237500000</v>
      </c>
      <c r="D12" s="154">
        <v>12500000</v>
      </c>
      <c r="E12" s="237"/>
      <c r="F12" s="154"/>
      <c r="G12" s="155"/>
      <c r="H12" s="155"/>
      <c r="I12" s="156"/>
    </row>
    <row r="13" spans="1:9" ht="12.75">
      <c r="A13" s="97">
        <v>37253</v>
      </c>
      <c r="B13" s="238">
        <f t="shared" si="0"/>
        <v>0</v>
      </c>
      <c r="C13" s="144">
        <f t="shared" si="1"/>
        <v>237500000</v>
      </c>
      <c r="D13" s="144"/>
      <c r="E13" s="100">
        <f>F13/(((C12+D12)*B12)+(C13*B13))*365</f>
        <v>0.11529396898876404</v>
      </c>
      <c r="F13" s="144">
        <v>7028194</v>
      </c>
      <c r="G13" s="145">
        <f>SUM(F9:F13)</f>
        <v>28858124</v>
      </c>
      <c r="H13" s="145">
        <f>SUM(D9:D13)</f>
        <v>12500000</v>
      </c>
      <c r="I13" s="146">
        <f>SUM(G13:H13)</f>
        <v>41358124</v>
      </c>
    </row>
    <row r="14" spans="1:9" ht="12.75">
      <c r="A14" s="103">
        <v>37343</v>
      </c>
      <c r="B14" s="234">
        <f t="shared" si="0"/>
        <v>90</v>
      </c>
      <c r="C14" s="139">
        <f t="shared" si="1"/>
        <v>225000000</v>
      </c>
      <c r="D14" s="139">
        <v>12500000</v>
      </c>
      <c r="E14" s="257"/>
      <c r="F14" s="139"/>
      <c r="G14" s="140"/>
      <c r="H14" s="140"/>
      <c r="I14" s="141"/>
    </row>
    <row r="15" spans="1:9" ht="12.75">
      <c r="A15" s="90">
        <v>37344</v>
      </c>
      <c r="B15" s="236">
        <f t="shared" si="0"/>
        <v>1</v>
      </c>
      <c r="C15" s="154">
        <f t="shared" si="1"/>
        <v>225000000</v>
      </c>
      <c r="D15" s="154"/>
      <c r="E15" s="92">
        <f>F15/(((C14+D14)*B14)+(C15*B15))*365</f>
        <v>0.09974010277777777</v>
      </c>
      <c r="F15" s="138">
        <v>5902428</v>
      </c>
      <c r="G15" s="155"/>
      <c r="H15" s="155"/>
      <c r="I15" s="156"/>
    </row>
    <row r="16" spans="1:9" ht="12.75">
      <c r="A16" s="90">
        <v>37435</v>
      </c>
      <c r="B16" s="236">
        <f t="shared" si="0"/>
        <v>91</v>
      </c>
      <c r="C16" s="154">
        <f t="shared" si="1"/>
        <v>212500000</v>
      </c>
      <c r="D16" s="154">
        <v>12500000</v>
      </c>
      <c r="E16" s="53"/>
      <c r="F16" s="154"/>
      <c r="G16" s="155"/>
      <c r="H16" s="155"/>
      <c r="I16" s="156"/>
    </row>
    <row r="17" spans="1:9" ht="12.75">
      <c r="A17" s="90">
        <v>37437</v>
      </c>
      <c r="B17" s="236">
        <f t="shared" si="0"/>
        <v>2</v>
      </c>
      <c r="C17" s="154">
        <f t="shared" si="1"/>
        <v>212500000</v>
      </c>
      <c r="D17" s="154"/>
      <c r="E17" s="92">
        <v>0.085</v>
      </c>
      <c r="F17" s="154">
        <v>4858938</v>
      </c>
      <c r="G17" s="155"/>
      <c r="H17" s="155"/>
      <c r="I17" s="156"/>
    </row>
    <row r="18" spans="1:9" ht="12.75">
      <c r="A18" s="90">
        <v>37527</v>
      </c>
      <c r="B18" s="236">
        <f t="shared" si="0"/>
        <v>90</v>
      </c>
      <c r="C18" s="154">
        <f t="shared" si="1"/>
        <v>200000000</v>
      </c>
      <c r="D18" s="154">
        <v>12500000</v>
      </c>
      <c r="E18" s="237"/>
      <c r="F18" s="154"/>
      <c r="G18" s="155"/>
      <c r="H18" s="155"/>
      <c r="I18" s="156"/>
    </row>
    <row r="19" spans="1:9" ht="12.75">
      <c r="A19" s="90">
        <v>37529</v>
      </c>
      <c r="B19" s="236">
        <f t="shared" si="0"/>
        <v>2</v>
      </c>
      <c r="C19" s="154">
        <f t="shared" si="1"/>
        <v>200000000</v>
      </c>
      <c r="D19" s="154"/>
      <c r="E19" s="237">
        <v>0.0931</v>
      </c>
      <c r="F19" s="154">
        <v>5151413</v>
      </c>
      <c r="G19" s="155"/>
      <c r="H19" s="155"/>
      <c r="I19" s="156"/>
    </row>
    <row r="20" spans="1:9" ht="12.75">
      <c r="A20" s="90">
        <v>37618</v>
      </c>
      <c r="B20" s="236">
        <f t="shared" si="0"/>
        <v>89</v>
      </c>
      <c r="C20" s="154">
        <f t="shared" si="1"/>
        <v>187500000</v>
      </c>
      <c r="D20" s="154">
        <v>12500000</v>
      </c>
      <c r="E20" s="237"/>
      <c r="F20" s="154"/>
      <c r="G20" s="155"/>
      <c r="H20" s="155"/>
      <c r="I20" s="156"/>
    </row>
    <row r="21" spans="1:9" ht="12.75">
      <c r="A21" s="142">
        <v>37621</v>
      </c>
      <c r="B21" s="98">
        <f t="shared" si="0"/>
        <v>3</v>
      </c>
      <c r="C21" s="239">
        <v>187500000</v>
      </c>
      <c r="D21" s="99"/>
      <c r="E21" s="188">
        <v>0.098</v>
      </c>
      <c r="F21" s="99">
        <v>4995958</v>
      </c>
      <c r="G21" s="101">
        <f>SUM(F15:F21)</f>
        <v>20908737</v>
      </c>
      <c r="H21" s="101">
        <f>SUM(D14:D21)</f>
        <v>50000000</v>
      </c>
      <c r="I21" s="102">
        <f>SUM(G21:H21)</f>
        <v>70908737</v>
      </c>
    </row>
    <row r="22" spans="1:9" ht="12.75">
      <c r="A22" s="103">
        <v>37708</v>
      </c>
      <c r="B22" s="104">
        <f aca="true" t="shared" si="2" ref="B22:B60">A22-A21</f>
        <v>87</v>
      </c>
      <c r="C22" s="42">
        <f aca="true" t="shared" si="3" ref="C22:C61">C21-D22</f>
        <v>180900000</v>
      </c>
      <c r="D22" s="42">
        <v>6600000</v>
      </c>
      <c r="E22" s="104"/>
      <c r="F22" s="104"/>
      <c r="G22" s="104"/>
      <c r="H22" s="104"/>
      <c r="I22" s="242"/>
    </row>
    <row r="23" spans="1:9" ht="12.75">
      <c r="A23" s="90">
        <v>37711</v>
      </c>
      <c r="B23" s="91">
        <f t="shared" si="2"/>
        <v>3</v>
      </c>
      <c r="C23" s="41">
        <f t="shared" si="3"/>
        <v>180900000</v>
      </c>
      <c r="D23" s="41"/>
      <c r="E23" s="92">
        <v>0.0847</v>
      </c>
      <c r="F23" s="41">
        <v>3972581</v>
      </c>
      <c r="G23" s="91"/>
      <c r="H23" s="91"/>
      <c r="I23" s="231"/>
    </row>
    <row r="24" spans="1:9" ht="12.75">
      <c r="A24" s="90">
        <v>37800</v>
      </c>
      <c r="B24" s="91">
        <f t="shared" si="2"/>
        <v>89</v>
      </c>
      <c r="C24" s="41">
        <f t="shared" si="3"/>
        <v>174200000</v>
      </c>
      <c r="D24" s="41">
        <v>6700000</v>
      </c>
      <c r="E24" s="91"/>
      <c r="F24" s="91"/>
      <c r="G24" s="91"/>
      <c r="H24" s="91"/>
      <c r="I24" s="231"/>
    </row>
    <row r="25" spans="1:9" ht="12.75">
      <c r="A25" s="90">
        <v>37802</v>
      </c>
      <c r="B25" s="91">
        <f t="shared" si="2"/>
        <v>2</v>
      </c>
      <c r="C25" s="41">
        <f t="shared" si="3"/>
        <v>174200000</v>
      </c>
      <c r="D25" s="41"/>
      <c r="E25" s="92">
        <v>0.0665</v>
      </c>
      <c r="F25" s="41">
        <v>3050024</v>
      </c>
      <c r="G25" s="91"/>
      <c r="H25" s="91"/>
      <c r="I25" s="231"/>
    </row>
    <row r="26" spans="1:11" ht="12.75">
      <c r="A26" s="90">
        <v>37892</v>
      </c>
      <c r="B26" s="91">
        <f t="shared" si="2"/>
        <v>90</v>
      </c>
      <c r="C26" s="41">
        <f t="shared" si="3"/>
        <v>167500000</v>
      </c>
      <c r="D26" s="41">
        <v>6700000</v>
      </c>
      <c r="E26" s="91"/>
      <c r="F26" s="91"/>
      <c r="G26" s="91"/>
      <c r="H26" s="91"/>
      <c r="I26" s="231"/>
      <c r="K26" s="121"/>
    </row>
    <row r="27" spans="1:9" ht="12.75">
      <c r="A27" s="90">
        <v>37894</v>
      </c>
      <c r="B27" s="91">
        <f t="shared" si="2"/>
        <v>2</v>
      </c>
      <c r="C27" s="41">
        <f t="shared" si="3"/>
        <v>167500000</v>
      </c>
      <c r="D27" s="41"/>
      <c r="E27" s="92">
        <v>0.0893</v>
      </c>
      <c r="F27" s="41">
        <v>3961081</v>
      </c>
      <c r="G27" s="91"/>
      <c r="H27" s="91"/>
      <c r="I27" s="231"/>
    </row>
    <row r="28" spans="1:9" ht="12.75">
      <c r="A28" s="90">
        <v>37983</v>
      </c>
      <c r="B28" s="91">
        <f t="shared" si="2"/>
        <v>89</v>
      </c>
      <c r="C28" s="41">
        <f t="shared" si="3"/>
        <v>160800000</v>
      </c>
      <c r="D28" s="41">
        <v>6700000</v>
      </c>
      <c r="E28" s="91"/>
      <c r="F28" s="91"/>
      <c r="G28" s="91"/>
      <c r="H28" s="91"/>
      <c r="I28" s="231"/>
    </row>
    <row r="29" spans="1:11" ht="12.75">
      <c r="A29" s="97">
        <v>37986</v>
      </c>
      <c r="B29" s="98">
        <f t="shared" si="2"/>
        <v>3</v>
      </c>
      <c r="C29" s="99">
        <f t="shared" si="3"/>
        <v>160800000</v>
      </c>
      <c r="D29" s="99"/>
      <c r="E29" s="100">
        <v>0.0961</v>
      </c>
      <c r="F29" s="41">
        <v>4105084</v>
      </c>
      <c r="G29" s="101">
        <f>SUM(F23:F29)</f>
        <v>15088770</v>
      </c>
      <c r="H29" s="101">
        <f>SUM(D22:D29)</f>
        <v>26700000</v>
      </c>
      <c r="I29" s="102">
        <f>SUM(G29:H29)</f>
        <v>41788770</v>
      </c>
      <c r="K29" s="121"/>
    </row>
    <row r="30" spans="1:9" ht="12.75">
      <c r="A30" s="103">
        <v>38074</v>
      </c>
      <c r="B30" s="104">
        <f t="shared" si="2"/>
        <v>88</v>
      </c>
      <c r="C30" s="42">
        <f t="shared" si="3"/>
        <v>154100000</v>
      </c>
      <c r="D30" s="41">
        <v>6700000</v>
      </c>
      <c r="E30" s="104"/>
      <c r="F30" s="104"/>
      <c r="G30" s="104"/>
      <c r="H30" s="104"/>
      <c r="I30" s="242"/>
    </row>
    <row r="31" spans="1:9" ht="12.75">
      <c r="A31" s="90">
        <v>38077</v>
      </c>
      <c r="B31" s="91">
        <f t="shared" si="2"/>
        <v>3</v>
      </c>
      <c r="C31" s="41">
        <f t="shared" si="3"/>
        <v>154100000</v>
      </c>
      <c r="D31" s="41"/>
      <c r="E31" s="92">
        <v>0.1255</v>
      </c>
      <c r="F31" s="41">
        <v>5083353</v>
      </c>
      <c r="G31" s="91"/>
      <c r="H31" s="91"/>
      <c r="I31" s="231"/>
    </row>
    <row r="32" spans="1:9" ht="12.75">
      <c r="A32" s="90">
        <v>38166</v>
      </c>
      <c r="B32" s="91">
        <f t="shared" si="2"/>
        <v>89</v>
      </c>
      <c r="C32" s="41">
        <f t="shared" si="3"/>
        <v>147400000</v>
      </c>
      <c r="D32" s="41">
        <v>6700000</v>
      </c>
      <c r="E32" s="91"/>
      <c r="F32" s="91"/>
      <c r="G32" s="91"/>
      <c r="H32" s="91"/>
      <c r="I32" s="231"/>
    </row>
    <row r="33" spans="1:9" ht="12.75">
      <c r="A33" s="90">
        <v>38168</v>
      </c>
      <c r="B33" s="91">
        <f t="shared" si="2"/>
        <v>2</v>
      </c>
      <c r="C33" s="41">
        <f t="shared" si="3"/>
        <v>147400000</v>
      </c>
      <c r="D33" s="41"/>
      <c r="E33" s="92">
        <v>0.1197</v>
      </c>
      <c r="F33" s="41">
        <v>4660708</v>
      </c>
      <c r="G33" s="91"/>
      <c r="H33" s="91"/>
      <c r="I33" s="231"/>
    </row>
    <row r="34" spans="1:9" ht="12.75">
      <c r="A34" s="90">
        <v>38258</v>
      </c>
      <c r="B34" s="91">
        <f t="shared" si="2"/>
        <v>90</v>
      </c>
      <c r="C34" s="41">
        <f t="shared" si="3"/>
        <v>140700000</v>
      </c>
      <c r="D34" s="41">
        <v>6700000</v>
      </c>
      <c r="E34" s="91"/>
      <c r="F34" s="91"/>
      <c r="G34" s="91"/>
      <c r="H34" s="91"/>
      <c r="I34" s="231"/>
    </row>
    <row r="35" spans="1:9" ht="12.75">
      <c r="A35" s="90">
        <v>38260</v>
      </c>
      <c r="B35" s="91">
        <f t="shared" si="2"/>
        <v>2</v>
      </c>
      <c r="C35" s="41">
        <f t="shared" si="3"/>
        <v>140700000</v>
      </c>
      <c r="D35" s="41"/>
      <c r="E35" s="92">
        <v>0.1167</v>
      </c>
      <c r="F35" s="41">
        <v>4392844</v>
      </c>
      <c r="G35" s="91"/>
      <c r="H35" s="91"/>
      <c r="I35" s="231"/>
    </row>
    <row r="36" spans="1:9" ht="12.75">
      <c r="A36" s="90">
        <v>38349</v>
      </c>
      <c r="B36" s="91">
        <f t="shared" si="2"/>
        <v>89</v>
      </c>
      <c r="C36" s="41">
        <f t="shared" si="3"/>
        <v>134000000</v>
      </c>
      <c r="D36" s="41">
        <v>6700000</v>
      </c>
      <c r="E36" s="91"/>
      <c r="F36" s="91"/>
      <c r="G36" s="91"/>
      <c r="H36" s="91"/>
      <c r="I36" s="231"/>
    </row>
    <row r="37" spans="1:9" ht="12.75">
      <c r="A37" s="97">
        <v>38352</v>
      </c>
      <c r="B37" s="98">
        <f t="shared" si="2"/>
        <v>3</v>
      </c>
      <c r="C37" s="99">
        <f t="shared" si="3"/>
        <v>134000000</v>
      </c>
      <c r="D37" s="99"/>
      <c r="E37" s="100">
        <v>0.111</v>
      </c>
      <c r="F37" s="41">
        <v>3987220</v>
      </c>
      <c r="G37" s="101">
        <f>SUM(F31:F37)</f>
        <v>18124125</v>
      </c>
      <c r="H37" s="101">
        <f>SUM(D30:D37)</f>
        <v>26800000</v>
      </c>
      <c r="I37" s="102">
        <f>SUM(G37:H37)</f>
        <v>44924125</v>
      </c>
    </row>
    <row r="38" spans="1:9" ht="12.75">
      <c r="A38" s="103">
        <v>38440</v>
      </c>
      <c r="B38" s="104">
        <f t="shared" si="2"/>
        <v>88</v>
      </c>
      <c r="C38" s="42">
        <f t="shared" si="3"/>
        <v>127300000</v>
      </c>
      <c r="D38" s="41">
        <v>6700000</v>
      </c>
      <c r="E38" s="104"/>
      <c r="F38" s="104"/>
      <c r="G38" s="104"/>
      <c r="H38" s="104"/>
      <c r="I38" s="242"/>
    </row>
    <row r="39" spans="1:9" ht="12.75">
      <c r="A39" s="90">
        <v>38442</v>
      </c>
      <c r="B39" s="91">
        <f t="shared" si="2"/>
        <v>2</v>
      </c>
      <c r="C39" s="41">
        <f t="shared" si="3"/>
        <v>127300000</v>
      </c>
      <c r="D39" s="41"/>
      <c r="E39" s="92">
        <v>0.0946</v>
      </c>
      <c r="F39" s="41">
        <v>3171683</v>
      </c>
      <c r="G39" s="91"/>
      <c r="H39" s="91"/>
      <c r="I39" s="231"/>
    </row>
    <row r="40" spans="1:9" ht="12.75">
      <c r="A40" s="90">
        <v>38531</v>
      </c>
      <c r="B40" s="91">
        <f t="shared" si="2"/>
        <v>89</v>
      </c>
      <c r="C40" s="41">
        <f t="shared" si="3"/>
        <v>120600000</v>
      </c>
      <c r="D40" s="41">
        <v>6700000</v>
      </c>
      <c r="E40" s="91"/>
      <c r="F40" s="91"/>
      <c r="G40" s="91"/>
      <c r="H40" s="91"/>
      <c r="I40" s="231"/>
    </row>
    <row r="41" spans="1:9" ht="12.75">
      <c r="A41" s="90">
        <v>38533</v>
      </c>
      <c r="B41" s="91">
        <f t="shared" si="2"/>
        <v>2</v>
      </c>
      <c r="C41" s="41">
        <f t="shared" si="3"/>
        <v>120600000</v>
      </c>
      <c r="D41" s="41"/>
      <c r="E41" s="92">
        <v>0.0784</v>
      </c>
      <c r="F41" s="41">
        <v>2525613</v>
      </c>
      <c r="G41" s="91"/>
      <c r="H41" s="91"/>
      <c r="I41" s="231"/>
    </row>
    <row r="42" spans="1:9" ht="12.75">
      <c r="A42" s="90">
        <v>38623</v>
      </c>
      <c r="B42" s="91">
        <f t="shared" si="2"/>
        <v>90</v>
      </c>
      <c r="C42" s="41">
        <f t="shared" si="3"/>
        <v>113900000</v>
      </c>
      <c r="D42" s="41">
        <v>6700000</v>
      </c>
      <c r="E42" s="91"/>
      <c r="F42" s="91"/>
      <c r="G42" s="91"/>
      <c r="H42" s="91"/>
      <c r="I42" s="231"/>
    </row>
    <row r="43" spans="1:9" ht="12.75">
      <c r="A43" s="90">
        <v>38625</v>
      </c>
      <c r="B43" s="91">
        <f t="shared" si="2"/>
        <v>2</v>
      </c>
      <c r="C43" s="41">
        <f t="shared" si="3"/>
        <v>113900000</v>
      </c>
      <c r="D43" s="41"/>
      <c r="E43" s="92">
        <v>0.0702</v>
      </c>
      <c r="F43" s="41">
        <v>2163698</v>
      </c>
      <c r="G43" s="91"/>
      <c r="H43" s="91"/>
      <c r="I43" s="231"/>
    </row>
    <row r="44" spans="1:9" ht="12.75">
      <c r="A44" s="90">
        <v>38714</v>
      </c>
      <c r="B44" s="91">
        <f t="shared" si="2"/>
        <v>89</v>
      </c>
      <c r="C44" s="41">
        <f t="shared" si="3"/>
        <v>107200000</v>
      </c>
      <c r="D44" s="41">
        <v>6700000</v>
      </c>
      <c r="E44" s="91"/>
      <c r="F44" s="91"/>
      <c r="G44" s="91"/>
      <c r="H44" s="91"/>
      <c r="I44" s="231"/>
    </row>
    <row r="45" spans="1:9" ht="12.75">
      <c r="A45" s="97">
        <v>38716</v>
      </c>
      <c r="B45" s="98">
        <f t="shared" si="2"/>
        <v>2</v>
      </c>
      <c r="C45" s="99">
        <f t="shared" si="3"/>
        <v>107200000</v>
      </c>
      <c r="D45" s="99"/>
      <c r="E45" s="100">
        <v>0.061</v>
      </c>
      <c r="F45" s="41">
        <v>1756915</v>
      </c>
      <c r="G45" s="101">
        <f>SUM(F39:F45)</f>
        <v>9617909</v>
      </c>
      <c r="H45" s="101">
        <f>SUM(D38:D45)</f>
        <v>26800000</v>
      </c>
      <c r="I45" s="102">
        <f>SUM(G45:H45)</f>
        <v>36417909</v>
      </c>
    </row>
    <row r="46" spans="1:9" ht="12.75">
      <c r="A46" s="103">
        <v>38804</v>
      </c>
      <c r="B46" s="104">
        <f t="shared" si="2"/>
        <v>88</v>
      </c>
      <c r="C46" s="42">
        <f t="shared" si="3"/>
        <v>100500000</v>
      </c>
      <c r="D46" s="41">
        <v>6700000</v>
      </c>
      <c r="E46" s="104"/>
      <c r="F46" s="104"/>
      <c r="G46" s="104"/>
      <c r="H46" s="104"/>
      <c r="I46" s="242"/>
    </row>
    <row r="47" spans="1:9" ht="12.75">
      <c r="A47" s="90">
        <v>38807</v>
      </c>
      <c r="B47" s="91">
        <f t="shared" si="2"/>
        <v>3</v>
      </c>
      <c r="C47" s="41">
        <f t="shared" si="3"/>
        <v>100500000</v>
      </c>
      <c r="D47" s="41"/>
      <c r="E47" s="92">
        <v>0.0637</v>
      </c>
      <c r="F47" s="41">
        <v>1720964</v>
      </c>
      <c r="G47" s="91"/>
      <c r="H47" s="91"/>
      <c r="I47" s="231"/>
    </row>
    <row r="48" spans="1:9" ht="12.75">
      <c r="A48" s="90">
        <v>38896</v>
      </c>
      <c r="B48" s="91">
        <f t="shared" si="2"/>
        <v>89</v>
      </c>
      <c r="C48" s="41">
        <f t="shared" si="3"/>
        <v>93800000</v>
      </c>
      <c r="D48" s="41">
        <v>6700000</v>
      </c>
      <c r="E48" s="91"/>
      <c r="F48" s="91"/>
      <c r="G48" s="91"/>
      <c r="H48" s="91"/>
      <c r="I48" s="231"/>
    </row>
    <row r="49" spans="1:9" ht="12.75">
      <c r="A49" s="90">
        <v>38898</v>
      </c>
      <c r="B49" s="91">
        <f t="shared" si="2"/>
        <v>2</v>
      </c>
      <c r="C49" s="41">
        <f t="shared" si="3"/>
        <v>93800000</v>
      </c>
      <c r="D49" s="41"/>
      <c r="E49" s="92">
        <v>0.0643</v>
      </c>
      <c r="F49" s="41">
        <v>1630927</v>
      </c>
      <c r="G49" s="91"/>
      <c r="H49" s="91"/>
      <c r="I49" s="231"/>
    </row>
    <row r="50" spans="1:9" ht="12.75">
      <c r="A50" s="90">
        <v>38988</v>
      </c>
      <c r="B50" s="91">
        <f t="shared" si="2"/>
        <v>90</v>
      </c>
      <c r="C50" s="41">
        <f t="shared" si="3"/>
        <v>87100000</v>
      </c>
      <c r="D50" s="41">
        <v>6700000</v>
      </c>
      <c r="E50" s="91"/>
      <c r="F50" s="91"/>
      <c r="G50" s="91"/>
      <c r="H50" s="91"/>
      <c r="I50" s="231"/>
    </row>
    <row r="51" spans="1:9" ht="12.75">
      <c r="A51" s="90">
        <v>38989</v>
      </c>
      <c r="B51" s="91">
        <f t="shared" si="2"/>
        <v>1</v>
      </c>
      <c r="C51" s="41">
        <f t="shared" si="3"/>
        <v>87100000</v>
      </c>
      <c r="D51" s="41"/>
      <c r="E51" s="92">
        <v>0.0677</v>
      </c>
      <c r="F51" s="41">
        <v>1603059</v>
      </c>
      <c r="G51" s="91"/>
      <c r="H51" s="91"/>
      <c r="I51" s="231"/>
    </row>
    <row r="52" spans="1:9" ht="12.75">
      <c r="A52" s="90">
        <v>38991</v>
      </c>
      <c r="B52" s="91">
        <f>A52-A51</f>
        <v>2</v>
      </c>
      <c r="C52" s="41">
        <f>C51-D52</f>
        <v>87100000</v>
      </c>
      <c r="D52" s="41"/>
      <c r="E52" s="92">
        <v>0.0677</v>
      </c>
      <c r="F52" s="41"/>
      <c r="G52" s="91"/>
      <c r="H52" s="91"/>
      <c r="I52" s="231"/>
    </row>
    <row r="53" spans="1:9" ht="12.75">
      <c r="A53" s="90">
        <v>39079</v>
      </c>
      <c r="B53" s="91">
        <f>A53-A52</f>
        <v>88</v>
      </c>
      <c r="C53" s="41">
        <f>C52-D53</f>
        <v>80400000</v>
      </c>
      <c r="D53" s="41">
        <v>6700000</v>
      </c>
      <c r="E53" s="91"/>
      <c r="F53" s="91"/>
      <c r="G53" s="91"/>
      <c r="H53" s="91"/>
      <c r="I53" s="231"/>
    </row>
    <row r="54" spans="1:9" ht="12.75">
      <c r="A54" s="97">
        <v>39080</v>
      </c>
      <c r="B54" s="98">
        <f t="shared" si="2"/>
        <v>1</v>
      </c>
      <c r="C54" s="99">
        <f t="shared" si="3"/>
        <v>80400000</v>
      </c>
      <c r="D54" s="99"/>
      <c r="E54" s="100">
        <v>0.0804</v>
      </c>
      <c r="F54" s="41">
        <v>1762521</v>
      </c>
      <c r="G54" s="101">
        <f>SUM(F47:F54)</f>
        <v>6717471</v>
      </c>
      <c r="H54" s="101">
        <f>SUM(D46:D54)</f>
        <v>26800000</v>
      </c>
      <c r="I54" s="102">
        <f>SUM(G54:H54)</f>
        <v>33517471</v>
      </c>
    </row>
    <row r="55" spans="1:9" ht="12.75">
      <c r="A55" s="103">
        <v>39169</v>
      </c>
      <c r="B55" s="104">
        <f t="shared" si="2"/>
        <v>89</v>
      </c>
      <c r="C55" s="42">
        <f t="shared" si="3"/>
        <v>73700000</v>
      </c>
      <c r="D55" s="41">
        <v>6700000</v>
      </c>
      <c r="E55" s="104"/>
      <c r="F55" s="104"/>
      <c r="G55" s="104"/>
      <c r="H55" s="104"/>
      <c r="I55" s="242"/>
    </row>
    <row r="56" spans="1:9" ht="12.75">
      <c r="A56" s="90">
        <v>39171</v>
      </c>
      <c r="B56" s="91">
        <f t="shared" si="2"/>
        <v>2</v>
      </c>
      <c r="C56" s="41">
        <f t="shared" si="3"/>
        <v>73700000</v>
      </c>
      <c r="D56" s="41"/>
      <c r="E56" s="92">
        <v>0.0818</v>
      </c>
      <c r="F56" s="41">
        <v>1658466</v>
      </c>
      <c r="G56" s="91"/>
      <c r="H56" s="91"/>
      <c r="I56" s="231"/>
    </row>
    <row r="57" spans="1:9" ht="12.75">
      <c r="A57" s="90">
        <v>39261</v>
      </c>
      <c r="B57" s="91">
        <f t="shared" si="2"/>
        <v>90</v>
      </c>
      <c r="C57" s="41">
        <f t="shared" si="3"/>
        <v>67000000</v>
      </c>
      <c r="D57" s="41">
        <v>6700000</v>
      </c>
      <c r="E57" s="91"/>
      <c r="F57" s="91"/>
      <c r="G57" s="91"/>
      <c r="H57" s="91"/>
      <c r="I57" s="231"/>
    </row>
    <row r="58" spans="1:9" ht="12.75">
      <c r="A58" s="90">
        <v>39262</v>
      </c>
      <c r="B58" s="91">
        <f t="shared" si="2"/>
        <v>1</v>
      </c>
      <c r="C58" s="41">
        <f t="shared" si="3"/>
        <v>67000000</v>
      </c>
      <c r="D58" s="41"/>
      <c r="E58" s="92">
        <v>0.0803</v>
      </c>
      <c r="F58" s="41">
        <v>1495086</v>
      </c>
      <c r="G58" s="91"/>
      <c r="H58" s="91"/>
      <c r="I58" s="231"/>
    </row>
    <row r="59" spans="1:9" ht="12.75">
      <c r="A59" s="90">
        <v>39353</v>
      </c>
      <c r="B59" s="91">
        <f t="shared" si="2"/>
        <v>91</v>
      </c>
      <c r="C59" s="41">
        <f t="shared" si="3"/>
        <v>60300000</v>
      </c>
      <c r="D59" s="41">
        <v>6700000</v>
      </c>
      <c r="E59" s="91"/>
      <c r="F59" s="91"/>
      <c r="G59" s="91"/>
      <c r="H59" s="91"/>
      <c r="I59" s="231"/>
    </row>
    <row r="60" spans="1:9" ht="12.75">
      <c r="A60" s="90">
        <v>39353</v>
      </c>
      <c r="B60" s="91">
        <f t="shared" si="2"/>
        <v>0</v>
      </c>
      <c r="C60" s="41">
        <f t="shared" si="3"/>
        <v>60300000</v>
      </c>
      <c r="D60" s="41"/>
      <c r="E60" s="92">
        <v>0.079</v>
      </c>
      <c r="F60" s="41">
        <v>1338437</v>
      </c>
      <c r="G60" s="91"/>
      <c r="H60" s="91"/>
      <c r="I60" s="231"/>
    </row>
    <row r="61" spans="1:9" ht="12.75">
      <c r="A61" s="90">
        <v>39438</v>
      </c>
      <c r="B61" s="91"/>
      <c r="C61" s="41">
        <f t="shared" si="3"/>
        <v>0</v>
      </c>
      <c r="D61" s="41">
        <v>60300000</v>
      </c>
      <c r="E61" s="91">
        <v>7.68</v>
      </c>
      <c r="F61" s="91">
        <v>1094546</v>
      </c>
      <c r="G61" s="91"/>
      <c r="H61" s="91"/>
      <c r="I61" s="231"/>
    </row>
    <row r="62" spans="1:9" ht="13.5" thickBot="1">
      <c r="A62" s="97"/>
      <c r="B62" s="98"/>
      <c r="C62" s="99"/>
      <c r="D62" s="99"/>
      <c r="E62" s="100"/>
      <c r="F62" s="41"/>
      <c r="G62" s="101">
        <f>SUM(F56:F62)</f>
        <v>5586535</v>
      </c>
      <c r="H62" s="101">
        <f>SUM(D55:D62)</f>
        <v>80400000</v>
      </c>
      <c r="I62" s="102">
        <f>SUM(G62:H62)</f>
        <v>85986535</v>
      </c>
    </row>
    <row r="63" spans="1:10" ht="13.5" thickTop="1">
      <c r="A63" s="563" t="s">
        <v>14</v>
      </c>
      <c r="B63" s="564"/>
      <c r="C63" s="565"/>
      <c r="D63" s="117">
        <f>SUM(D12:D62)</f>
        <v>250000000</v>
      </c>
      <c r="E63" s="258"/>
      <c r="F63" s="117">
        <f>SUM(F8:F62)</f>
        <v>107194821.68493152</v>
      </c>
      <c r="G63" s="117">
        <f>SUM(G8:G62)</f>
        <v>107194821.6849315</v>
      </c>
      <c r="H63" s="117">
        <f>SUM(H8:H62)</f>
        <v>250000000</v>
      </c>
      <c r="I63" s="119">
        <f>SUM(I8:I62)</f>
        <v>357194821.6849315</v>
      </c>
      <c r="J63" s="121"/>
    </row>
    <row r="64" spans="1:2" ht="12.75">
      <c r="A64" s="120"/>
      <c r="B64" s="56"/>
    </row>
    <row r="65" spans="1:2" ht="12.75">
      <c r="A65" s="120"/>
      <c r="B65" s="56"/>
    </row>
    <row r="66" ht="12.75">
      <c r="F66" s="121"/>
    </row>
    <row r="67" ht="12.75">
      <c r="F67" s="121"/>
    </row>
    <row r="70" ht="12.75">
      <c r="F70" s="121"/>
    </row>
  </sheetData>
  <sheetProtection/>
  <mergeCells count="1">
    <mergeCell ref="A63:C63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2000. decemberben felvett 250 MFt hitel</oddHeader>
    <oddFooter>&amp;L&amp;9&amp;D
C:\Andi\adósságszolgálat\&amp;F\&amp;A&amp;R&amp;P/&amp;N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ySplit="6" topLeftCell="BM53" activePane="bottomLeft" state="frozen"/>
      <selection pane="topLeft" activeCell="A1" sqref="A1"/>
      <selection pane="bottomLeft" activeCell="F64" sqref="F64"/>
    </sheetView>
  </sheetViews>
  <sheetFormatPr defaultColWidth="9.00390625" defaultRowHeight="12.75"/>
  <cols>
    <col min="1" max="1" width="11.375" style="58" customWidth="1"/>
    <col min="2" max="2" width="6.50390625" style="121" customWidth="1"/>
    <col min="3" max="3" width="12.125" style="121" customWidth="1"/>
    <col min="4" max="4" width="12.625" style="121" bestFit="1" customWidth="1"/>
    <col min="5" max="5" width="8.50390625" style="122" customWidth="1"/>
    <col min="6" max="6" width="11.50390625" style="58" customWidth="1"/>
    <col min="7" max="7" width="12.375" style="121" customWidth="1"/>
    <col min="8" max="8" width="12.625" style="58" bestFit="1" customWidth="1"/>
    <col min="9" max="9" width="12.625" style="121" bestFit="1" customWidth="1"/>
    <col min="10" max="10" width="9.375" style="58" customWidth="1"/>
    <col min="11" max="11" width="10.125" style="58" bestFit="1" customWidth="1"/>
    <col min="12" max="16384" width="9.375" style="58" customWidth="1"/>
  </cols>
  <sheetData>
    <row r="1" spans="1:9" ht="12.75">
      <c r="A1" s="163" t="s">
        <v>237</v>
      </c>
      <c r="B1" s="163"/>
      <c r="C1" s="163"/>
      <c r="D1" s="163"/>
      <c r="E1" s="164"/>
      <c r="G1" s="163"/>
      <c r="H1" s="163"/>
      <c r="I1" s="163"/>
    </row>
    <row r="2" spans="1:9" ht="12.75">
      <c r="A2" s="135" t="s">
        <v>15</v>
      </c>
      <c r="B2" s="132"/>
      <c r="C2" s="132"/>
      <c r="D2" s="132"/>
      <c r="E2" s="165"/>
      <c r="F2" s="132"/>
      <c r="G2" s="132"/>
      <c r="H2" s="132"/>
      <c r="I2" s="132"/>
    </row>
    <row r="3" spans="1:9" ht="12.75">
      <c r="A3" s="134"/>
      <c r="B3" s="163"/>
      <c r="C3" s="163"/>
      <c r="D3" s="132"/>
      <c r="E3" s="165"/>
      <c r="F3" s="132"/>
      <c r="G3" s="132"/>
      <c r="H3" s="132"/>
      <c r="I3" s="132" t="s">
        <v>2</v>
      </c>
    </row>
    <row r="4" spans="1:9" ht="12.75">
      <c r="A4" s="66" t="s">
        <v>3</v>
      </c>
      <c r="B4" s="67" t="s">
        <v>4</v>
      </c>
      <c r="C4" s="68" t="s">
        <v>5</v>
      </c>
      <c r="D4" s="68" t="s">
        <v>21</v>
      </c>
      <c r="E4" s="68" t="s">
        <v>18</v>
      </c>
      <c r="F4" s="69" t="s">
        <v>20</v>
      </c>
      <c r="G4" s="70" t="s">
        <v>6</v>
      </c>
      <c r="H4" s="70" t="s">
        <v>6</v>
      </c>
      <c r="I4" s="71" t="s">
        <v>6</v>
      </c>
    </row>
    <row r="5" spans="1:9" ht="12.75">
      <c r="A5" s="72"/>
      <c r="B5" s="73" t="s">
        <v>7</v>
      </c>
      <c r="C5" s="74" t="s">
        <v>8</v>
      </c>
      <c r="D5" s="74" t="s">
        <v>13</v>
      </c>
      <c r="E5" s="74" t="s">
        <v>19</v>
      </c>
      <c r="F5" s="75" t="s">
        <v>13</v>
      </c>
      <c r="G5" s="76" t="s">
        <v>9</v>
      </c>
      <c r="H5" s="76" t="s">
        <v>11</v>
      </c>
      <c r="I5" s="77" t="s">
        <v>10</v>
      </c>
    </row>
    <row r="6" spans="1:9" ht="12.75">
      <c r="A6" s="78"/>
      <c r="B6" s="79"/>
      <c r="C6" s="80"/>
      <c r="D6" s="80"/>
      <c r="E6" s="80"/>
      <c r="F6" s="81"/>
      <c r="G6" s="81"/>
      <c r="H6" s="82" t="s">
        <v>13</v>
      </c>
      <c r="I6" s="83" t="s">
        <v>12</v>
      </c>
    </row>
    <row r="7" spans="1:9" ht="12.75">
      <c r="A7" s="84">
        <v>36708</v>
      </c>
      <c r="B7" s="137"/>
      <c r="C7" s="138">
        <v>200000000</v>
      </c>
      <c r="D7" s="138"/>
      <c r="E7" s="138"/>
      <c r="F7" s="138"/>
      <c r="G7" s="148"/>
      <c r="H7" s="148"/>
      <c r="I7" s="149"/>
    </row>
    <row r="8" spans="1:9" ht="12.75">
      <c r="A8" s="84">
        <v>36799</v>
      </c>
      <c r="B8" s="137">
        <f aca="true" t="shared" si="0" ref="B8:B24">A8-A7</f>
        <v>91</v>
      </c>
      <c r="C8" s="138">
        <f aca="true" t="shared" si="1" ref="C8:C22">C7-D8</f>
        <v>200000000</v>
      </c>
      <c r="D8" s="138"/>
      <c r="E8" s="53">
        <v>0.1116</v>
      </c>
      <c r="F8" s="138">
        <f>(C8+D8)*E8/365*B8</f>
        <v>5564712.328767123</v>
      </c>
      <c r="G8" s="148"/>
      <c r="H8" s="148"/>
      <c r="I8" s="149"/>
    </row>
    <row r="9" spans="1:9" ht="12.75">
      <c r="A9" s="142">
        <v>36891</v>
      </c>
      <c r="B9" s="235">
        <f t="shared" si="0"/>
        <v>92</v>
      </c>
      <c r="C9" s="143">
        <f t="shared" si="1"/>
        <v>200000000</v>
      </c>
      <c r="D9" s="99"/>
      <c r="E9" s="256">
        <f>E8</f>
        <v>0.1116</v>
      </c>
      <c r="F9" s="144">
        <f>(C9+D9)*E9/365*B9</f>
        <v>5625863.01369863</v>
      </c>
      <c r="G9" s="150">
        <f>SUM(F7:F9)</f>
        <v>11190575.342465753</v>
      </c>
      <c r="H9" s="150">
        <f>SUM(D7:D9)</f>
        <v>0</v>
      </c>
      <c r="I9" s="151">
        <f>SUM(G9:H9)</f>
        <v>11190575.342465753</v>
      </c>
    </row>
    <row r="10" spans="1:9" ht="12.75">
      <c r="A10" s="103">
        <v>36981</v>
      </c>
      <c r="B10" s="234">
        <f t="shared" si="0"/>
        <v>90</v>
      </c>
      <c r="C10" s="139">
        <f t="shared" si="1"/>
        <v>200000000</v>
      </c>
      <c r="D10" s="138"/>
      <c r="E10" s="53">
        <f>F10/(C10*B10)*365</f>
        <v>0.1241101388888889</v>
      </c>
      <c r="F10" s="138">
        <v>6120500</v>
      </c>
      <c r="G10" s="140"/>
      <c r="H10" s="140"/>
      <c r="I10" s="141"/>
    </row>
    <row r="11" spans="1:9" ht="12.75">
      <c r="A11" s="90">
        <v>37072</v>
      </c>
      <c r="B11" s="236">
        <f t="shared" si="0"/>
        <v>91</v>
      </c>
      <c r="C11" s="154">
        <f t="shared" si="1"/>
        <v>200000000</v>
      </c>
      <c r="D11" s="154"/>
      <c r="E11" s="53">
        <f>F11/(C11*B11)*365</f>
        <v>0.11535381785714285</v>
      </c>
      <c r="F11" s="138">
        <v>5751889</v>
      </c>
      <c r="G11" s="155"/>
      <c r="H11" s="155"/>
      <c r="I11" s="156"/>
    </row>
    <row r="12" spans="1:9" ht="12.75">
      <c r="A12" s="90">
        <v>37162</v>
      </c>
      <c r="B12" s="236">
        <f t="shared" si="0"/>
        <v>90</v>
      </c>
      <c r="C12" s="154">
        <f t="shared" si="1"/>
        <v>183334000</v>
      </c>
      <c r="D12" s="154">
        <v>16666000</v>
      </c>
      <c r="E12" s="237"/>
      <c r="F12" s="154"/>
      <c r="G12" s="155"/>
      <c r="H12" s="155"/>
      <c r="I12" s="156"/>
    </row>
    <row r="13" spans="1:9" ht="12.75">
      <c r="A13" s="84">
        <v>37164</v>
      </c>
      <c r="B13" s="137">
        <f t="shared" si="0"/>
        <v>2</v>
      </c>
      <c r="C13" s="138">
        <f t="shared" si="1"/>
        <v>183334000</v>
      </c>
      <c r="D13" s="138"/>
      <c r="E13" s="53">
        <f>F13/(((C12+D12)*B12)+(C13*B13))*365</f>
        <v>0.11112075091682388</v>
      </c>
      <c r="F13" s="138">
        <v>5591556</v>
      </c>
      <c r="G13" s="148"/>
      <c r="H13" s="148"/>
      <c r="I13" s="149"/>
    </row>
    <row r="14" spans="1:9" ht="12.75">
      <c r="A14" s="84">
        <v>37253</v>
      </c>
      <c r="B14" s="137">
        <f t="shared" si="0"/>
        <v>89</v>
      </c>
      <c r="C14" s="138">
        <f t="shared" si="1"/>
        <v>166668000</v>
      </c>
      <c r="D14" s="138">
        <v>16666000</v>
      </c>
      <c r="E14" s="53"/>
      <c r="F14" s="138"/>
      <c r="G14" s="148"/>
      <c r="H14" s="148"/>
      <c r="I14" s="149"/>
    </row>
    <row r="15" spans="1:9" ht="12.75">
      <c r="A15" s="142">
        <v>37253</v>
      </c>
      <c r="B15" s="235">
        <f t="shared" si="0"/>
        <v>0</v>
      </c>
      <c r="C15" s="143">
        <f t="shared" si="1"/>
        <v>166668000</v>
      </c>
      <c r="D15" s="99"/>
      <c r="E15" s="100">
        <f>F15/(((C14+D14)*B14)+(C15*B15))*365</f>
        <v>0.11524272730938792</v>
      </c>
      <c r="F15" s="144">
        <v>5151737</v>
      </c>
      <c r="G15" s="150">
        <f>SUM(F10:F15)</f>
        <v>22615682</v>
      </c>
      <c r="H15" s="150">
        <f>SUM(D10:D15)</f>
        <v>33332000</v>
      </c>
      <c r="I15" s="151">
        <f>SUM(G15:H15)</f>
        <v>55947682</v>
      </c>
    </row>
    <row r="16" spans="1:9" ht="12.75">
      <c r="A16" s="103">
        <v>37343</v>
      </c>
      <c r="B16" s="259">
        <f t="shared" si="0"/>
        <v>90</v>
      </c>
      <c r="C16" s="139">
        <f t="shared" si="1"/>
        <v>150002000</v>
      </c>
      <c r="D16" s="138">
        <v>16666000</v>
      </c>
      <c r="E16" s="53"/>
      <c r="F16" s="138"/>
      <c r="G16" s="140"/>
      <c r="H16" s="140"/>
      <c r="I16" s="141"/>
    </row>
    <row r="17" spans="1:9" ht="12.75">
      <c r="A17" s="84">
        <v>37344</v>
      </c>
      <c r="B17" s="91">
        <f t="shared" si="0"/>
        <v>1</v>
      </c>
      <c r="C17" s="138">
        <f t="shared" si="1"/>
        <v>150002000</v>
      </c>
      <c r="D17" s="138"/>
      <c r="E17" s="53">
        <f>F17/(((C16+D16)*B16)+(C17*B17))*365</f>
        <v>0.0997402291545903</v>
      </c>
      <c r="F17" s="138">
        <v>4139936</v>
      </c>
      <c r="G17" s="148"/>
      <c r="H17" s="148"/>
      <c r="I17" s="149"/>
    </row>
    <row r="18" spans="1:9" ht="12.75">
      <c r="A18" s="84">
        <v>37435</v>
      </c>
      <c r="B18" s="137">
        <f t="shared" si="0"/>
        <v>91</v>
      </c>
      <c r="C18" s="138">
        <f t="shared" si="1"/>
        <v>133336000</v>
      </c>
      <c r="D18" s="138">
        <v>16666000</v>
      </c>
      <c r="E18" s="53"/>
      <c r="F18" s="138"/>
      <c r="G18" s="148"/>
      <c r="H18" s="148"/>
      <c r="I18" s="149"/>
    </row>
    <row r="19" spans="1:9" ht="12.75">
      <c r="A19" s="84">
        <v>37437</v>
      </c>
      <c r="B19" s="137">
        <f t="shared" si="0"/>
        <v>2</v>
      </c>
      <c r="C19" s="138">
        <f t="shared" si="1"/>
        <v>133336000</v>
      </c>
      <c r="D19" s="138"/>
      <c r="E19" s="53">
        <v>0.085</v>
      </c>
      <c r="F19" s="138">
        <v>3239335</v>
      </c>
      <c r="G19" s="148"/>
      <c r="H19" s="148"/>
      <c r="I19" s="149"/>
    </row>
    <row r="20" spans="1:9" ht="12.75">
      <c r="A20" s="84">
        <v>37527</v>
      </c>
      <c r="B20" s="137">
        <f t="shared" si="0"/>
        <v>90</v>
      </c>
      <c r="C20" s="138">
        <f t="shared" si="1"/>
        <v>116670000</v>
      </c>
      <c r="D20" s="138">
        <v>16666000</v>
      </c>
      <c r="E20" s="53"/>
      <c r="F20" s="138"/>
      <c r="G20" s="148"/>
      <c r="H20" s="148"/>
      <c r="I20" s="149"/>
    </row>
    <row r="21" spans="1:9" ht="12.75">
      <c r="A21" s="84">
        <v>37529</v>
      </c>
      <c r="B21" s="137">
        <f t="shared" si="0"/>
        <v>2</v>
      </c>
      <c r="C21" s="138">
        <f t="shared" si="1"/>
        <v>116670000</v>
      </c>
      <c r="D21" s="138"/>
      <c r="E21" s="53">
        <v>0.0931</v>
      </c>
      <c r="F21" s="138">
        <v>3232324</v>
      </c>
      <c r="G21" s="148"/>
      <c r="H21" s="148"/>
      <c r="I21" s="149"/>
    </row>
    <row r="22" spans="1:9" ht="12.75">
      <c r="A22" s="84">
        <v>37618</v>
      </c>
      <c r="B22" s="137">
        <f t="shared" si="0"/>
        <v>89</v>
      </c>
      <c r="C22" s="138">
        <f t="shared" si="1"/>
        <v>100004000</v>
      </c>
      <c r="D22" s="138">
        <v>16666000</v>
      </c>
      <c r="E22" s="53"/>
      <c r="F22" s="138"/>
      <c r="G22" s="148"/>
      <c r="H22" s="148"/>
      <c r="I22" s="149"/>
    </row>
    <row r="23" spans="1:9" ht="12.75">
      <c r="A23" s="260">
        <v>37621</v>
      </c>
      <c r="B23" s="98">
        <f t="shared" si="0"/>
        <v>3</v>
      </c>
      <c r="C23" s="261">
        <v>100004000</v>
      </c>
      <c r="D23" s="99"/>
      <c r="E23" s="188">
        <v>0.098</v>
      </c>
      <c r="F23" s="99">
        <v>2906737</v>
      </c>
      <c r="G23" s="150">
        <f>SUM(F17:F23)</f>
        <v>13518332</v>
      </c>
      <c r="H23" s="150">
        <f>SUM(D16:D23)</f>
        <v>66664000</v>
      </c>
      <c r="I23" s="151">
        <f>SUM(G23:H23)</f>
        <v>80182332</v>
      </c>
    </row>
    <row r="24" spans="1:9" ht="12.75">
      <c r="A24" s="84">
        <v>37708</v>
      </c>
      <c r="B24" s="104">
        <f t="shared" si="0"/>
        <v>87</v>
      </c>
      <c r="C24" s="42">
        <f aca="true" t="shared" si="2" ref="C24:C63">C23-D24</f>
        <v>95000000</v>
      </c>
      <c r="D24" s="42">
        <v>5004000</v>
      </c>
      <c r="E24" s="105"/>
      <c r="F24" s="104"/>
      <c r="G24" s="42"/>
      <c r="H24" s="104"/>
      <c r="I24" s="106"/>
    </row>
    <row r="25" spans="1:9" ht="12.75">
      <c r="A25" s="84">
        <v>37711</v>
      </c>
      <c r="B25" s="91">
        <f aca="true" t="shared" si="3" ref="B25:B63">A25-A24</f>
        <v>3</v>
      </c>
      <c r="C25" s="41">
        <f t="shared" si="2"/>
        <v>95000000</v>
      </c>
      <c r="D25" s="41"/>
      <c r="E25" s="92">
        <v>0.0847</v>
      </c>
      <c r="F25" s="41">
        <v>2117747</v>
      </c>
      <c r="G25" s="41"/>
      <c r="H25" s="91"/>
      <c r="I25" s="96"/>
    </row>
    <row r="26" spans="1:9" ht="12.75">
      <c r="A26" s="84">
        <v>37800</v>
      </c>
      <c r="B26" s="91">
        <f t="shared" si="3"/>
        <v>89</v>
      </c>
      <c r="C26" s="41">
        <f t="shared" si="2"/>
        <v>90000000</v>
      </c>
      <c r="D26" s="41">
        <v>5000000</v>
      </c>
      <c r="E26" s="95"/>
      <c r="F26" s="91"/>
      <c r="G26" s="41"/>
      <c r="H26" s="91"/>
      <c r="I26" s="96"/>
    </row>
    <row r="27" spans="1:9" ht="12.75">
      <c r="A27" s="84">
        <v>37802</v>
      </c>
      <c r="B27" s="91">
        <f t="shared" si="3"/>
        <v>2</v>
      </c>
      <c r="C27" s="41">
        <f t="shared" si="2"/>
        <v>90000000</v>
      </c>
      <c r="D27" s="41"/>
      <c r="E27" s="92">
        <v>0.0665</v>
      </c>
      <c r="F27" s="41">
        <v>1601726</v>
      </c>
      <c r="G27" s="41"/>
      <c r="H27" s="91"/>
      <c r="I27" s="96"/>
    </row>
    <row r="28" spans="1:9" ht="12.75">
      <c r="A28" s="84">
        <v>37892</v>
      </c>
      <c r="B28" s="91">
        <f t="shared" si="3"/>
        <v>90</v>
      </c>
      <c r="C28" s="41">
        <f t="shared" si="2"/>
        <v>85000000</v>
      </c>
      <c r="D28" s="41">
        <v>5000000</v>
      </c>
      <c r="E28" s="95"/>
      <c r="F28" s="91"/>
      <c r="G28" s="41"/>
      <c r="H28" s="91"/>
      <c r="I28" s="96"/>
    </row>
    <row r="29" spans="1:9" ht="12.75">
      <c r="A29" s="84">
        <v>37894</v>
      </c>
      <c r="B29" s="91">
        <f t="shared" si="3"/>
        <v>2</v>
      </c>
      <c r="C29" s="41">
        <f t="shared" si="2"/>
        <v>85000000</v>
      </c>
      <c r="D29" s="41"/>
      <c r="E29" s="92">
        <v>0.0893</v>
      </c>
      <c r="F29" s="41">
        <v>2045719</v>
      </c>
      <c r="G29" s="41"/>
      <c r="H29" s="91"/>
      <c r="I29" s="96"/>
    </row>
    <row r="30" spans="1:11" ht="12.75">
      <c r="A30" s="84">
        <v>37983</v>
      </c>
      <c r="B30" s="91">
        <f t="shared" si="3"/>
        <v>89</v>
      </c>
      <c r="C30" s="41">
        <f t="shared" si="2"/>
        <v>80000000</v>
      </c>
      <c r="D30" s="41">
        <v>5000000</v>
      </c>
      <c r="E30" s="95"/>
      <c r="F30" s="91"/>
      <c r="G30" s="41"/>
      <c r="H30" s="91"/>
      <c r="I30" s="96"/>
      <c r="K30" s="121"/>
    </row>
    <row r="31" spans="1:9" ht="12.75">
      <c r="A31" s="142">
        <v>37986</v>
      </c>
      <c r="B31" s="98">
        <f t="shared" si="3"/>
        <v>3</v>
      </c>
      <c r="C31" s="99">
        <f t="shared" si="2"/>
        <v>80000000</v>
      </c>
      <c r="D31" s="99"/>
      <c r="E31" s="100">
        <v>0.0961</v>
      </c>
      <c r="F31" s="41">
        <v>2081896</v>
      </c>
      <c r="G31" s="101">
        <f>SUM(F25:F31)</f>
        <v>7847088</v>
      </c>
      <c r="H31" s="101">
        <f>SUM(D24:D31)</f>
        <v>20004000</v>
      </c>
      <c r="I31" s="102">
        <f>SUM(G31:H31)</f>
        <v>27851088</v>
      </c>
    </row>
    <row r="32" spans="1:9" ht="12.75">
      <c r="A32" s="103">
        <v>38074</v>
      </c>
      <c r="B32" s="104">
        <f t="shared" si="3"/>
        <v>88</v>
      </c>
      <c r="C32" s="42">
        <f t="shared" si="2"/>
        <v>75000000</v>
      </c>
      <c r="D32" s="41">
        <v>5000000</v>
      </c>
      <c r="E32" s="105"/>
      <c r="F32" s="104"/>
      <c r="G32" s="42"/>
      <c r="H32" s="104"/>
      <c r="I32" s="106"/>
    </row>
    <row r="33" spans="1:9" ht="12.75">
      <c r="A33" s="90">
        <v>38077</v>
      </c>
      <c r="B33" s="91">
        <f t="shared" si="3"/>
        <v>3</v>
      </c>
      <c r="C33" s="41">
        <f t="shared" si="2"/>
        <v>75000000</v>
      </c>
      <c r="D33" s="41"/>
      <c r="E33" s="92">
        <v>0.1255</v>
      </c>
      <c r="F33" s="41">
        <v>2527869</v>
      </c>
      <c r="G33" s="41"/>
      <c r="H33" s="91"/>
      <c r="I33" s="96"/>
    </row>
    <row r="34" spans="1:9" ht="12.75">
      <c r="A34" s="90">
        <v>38166</v>
      </c>
      <c r="B34" s="91">
        <f t="shared" si="3"/>
        <v>89</v>
      </c>
      <c r="C34" s="41">
        <f t="shared" si="2"/>
        <v>70000000</v>
      </c>
      <c r="D34" s="41">
        <v>5000000</v>
      </c>
      <c r="E34" s="95"/>
      <c r="F34" s="91"/>
      <c r="G34" s="41"/>
      <c r="H34" s="91"/>
      <c r="I34" s="96"/>
    </row>
    <row r="35" spans="1:9" ht="12.75">
      <c r="A35" s="90">
        <v>38168</v>
      </c>
      <c r="B35" s="91">
        <f t="shared" si="3"/>
        <v>2</v>
      </c>
      <c r="C35" s="41">
        <f t="shared" si="2"/>
        <v>70000000</v>
      </c>
      <c r="D35" s="41"/>
      <c r="E35" s="92">
        <v>0.1197</v>
      </c>
      <c r="F35" s="41">
        <v>2267196</v>
      </c>
      <c r="G35" s="41"/>
      <c r="H35" s="91"/>
      <c r="I35" s="96"/>
    </row>
    <row r="36" spans="1:9" ht="12.75">
      <c r="A36" s="90">
        <v>38258</v>
      </c>
      <c r="B36" s="91">
        <f t="shared" si="3"/>
        <v>90</v>
      </c>
      <c r="C36" s="41">
        <f t="shared" si="2"/>
        <v>65000000</v>
      </c>
      <c r="D36" s="41">
        <v>5000000</v>
      </c>
      <c r="E36" s="95"/>
      <c r="F36" s="91"/>
      <c r="G36" s="41"/>
      <c r="H36" s="91"/>
      <c r="I36" s="96"/>
    </row>
    <row r="37" spans="1:9" ht="12.75">
      <c r="A37" s="90">
        <v>38260</v>
      </c>
      <c r="B37" s="91">
        <f t="shared" si="3"/>
        <v>2</v>
      </c>
      <c r="C37" s="41">
        <f t="shared" si="2"/>
        <v>65000000</v>
      </c>
      <c r="D37" s="41"/>
      <c r="E37" s="92">
        <v>0.1167</v>
      </c>
      <c r="F37" s="41">
        <v>2084975</v>
      </c>
      <c r="G37" s="41"/>
      <c r="H37" s="91"/>
      <c r="I37" s="96"/>
    </row>
    <row r="38" spans="1:9" ht="12.75">
      <c r="A38" s="90">
        <v>38349</v>
      </c>
      <c r="B38" s="91">
        <f t="shared" si="3"/>
        <v>89</v>
      </c>
      <c r="C38" s="41">
        <f t="shared" si="2"/>
        <v>60000000</v>
      </c>
      <c r="D38" s="41">
        <v>5000000</v>
      </c>
      <c r="E38" s="95"/>
      <c r="F38" s="91"/>
      <c r="G38" s="41"/>
      <c r="H38" s="91"/>
      <c r="I38" s="96"/>
    </row>
    <row r="39" spans="1:11" ht="12.75">
      <c r="A39" s="97">
        <v>38352</v>
      </c>
      <c r="B39" s="98">
        <f t="shared" si="3"/>
        <v>3</v>
      </c>
      <c r="C39" s="99">
        <f t="shared" si="2"/>
        <v>60000000</v>
      </c>
      <c r="D39" s="99"/>
      <c r="E39" s="100">
        <v>0.111</v>
      </c>
      <c r="F39" s="41">
        <v>1840238</v>
      </c>
      <c r="G39" s="101">
        <f>SUM(F33:F39)</f>
        <v>8720278</v>
      </c>
      <c r="H39" s="101">
        <f>SUM(D32:D39)</f>
        <v>20000000</v>
      </c>
      <c r="I39" s="102">
        <f>SUM(G39:H39)</f>
        <v>28720278</v>
      </c>
      <c r="K39" s="121"/>
    </row>
    <row r="40" spans="1:9" ht="12.75">
      <c r="A40" s="103">
        <v>38440</v>
      </c>
      <c r="B40" s="104">
        <f t="shared" si="3"/>
        <v>88</v>
      </c>
      <c r="C40" s="42">
        <f t="shared" si="2"/>
        <v>55000000</v>
      </c>
      <c r="D40" s="41">
        <v>5000000</v>
      </c>
      <c r="E40" s="105"/>
      <c r="F40" s="104"/>
      <c r="G40" s="42"/>
      <c r="H40" s="104"/>
      <c r="I40" s="106"/>
    </row>
    <row r="41" spans="1:9" ht="12.75">
      <c r="A41" s="90">
        <v>38442</v>
      </c>
      <c r="B41" s="91">
        <f t="shared" si="3"/>
        <v>2</v>
      </c>
      <c r="C41" s="41">
        <f t="shared" si="2"/>
        <v>55000000</v>
      </c>
      <c r="D41" s="41"/>
      <c r="E41" s="92">
        <v>0.0946</v>
      </c>
      <c r="F41" s="41">
        <v>1419106</v>
      </c>
      <c r="G41" s="41"/>
      <c r="H41" s="91"/>
      <c r="I41" s="96"/>
    </row>
    <row r="42" spans="1:9" ht="12.75">
      <c r="A42" s="90">
        <v>38531</v>
      </c>
      <c r="B42" s="91">
        <f t="shared" si="3"/>
        <v>89</v>
      </c>
      <c r="C42" s="41">
        <f t="shared" si="2"/>
        <v>50000000</v>
      </c>
      <c r="D42" s="41">
        <v>5000000</v>
      </c>
      <c r="E42" s="95"/>
      <c r="F42" s="91"/>
      <c r="G42" s="41"/>
      <c r="H42" s="91"/>
      <c r="I42" s="96"/>
    </row>
    <row r="43" spans="1:9" ht="12.75">
      <c r="A43" s="90">
        <v>38533</v>
      </c>
      <c r="B43" s="91">
        <f t="shared" si="3"/>
        <v>2</v>
      </c>
      <c r="C43" s="41">
        <f t="shared" si="2"/>
        <v>50000000</v>
      </c>
      <c r="D43" s="41"/>
      <c r="E43" s="92">
        <v>0.0784</v>
      </c>
      <c r="F43" s="41">
        <v>1090275</v>
      </c>
      <c r="G43" s="41"/>
      <c r="H43" s="91"/>
      <c r="I43" s="96"/>
    </row>
    <row r="44" spans="1:9" ht="12.75">
      <c r="A44" s="90">
        <v>38623</v>
      </c>
      <c r="B44" s="91">
        <f t="shared" si="3"/>
        <v>90</v>
      </c>
      <c r="C44" s="41">
        <f t="shared" si="2"/>
        <v>45000000</v>
      </c>
      <c r="D44" s="41">
        <v>5000000</v>
      </c>
      <c r="E44" s="95"/>
      <c r="F44" s="91"/>
      <c r="G44" s="41"/>
      <c r="H44" s="91"/>
      <c r="I44" s="96"/>
    </row>
    <row r="45" spans="1:9" ht="12.75">
      <c r="A45" s="90">
        <v>38625</v>
      </c>
      <c r="B45" s="91">
        <f t="shared" si="3"/>
        <v>2</v>
      </c>
      <c r="C45" s="41">
        <f t="shared" si="2"/>
        <v>45000000</v>
      </c>
      <c r="D45" s="41"/>
      <c r="E45" s="92">
        <v>0.0702</v>
      </c>
      <c r="F45" s="41">
        <v>896189</v>
      </c>
      <c r="G45" s="41"/>
      <c r="H45" s="91"/>
      <c r="I45" s="96"/>
    </row>
    <row r="46" spans="1:9" ht="12.75">
      <c r="A46" s="90">
        <v>38714</v>
      </c>
      <c r="B46" s="91">
        <f t="shared" si="3"/>
        <v>89</v>
      </c>
      <c r="C46" s="41">
        <f t="shared" si="2"/>
        <v>40000000</v>
      </c>
      <c r="D46" s="41">
        <v>5000000</v>
      </c>
      <c r="E46" s="95"/>
      <c r="F46" s="91"/>
      <c r="G46" s="41"/>
      <c r="H46" s="91"/>
      <c r="I46" s="96"/>
    </row>
    <row r="47" spans="1:9" ht="12.75">
      <c r="A47" s="97">
        <v>38716</v>
      </c>
      <c r="B47" s="98">
        <f t="shared" si="3"/>
        <v>2</v>
      </c>
      <c r="C47" s="99">
        <f t="shared" si="2"/>
        <v>40000000</v>
      </c>
      <c r="D47" s="99"/>
      <c r="E47" s="100">
        <v>0.061</v>
      </c>
      <c r="F47" s="41">
        <v>693331</v>
      </c>
      <c r="G47" s="101">
        <f>SUM(F41:F47)</f>
        <v>4098901</v>
      </c>
      <c r="H47" s="101">
        <f>SUM(D40:D47)</f>
        <v>20000000</v>
      </c>
      <c r="I47" s="102">
        <f>SUM(G47:H47)</f>
        <v>24098901</v>
      </c>
    </row>
    <row r="48" spans="1:9" ht="12.75">
      <c r="A48" s="103">
        <v>38804</v>
      </c>
      <c r="B48" s="104">
        <f t="shared" si="3"/>
        <v>88</v>
      </c>
      <c r="C48" s="42">
        <f t="shared" si="2"/>
        <v>35000000</v>
      </c>
      <c r="D48" s="86">
        <v>5000000</v>
      </c>
      <c r="E48" s="105"/>
      <c r="F48" s="104"/>
      <c r="G48" s="42"/>
      <c r="H48" s="104"/>
      <c r="I48" s="106"/>
    </row>
    <row r="49" spans="1:9" ht="12.75">
      <c r="A49" s="90">
        <v>38807</v>
      </c>
      <c r="B49" s="91">
        <f t="shared" si="3"/>
        <v>3</v>
      </c>
      <c r="C49" s="41">
        <f t="shared" si="2"/>
        <v>35000000</v>
      </c>
      <c r="D49" s="41"/>
      <c r="E49" s="92">
        <v>0.0637</v>
      </c>
      <c r="F49" s="41">
        <v>640824</v>
      </c>
      <c r="G49" s="41"/>
      <c r="H49" s="91"/>
      <c r="I49" s="96"/>
    </row>
    <row r="50" spans="1:9" ht="12.75">
      <c r="A50" s="90">
        <v>38896</v>
      </c>
      <c r="B50" s="91">
        <f t="shared" si="3"/>
        <v>89</v>
      </c>
      <c r="C50" s="41">
        <f t="shared" si="2"/>
        <v>30000000</v>
      </c>
      <c r="D50" s="41">
        <v>5000000</v>
      </c>
      <c r="E50" s="95"/>
      <c r="F50" s="91"/>
      <c r="G50" s="41"/>
      <c r="H50" s="91"/>
      <c r="I50" s="96"/>
    </row>
    <row r="51" spans="1:9" ht="12.75">
      <c r="A51" s="90">
        <v>38898</v>
      </c>
      <c r="B51" s="91">
        <f t="shared" si="3"/>
        <v>2</v>
      </c>
      <c r="C51" s="41">
        <f t="shared" si="2"/>
        <v>30000000</v>
      </c>
      <c r="D51" s="41"/>
      <c r="E51" s="92">
        <v>0.0643</v>
      </c>
      <c r="F51" s="41">
        <v>567032</v>
      </c>
      <c r="G51" s="41"/>
      <c r="H51" s="91"/>
      <c r="I51" s="96"/>
    </row>
    <row r="52" spans="1:9" ht="12.75">
      <c r="A52" s="90">
        <v>38988</v>
      </c>
      <c r="B52" s="91">
        <f t="shared" si="3"/>
        <v>90</v>
      </c>
      <c r="C52" s="41">
        <f t="shared" si="2"/>
        <v>25000000</v>
      </c>
      <c r="D52" s="41">
        <v>5000000</v>
      </c>
      <c r="E52" s="95"/>
      <c r="F52" s="91"/>
      <c r="G52" s="41"/>
      <c r="H52" s="91"/>
      <c r="I52" s="96"/>
    </row>
    <row r="53" spans="1:9" ht="12.75">
      <c r="A53" s="90">
        <v>38989</v>
      </c>
      <c r="B53" s="91">
        <f t="shared" si="3"/>
        <v>1</v>
      </c>
      <c r="C53" s="41">
        <f t="shared" si="2"/>
        <v>25000000</v>
      </c>
      <c r="D53" s="41"/>
      <c r="E53" s="92">
        <v>0.0677</v>
      </c>
      <c r="F53" s="41">
        <v>512168</v>
      </c>
      <c r="G53" s="41"/>
      <c r="H53" s="91"/>
      <c r="I53" s="96"/>
    </row>
    <row r="54" spans="1:9" ht="12.75">
      <c r="A54" s="90">
        <v>38991</v>
      </c>
      <c r="B54" s="91">
        <f>A54-A53</f>
        <v>2</v>
      </c>
      <c r="C54" s="41">
        <f>C53-D54</f>
        <v>25000000</v>
      </c>
      <c r="D54" s="41"/>
      <c r="E54" s="92">
        <v>0.0677</v>
      </c>
      <c r="F54" s="41"/>
      <c r="G54" s="41"/>
      <c r="H54" s="91"/>
      <c r="I54" s="96"/>
    </row>
    <row r="55" spans="1:9" ht="12.75">
      <c r="A55" s="90">
        <v>39079</v>
      </c>
      <c r="B55" s="91">
        <f>A55-A54</f>
        <v>88</v>
      </c>
      <c r="C55" s="41">
        <f>C54-D55</f>
        <v>20000000</v>
      </c>
      <c r="D55" s="41">
        <v>5000000</v>
      </c>
      <c r="E55" s="95"/>
      <c r="F55" s="91"/>
      <c r="G55" s="41"/>
      <c r="H55" s="91"/>
      <c r="I55" s="96"/>
    </row>
    <row r="56" spans="1:9" ht="12.75">
      <c r="A56" s="97">
        <v>39080</v>
      </c>
      <c r="B56" s="98">
        <f t="shared" si="3"/>
        <v>1</v>
      </c>
      <c r="C56" s="99">
        <f t="shared" si="2"/>
        <v>20000000</v>
      </c>
      <c r="D56" s="99"/>
      <c r="E56" s="100">
        <v>0.0804</v>
      </c>
      <c r="F56" s="99">
        <v>505203</v>
      </c>
      <c r="G56" s="101">
        <f>SUM(F49:F56)</f>
        <v>2225227</v>
      </c>
      <c r="H56" s="101">
        <f>SUM(D48:D56)</f>
        <v>20000000</v>
      </c>
      <c r="I56" s="102">
        <f>SUM(G56:H56)</f>
        <v>22225227</v>
      </c>
    </row>
    <row r="57" spans="1:9" ht="12.75">
      <c r="A57" s="103">
        <v>39169</v>
      </c>
      <c r="B57" s="104">
        <f t="shared" si="3"/>
        <v>89</v>
      </c>
      <c r="C57" s="42">
        <f t="shared" si="2"/>
        <v>15000000</v>
      </c>
      <c r="D57" s="42">
        <v>5000000</v>
      </c>
      <c r="E57" s="105"/>
      <c r="F57" s="104"/>
      <c r="G57" s="42"/>
      <c r="H57" s="104"/>
      <c r="I57" s="106"/>
    </row>
    <row r="58" spans="1:9" ht="12.75">
      <c r="A58" s="90">
        <v>39171</v>
      </c>
      <c r="B58" s="91">
        <f t="shared" si="3"/>
        <v>2</v>
      </c>
      <c r="C58" s="41">
        <f t="shared" si="2"/>
        <v>15000000</v>
      </c>
      <c r="D58" s="41"/>
      <c r="E58" s="92">
        <v>0.0818</v>
      </c>
      <c r="F58" s="41">
        <v>411039</v>
      </c>
      <c r="G58" s="41"/>
      <c r="H58" s="91"/>
      <c r="I58" s="96"/>
    </row>
    <row r="59" spans="1:9" ht="12.75">
      <c r="A59" s="90">
        <v>39261</v>
      </c>
      <c r="B59" s="91">
        <f t="shared" si="3"/>
        <v>90</v>
      </c>
      <c r="C59" s="41">
        <f t="shared" si="2"/>
        <v>10000000</v>
      </c>
      <c r="D59" s="41">
        <v>5000000</v>
      </c>
      <c r="E59" s="244"/>
      <c r="F59" s="107"/>
      <c r="G59" s="107"/>
      <c r="H59" s="108"/>
      <c r="I59" s="109"/>
    </row>
    <row r="60" spans="1:9" ht="12.75">
      <c r="A60" s="90">
        <v>39262</v>
      </c>
      <c r="B60" s="91">
        <f t="shared" si="3"/>
        <v>1</v>
      </c>
      <c r="C60" s="41">
        <f t="shared" si="2"/>
        <v>10000000</v>
      </c>
      <c r="D60" s="107"/>
      <c r="E60" s="92">
        <v>0.0803</v>
      </c>
      <c r="F60" s="41">
        <v>303481</v>
      </c>
      <c r="G60" s="107"/>
      <c r="H60" s="108"/>
      <c r="I60" s="109"/>
    </row>
    <row r="61" spans="1:9" ht="12.75">
      <c r="A61" s="90">
        <v>39353</v>
      </c>
      <c r="B61" s="91">
        <f t="shared" si="3"/>
        <v>91</v>
      </c>
      <c r="C61" s="41">
        <f t="shared" si="2"/>
        <v>5000000</v>
      </c>
      <c r="D61" s="41">
        <v>5000000</v>
      </c>
      <c r="E61" s="244"/>
      <c r="F61" s="107"/>
      <c r="G61" s="107"/>
      <c r="H61" s="108"/>
      <c r="I61" s="109"/>
    </row>
    <row r="62" spans="1:9" ht="12.75">
      <c r="A62" s="90">
        <v>39353</v>
      </c>
      <c r="B62" s="91">
        <f t="shared" si="3"/>
        <v>0</v>
      </c>
      <c r="C62" s="41">
        <f t="shared" si="2"/>
        <v>5000000</v>
      </c>
      <c r="D62" s="107"/>
      <c r="E62" s="92">
        <v>0.079</v>
      </c>
      <c r="F62" s="41">
        <v>199767</v>
      </c>
      <c r="G62" s="107"/>
      <c r="H62" s="108"/>
      <c r="I62" s="109"/>
    </row>
    <row r="63" spans="1:9" ht="13.5" thickBot="1">
      <c r="A63" s="90">
        <v>39444</v>
      </c>
      <c r="B63" s="85">
        <f t="shared" si="3"/>
        <v>91</v>
      </c>
      <c r="C63" s="86">
        <f t="shared" si="2"/>
        <v>0</v>
      </c>
      <c r="D63" s="41">
        <v>5000000</v>
      </c>
      <c r="E63" s="92">
        <v>0.0768</v>
      </c>
      <c r="F63" s="41">
        <v>97158</v>
      </c>
      <c r="G63" s="101">
        <f>SUM(F57:F63)</f>
        <v>1011445</v>
      </c>
      <c r="H63" s="101">
        <f>SUM(D56:D63)</f>
        <v>20000000</v>
      </c>
      <c r="I63" s="102">
        <f>SUM(G63:H63)</f>
        <v>21011445</v>
      </c>
    </row>
    <row r="64" spans="1:9" ht="13.5" thickTop="1">
      <c r="A64" s="563" t="s">
        <v>14</v>
      </c>
      <c r="B64" s="564"/>
      <c r="C64" s="564"/>
      <c r="D64" s="117">
        <f>SUM(D11:D63)</f>
        <v>200000000</v>
      </c>
      <c r="E64" s="118"/>
      <c r="F64" s="117">
        <f>SUM(F8:F63)</f>
        <v>71227528.34246576</v>
      </c>
      <c r="G64" s="117">
        <f>SUM(G9:G63)</f>
        <v>71227528.34246576</v>
      </c>
      <c r="H64" s="117">
        <f>SUM(H9:H63)</f>
        <v>200000000</v>
      </c>
      <c r="I64" s="249">
        <f>SUM(I9:I63)</f>
        <v>271227528.34246576</v>
      </c>
    </row>
    <row r="65" ht="12.75">
      <c r="A65" s="120"/>
    </row>
    <row r="66" ht="12.75">
      <c r="A66" s="120"/>
    </row>
    <row r="67" spans="2:7" ht="12.75">
      <c r="B67" s="58"/>
      <c r="E67" s="58"/>
      <c r="F67" s="121"/>
      <c r="G67" s="58"/>
    </row>
    <row r="68" spans="2:7" ht="12.75">
      <c r="B68" s="58"/>
      <c r="E68" s="58"/>
      <c r="F68" s="121"/>
      <c r="G68" s="58"/>
    </row>
    <row r="69" spans="2:7" ht="12.75">
      <c r="B69" s="58"/>
      <c r="E69" s="58"/>
      <c r="G69" s="58"/>
    </row>
    <row r="70" spans="2:7" ht="12.75">
      <c r="B70" s="58"/>
      <c r="E70" s="58"/>
      <c r="G70" s="58"/>
    </row>
    <row r="71" spans="2:7" ht="12.75">
      <c r="B71" s="58"/>
      <c r="E71" s="58"/>
      <c r="F71" s="121"/>
      <c r="G71" s="58"/>
    </row>
  </sheetData>
  <sheetProtection/>
  <mergeCells count="1">
    <mergeCell ref="A64:C64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 dőlt"&amp;12Adósságszolgálat s&amp;"Times New Roman CE,Félkövér"zámítása az OTP tájékoztatása alapján
&amp;"Times New Roman CE,Félkövér dőlt"2000. júliusban felvett 200 MFt célhitel</oddHeader>
    <oddFooter>&amp;L&amp;9&amp;D
C:\Andi\adósságszolgálat\&amp;F\&amp;A&amp;R&amp;P/&amp;N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pane ySplit="7" topLeftCell="BM38" activePane="bottomLeft" state="frozen"/>
      <selection pane="topLeft" activeCell="A1" sqref="A1"/>
      <selection pane="bottomLeft" activeCell="D59" sqref="D59"/>
    </sheetView>
  </sheetViews>
  <sheetFormatPr defaultColWidth="9.00390625" defaultRowHeight="12.75"/>
  <cols>
    <col min="1" max="1" width="11.125" style="58" customWidth="1"/>
    <col min="2" max="2" width="6.125" style="58" customWidth="1"/>
    <col min="3" max="3" width="11.125" style="121" customWidth="1"/>
    <col min="4" max="4" width="12.375" style="121" customWidth="1"/>
    <col min="5" max="5" width="8.00390625" style="122" customWidth="1"/>
    <col min="6" max="6" width="14.00390625" style="58" customWidth="1"/>
    <col min="7" max="9" width="12.625" style="58" bestFit="1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9" ht="12.75">
      <c r="A1" s="130" t="s">
        <v>238</v>
      </c>
      <c r="B1" s="131"/>
      <c r="C1" s="130"/>
      <c r="D1" s="130"/>
      <c r="E1" s="262"/>
      <c r="G1" s="130"/>
      <c r="H1" s="130"/>
      <c r="I1" s="130"/>
    </row>
    <row r="2" spans="1:9" s="133" customFormat="1" ht="12.75">
      <c r="A2" s="135" t="s">
        <v>15</v>
      </c>
      <c r="C2" s="132"/>
      <c r="D2" s="132"/>
      <c r="E2" s="165"/>
      <c r="G2" s="132"/>
      <c r="H2" s="132"/>
      <c r="I2" s="132"/>
    </row>
    <row r="3" spans="1:9" s="133" customFormat="1" ht="12.75">
      <c r="A3" s="132" t="s">
        <v>16</v>
      </c>
      <c r="C3" s="132"/>
      <c r="D3" s="132"/>
      <c r="E3" s="165"/>
      <c r="F3" s="263"/>
      <c r="G3" s="60"/>
      <c r="H3" s="132"/>
      <c r="I3" s="132"/>
    </row>
    <row r="4" spans="1:9" ht="12.75">
      <c r="A4" s="134"/>
      <c r="B4" s="133"/>
      <c r="C4" s="132"/>
      <c r="D4" s="132"/>
      <c r="E4" s="165"/>
      <c r="F4" s="132"/>
      <c r="G4" s="132"/>
      <c r="H4" s="132"/>
      <c r="I4" s="132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80"/>
      <c r="F7" s="81"/>
      <c r="G7" s="81"/>
      <c r="H7" s="82" t="s">
        <v>13</v>
      </c>
      <c r="I7" s="83" t="s">
        <v>12</v>
      </c>
    </row>
    <row r="8" spans="1:9" ht="12.75">
      <c r="A8" s="103">
        <v>37236</v>
      </c>
      <c r="B8" s="104"/>
      <c r="C8" s="42">
        <v>143500000</v>
      </c>
      <c r="D8" s="42"/>
      <c r="E8" s="42"/>
      <c r="F8" s="42"/>
      <c r="G8" s="152"/>
      <c r="H8" s="152"/>
      <c r="I8" s="153"/>
    </row>
    <row r="9" spans="1:9" ht="12.75">
      <c r="A9" s="97">
        <v>37253</v>
      </c>
      <c r="B9" s="98">
        <f aca="true" t="shared" si="0" ref="B9:B14">A9-A8</f>
        <v>17</v>
      </c>
      <c r="C9" s="99">
        <f aca="true" t="shared" si="1" ref="C9:C24">C8-D9</f>
        <v>143500000</v>
      </c>
      <c r="D9" s="99"/>
      <c r="E9" s="100">
        <f>F9/(C9*B9)*365</f>
        <v>0.11808823529411766</v>
      </c>
      <c r="F9" s="99">
        <v>789250</v>
      </c>
      <c r="G9" s="101">
        <f>SUM(F8:F9)</f>
        <v>789250</v>
      </c>
      <c r="H9" s="101">
        <f>SUM(D8:D9)</f>
        <v>0</v>
      </c>
      <c r="I9" s="102">
        <f>SUM(G9:H9)</f>
        <v>789250</v>
      </c>
    </row>
    <row r="10" spans="1:9" ht="12.75">
      <c r="A10" s="103">
        <v>37344</v>
      </c>
      <c r="B10" s="108">
        <f t="shared" si="0"/>
        <v>91</v>
      </c>
      <c r="C10" s="190">
        <f t="shared" si="1"/>
        <v>143500000</v>
      </c>
      <c r="D10" s="42"/>
      <c r="E10" s="147">
        <f>F10/(C10*B10)*365</f>
        <v>0.09973993605697438</v>
      </c>
      <c r="F10" s="42">
        <v>3568367</v>
      </c>
      <c r="G10" s="152"/>
      <c r="H10" s="152"/>
      <c r="I10" s="153"/>
    </row>
    <row r="11" spans="1:9" ht="12.75">
      <c r="A11" s="90">
        <v>37437</v>
      </c>
      <c r="B11" s="91">
        <f t="shared" si="0"/>
        <v>93</v>
      </c>
      <c r="C11" s="41">
        <f t="shared" si="1"/>
        <v>143500000</v>
      </c>
      <c r="D11" s="41"/>
      <c r="E11" s="92">
        <v>0.085</v>
      </c>
      <c r="F11" s="41">
        <v>3098922</v>
      </c>
      <c r="G11" s="93"/>
      <c r="H11" s="93"/>
      <c r="I11" s="94"/>
    </row>
    <row r="12" spans="1:9" ht="12.75">
      <c r="A12" s="90">
        <v>37467</v>
      </c>
      <c r="B12" s="91">
        <f t="shared" si="0"/>
        <v>30</v>
      </c>
      <c r="C12" s="41">
        <f t="shared" si="1"/>
        <v>143500000</v>
      </c>
      <c r="D12" s="41"/>
      <c r="E12" s="92"/>
      <c r="F12" s="41"/>
      <c r="G12" s="93"/>
      <c r="H12" s="93"/>
      <c r="I12" s="94"/>
    </row>
    <row r="13" spans="1:9" ht="12.75">
      <c r="A13" s="90">
        <v>37527</v>
      </c>
      <c r="B13" s="91">
        <f t="shared" si="0"/>
        <v>60</v>
      </c>
      <c r="C13" s="41">
        <f t="shared" si="1"/>
        <v>134662500</v>
      </c>
      <c r="D13" s="41">
        <v>8837500</v>
      </c>
      <c r="E13" s="92"/>
      <c r="F13" s="41"/>
      <c r="G13" s="93"/>
      <c r="H13" s="93"/>
      <c r="I13" s="94"/>
    </row>
    <row r="14" spans="1:9" ht="12.75">
      <c r="A14" s="90">
        <v>37529</v>
      </c>
      <c r="B14" s="91">
        <f t="shared" si="0"/>
        <v>2</v>
      </c>
      <c r="C14" s="41">
        <f t="shared" si="1"/>
        <v>134662500</v>
      </c>
      <c r="D14" s="41"/>
      <c r="E14" s="92">
        <v>0.0931</v>
      </c>
      <c r="F14" s="41">
        <v>3478719</v>
      </c>
      <c r="G14" s="93"/>
      <c r="H14" s="93"/>
      <c r="I14" s="94"/>
    </row>
    <row r="15" spans="1:9" ht="12.75">
      <c r="A15" s="90">
        <v>37575</v>
      </c>
      <c r="B15" s="85">
        <f aca="true" t="shared" si="2" ref="B15:B24">A15-A14</f>
        <v>46</v>
      </c>
      <c r="C15" s="86">
        <f t="shared" si="1"/>
        <v>134662500</v>
      </c>
      <c r="D15" s="41"/>
      <c r="E15" s="92"/>
      <c r="F15" s="41"/>
      <c r="G15" s="93"/>
      <c r="H15" s="93"/>
      <c r="I15" s="94"/>
    </row>
    <row r="16" spans="1:9" ht="12.75">
      <c r="A16" s="90">
        <v>37618</v>
      </c>
      <c r="B16" s="91">
        <f t="shared" si="2"/>
        <v>43</v>
      </c>
      <c r="C16" s="41">
        <f t="shared" si="1"/>
        <v>125825000</v>
      </c>
      <c r="D16" s="41">
        <f>D13</f>
        <v>8837500</v>
      </c>
      <c r="E16" s="92"/>
      <c r="F16" s="41"/>
      <c r="G16" s="93"/>
      <c r="H16" s="93"/>
      <c r="I16" s="94"/>
    </row>
    <row r="17" spans="1:9" ht="12.75">
      <c r="A17" s="97">
        <v>37621</v>
      </c>
      <c r="B17" s="98">
        <f t="shared" si="2"/>
        <v>3</v>
      </c>
      <c r="C17" s="99">
        <f>(C16-D17)+71550000</f>
        <v>197375000</v>
      </c>
      <c r="D17" s="99"/>
      <c r="E17" s="100">
        <v>0.098</v>
      </c>
      <c r="F17" s="99">
        <v>3792002</v>
      </c>
      <c r="G17" s="101">
        <f>SUM(F10:F17)</f>
        <v>13938010</v>
      </c>
      <c r="H17" s="101">
        <f>SUM(D10:D17)</f>
        <v>17675000</v>
      </c>
      <c r="I17" s="102">
        <f>SUM(G17:H17)</f>
        <v>31613010</v>
      </c>
    </row>
    <row r="18" spans="1:9" ht="12.75">
      <c r="A18" s="103">
        <v>37708</v>
      </c>
      <c r="B18" s="104">
        <f t="shared" si="2"/>
        <v>87</v>
      </c>
      <c r="C18" s="42">
        <f t="shared" si="1"/>
        <v>197375000</v>
      </c>
      <c r="D18" s="42"/>
      <c r="E18" s="105"/>
      <c r="F18" s="104"/>
      <c r="G18" s="104"/>
      <c r="H18" s="104"/>
      <c r="I18" s="242"/>
    </row>
    <row r="19" spans="1:9" ht="12.75">
      <c r="A19" s="90">
        <v>37711</v>
      </c>
      <c r="B19" s="108">
        <f t="shared" si="2"/>
        <v>3</v>
      </c>
      <c r="C19" s="41">
        <f t="shared" si="1"/>
        <v>197375000</v>
      </c>
      <c r="D19" s="41"/>
      <c r="E19" s="92">
        <v>0.0847</v>
      </c>
      <c r="F19" s="41">
        <v>4186708</v>
      </c>
      <c r="G19" s="91"/>
      <c r="H19" s="91"/>
      <c r="I19" s="231"/>
    </row>
    <row r="20" spans="1:9" ht="13.5" thickBot="1">
      <c r="A20" s="264">
        <v>37771</v>
      </c>
      <c r="B20" s="265">
        <f t="shared" si="2"/>
        <v>60</v>
      </c>
      <c r="C20" s="43">
        <f>(C19-D20)+32400000</f>
        <v>229775000</v>
      </c>
      <c r="D20" s="43"/>
      <c r="E20" s="266"/>
      <c r="F20" s="43"/>
      <c r="G20" s="265"/>
      <c r="H20" s="265"/>
      <c r="I20" s="267"/>
    </row>
    <row r="21" spans="1:11" ht="12.75">
      <c r="A21" s="84">
        <v>37800</v>
      </c>
      <c r="B21" s="112">
        <f t="shared" si="2"/>
        <v>29</v>
      </c>
      <c r="C21" s="86">
        <f>C20-D21</f>
        <v>224055000</v>
      </c>
      <c r="D21" s="86">
        <v>5720000</v>
      </c>
      <c r="E21" s="110"/>
      <c r="F21" s="85"/>
      <c r="G21" s="85"/>
      <c r="H21" s="85"/>
      <c r="I21" s="240"/>
      <c r="K21" s="121"/>
    </row>
    <row r="22" spans="1:11" ht="12.75">
      <c r="A22" s="90">
        <v>37802</v>
      </c>
      <c r="B22" s="108">
        <f t="shared" si="2"/>
        <v>2</v>
      </c>
      <c r="C22" s="41">
        <f t="shared" si="1"/>
        <v>224055000</v>
      </c>
      <c r="D22" s="41"/>
      <c r="E22" s="92">
        <v>0.0665</v>
      </c>
      <c r="F22" s="41">
        <v>3513332</v>
      </c>
      <c r="G22" s="91"/>
      <c r="H22" s="91"/>
      <c r="I22" s="231"/>
      <c r="K22" s="121"/>
    </row>
    <row r="23" spans="1:9" ht="12.75">
      <c r="A23" s="90">
        <v>37830</v>
      </c>
      <c r="B23" s="108">
        <f t="shared" si="2"/>
        <v>28</v>
      </c>
      <c r="C23" s="41">
        <f t="shared" si="1"/>
        <v>218310000</v>
      </c>
      <c r="D23" s="41">
        <v>5745000</v>
      </c>
      <c r="E23" s="92"/>
      <c r="F23" s="138"/>
      <c r="G23" s="91"/>
      <c r="H23" s="91"/>
      <c r="I23" s="231"/>
    </row>
    <row r="24" spans="1:9" ht="12.75">
      <c r="A24" s="90">
        <v>37892</v>
      </c>
      <c r="B24" s="108">
        <f t="shared" si="2"/>
        <v>62</v>
      </c>
      <c r="C24" s="41">
        <f t="shared" si="1"/>
        <v>212565000</v>
      </c>
      <c r="D24" s="41">
        <v>5745000</v>
      </c>
      <c r="E24" s="95"/>
      <c r="F24" s="91"/>
      <c r="G24" s="91"/>
      <c r="H24" s="91"/>
      <c r="I24" s="231"/>
    </row>
    <row r="25" spans="1:9" ht="12.75">
      <c r="A25" s="90">
        <v>37894</v>
      </c>
      <c r="B25" s="91">
        <f aca="true" t="shared" si="3" ref="B25:B58">A25-A24</f>
        <v>2</v>
      </c>
      <c r="C25" s="41">
        <f aca="true" t="shared" si="4" ref="C25:C59">C24-D25</f>
        <v>212565000</v>
      </c>
      <c r="D25" s="41"/>
      <c r="E25" s="92">
        <v>0.0893</v>
      </c>
      <c r="F25" s="41">
        <v>5004939</v>
      </c>
      <c r="G25" s="91"/>
      <c r="H25" s="91"/>
      <c r="I25" s="231"/>
    </row>
    <row r="26" spans="1:9" ht="12.75">
      <c r="A26" s="90">
        <v>37983</v>
      </c>
      <c r="B26" s="91">
        <f t="shared" si="3"/>
        <v>89</v>
      </c>
      <c r="C26" s="41">
        <f t="shared" si="4"/>
        <v>206820000</v>
      </c>
      <c r="D26" s="41">
        <v>5745000</v>
      </c>
      <c r="E26" s="95"/>
      <c r="F26" s="91"/>
      <c r="G26" s="91"/>
      <c r="H26" s="91"/>
      <c r="I26" s="231"/>
    </row>
    <row r="27" spans="1:9" ht="12.75">
      <c r="A27" s="97">
        <v>37986</v>
      </c>
      <c r="B27" s="98">
        <f t="shared" si="3"/>
        <v>3</v>
      </c>
      <c r="C27" s="99">
        <f t="shared" si="4"/>
        <v>206820000</v>
      </c>
      <c r="D27" s="99"/>
      <c r="E27" s="100">
        <v>0.0961</v>
      </c>
      <c r="F27" s="41">
        <v>5211744</v>
      </c>
      <c r="G27" s="101">
        <f>SUM(F19:F27)</f>
        <v>17916723</v>
      </c>
      <c r="H27" s="101">
        <f>SUM(D18:D27)</f>
        <v>22955000</v>
      </c>
      <c r="I27" s="102">
        <f>SUM(G27:H27)</f>
        <v>40871723</v>
      </c>
    </row>
    <row r="28" spans="1:9" ht="12.75">
      <c r="A28" s="103">
        <v>38074</v>
      </c>
      <c r="B28" s="104">
        <f t="shared" si="3"/>
        <v>88</v>
      </c>
      <c r="C28" s="42">
        <f t="shared" si="4"/>
        <v>201075000</v>
      </c>
      <c r="D28" s="41">
        <v>5745000</v>
      </c>
      <c r="E28" s="105"/>
      <c r="F28" s="104"/>
      <c r="G28" s="104"/>
      <c r="H28" s="104"/>
      <c r="I28" s="242"/>
    </row>
    <row r="29" spans="1:9" ht="12.75">
      <c r="A29" s="90">
        <v>38077</v>
      </c>
      <c r="B29" s="91">
        <f t="shared" si="3"/>
        <v>3</v>
      </c>
      <c r="C29" s="41">
        <f t="shared" si="4"/>
        <v>201075000</v>
      </c>
      <c r="D29" s="41"/>
      <c r="E29" s="92">
        <v>0.1255</v>
      </c>
      <c r="F29" s="41">
        <v>6540181</v>
      </c>
      <c r="G29" s="91"/>
      <c r="H29" s="91"/>
      <c r="I29" s="231"/>
    </row>
    <row r="30" spans="1:9" ht="12.75">
      <c r="A30" s="90">
        <v>38166</v>
      </c>
      <c r="B30" s="91">
        <f t="shared" si="3"/>
        <v>89</v>
      </c>
      <c r="C30" s="41">
        <f t="shared" si="4"/>
        <v>195330000</v>
      </c>
      <c r="D30" s="41">
        <v>5745000</v>
      </c>
      <c r="E30" s="95"/>
      <c r="F30" s="91"/>
      <c r="G30" s="91"/>
      <c r="H30" s="91"/>
      <c r="I30" s="231"/>
    </row>
    <row r="31" spans="1:9" ht="12.75">
      <c r="A31" s="90">
        <v>38168</v>
      </c>
      <c r="B31" s="91">
        <f t="shared" si="3"/>
        <v>2</v>
      </c>
      <c r="C31" s="41">
        <f t="shared" si="4"/>
        <v>195330000</v>
      </c>
      <c r="D31" s="41"/>
      <c r="E31" s="92">
        <v>0.1197</v>
      </c>
      <c r="F31" s="41">
        <v>6083446</v>
      </c>
      <c r="G31" s="91"/>
      <c r="H31" s="91"/>
      <c r="I31" s="231"/>
    </row>
    <row r="32" spans="1:9" ht="12.75">
      <c r="A32" s="90">
        <v>38258</v>
      </c>
      <c r="B32" s="91">
        <f t="shared" si="3"/>
        <v>90</v>
      </c>
      <c r="C32" s="41">
        <f t="shared" si="4"/>
        <v>189585000</v>
      </c>
      <c r="D32" s="41">
        <v>5745000</v>
      </c>
      <c r="E32" s="95"/>
      <c r="F32" s="41"/>
      <c r="G32" s="91"/>
      <c r="H32" s="91"/>
      <c r="I32" s="231"/>
    </row>
    <row r="33" spans="1:9" ht="12.75">
      <c r="A33" s="90">
        <v>38260</v>
      </c>
      <c r="B33" s="91">
        <f t="shared" si="3"/>
        <v>2</v>
      </c>
      <c r="C33" s="41">
        <f t="shared" si="4"/>
        <v>189585000</v>
      </c>
      <c r="D33" s="41"/>
      <c r="E33" s="92">
        <v>0.1167</v>
      </c>
      <c r="F33" s="41">
        <v>5823295</v>
      </c>
      <c r="G33" s="91"/>
      <c r="H33" s="91"/>
      <c r="I33" s="231"/>
    </row>
    <row r="34" spans="1:9" ht="12.75">
      <c r="A34" s="90">
        <v>38349</v>
      </c>
      <c r="B34" s="91">
        <f t="shared" si="3"/>
        <v>89</v>
      </c>
      <c r="C34" s="41">
        <f t="shared" si="4"/>
        <v>183840000</v>
      </c>
      <c r="D34" s="41">
        <v>5745000</v>
      </c>
      <c r="E34" s="95"/>
      <c r="F34" s="91"/>
      <c r="G34" s="91"/>
      <c r="H34" s="91"/>
      <c r="I34" s="231"/>
    </row>
    <row r="35" spans="1:9" ht="12.75">
      <c r="A35" s="97">
        <v>38352</v>
      </c>
      <c r="B35" s="98">
        <f t="shared" si="3"/>
        <v>3</v>
      </c>
      <c r="C35" s="99">
        <f t="shared" si="4"/>
        <v>183840000</v>
      </c>
      <c r="D35" s="99"/>
      <c r="E35" s="100">
        <v>0.111</v>
      </c>
      <c r="F35" s="41">
        <v>5375582</v>
      </c>
      <c r="G35" s="101">
        <f>SUM(F29:F35)</f>
        <v>23822504</v>
      </c>
      <c r="H35" s="101">
        <f>SUM(D28:D35)</f>
        <v>22980000</v>
      </c>
      <c r="I35" s="102">
        <f>SUM(G35:H35)</f>
        <v>46802504</v>
      </c>
    </row>
    <row r="36" spans="1:9" ht="12.75">
      <c r="A36" s="103">
        <v>38440</v>
      </c>
      <c r="B36" s="104">
        <f t="shared" si="3"/>
        <v>88</v>
      </c>
      <c r="C36" s="42">
        <f t="shared" si="4"/>
        <v>178095000</v>
      </c>
      <c r="D36" s="41">
        <v>5745000</v>
      </c>
      <c r="E36" s="105"/>
      <c r="F36" s="104"/>
      <c r="G36" s="104"/>
      <c r="H36" s="104"/>
      <c r="I36" s="242"/>
    </row>
    <row r="37" spans="1:9" ht="12.75">
      <c r="A37" s="90">
        <v>38442</v>
      </c>
      <c r="B37" s="91">
        <f t="shared" si="3"/>
        <v>2</v>
      </c>
      <c r="C37" s="41">
        <f t="shared" si="4"/>
        <v>178095000</v>
      </c>
      <c r="D37" s="41"/>
      <c r="E37" s="92">
        <v>0.0946</v>
      </c>
      <c r="F37" s="41">
        <v>4353172</v>
      </c>
      <c r="G37" s="91"/>
      <c r="H37" s="91"/>
      <c r="I37" s="231"/>
    </row>
    <row r="38" spans="1:9" ht="12.75">
      <c r="A38" s="90">
        <v>38531</v>
      </c>
      <c r="B38" s="91">
        <f t="shared" si="3"/>
        <v>89</v>
      </c>
      <c r="C38" s="41">
        <f t="shared" si="4"/>
        <v>172350000</v>
      </c>
      <c r="D38" s="41">
        <v>5745000</v>
      </c>
      <c r="E38" s="95"/>
      <c r="F38" s="91"/>
      <c r="G38" s="91"/>
      <c r="H38" s="91"/>
      <c r="I38" s="231"/>
    </row>
    <row r="39" spans="1:9" ht="12.75">
      <c r="A39" s="90">
        <v>38533</v>
      </c>
      <c r="B39" s="91">
        <f t="shared" si="3"/>
        <v>2</v>
      </c>
      <c r="C39" s="41">
        <f t="shared" si="4"/>
        <v>172350000</v>
      </c>
      <c r="D39" s="41"/>
      <c r="E39" s="92">
        <v>0.0784</v>
      </c>
      <c r="F39" s="41">
        <v>3534959</v>
      </c>
      <c r="G39" s="91"/>
      <c r="H39" s="91"/>
      <c r="I39" s="231"/>
    </row>
    <row r="40" spans="1:9" ht="12.75">
      <c r="A40" s="90">
        <v>38623</v>
      </c>
      <c r="B40" s="91">
        <f t="shared" si="3"/>
        <v>90</v>
      </c>
      <c r="C40" s="41">
        <f t="shared" si="4"/>
        <v>166605000</v>
      </c>
      <c r="D40" s="41">
        <v>5745000</v>
      </c>
      <c r="E40" s="95"/>
      <c r="F40" s="91"/>
      <c r="G40" s="91"/>
      <c r="H40" s="91"/>
      <c r="I40" s="231"/>
    </row>
    <row r="41" spans="1:9" ht="12.75">
      <c r="A41" s="90">
        <v>38625</v>
      </c>
      <c r="B41" s="91">
        <f t="shared" si="3"/>
        <v>2</v>
      </c>
      <c r="C41" s="41">
        <f t="shared" si="4"/>
        <v>166605000</v>
      </c>
      <c r="D41" s="41"/>
      <c r="E41" s="92">
        <v>0.0702</v>
      </c>
      <c r="F41" s="41">
        <v>3093644</v>
      </c>
      <c r="G41" s="91"/>
      <c r="H41" s="91"/>
      <c r="I41" s="231"/>
    </row>
    <row r="42" spans="1:9" ht="12.75">
      <c r="A42" s="90">
        <v>38714</v>
      </c>
      <c r="B42" s="91">
        <f t="shared" si="3"/>
        <v>89</v>
      </c>
      <c r="C42" s="41">
        <f t="shared" si="4"/>
        <v>160860000</v>
      </c>
      <c r="D42" s="41">
        <v>5745000</v>
      </c>
      <c r="E42" s="95"/>
      <c r="F42" s="91"/>
      <c r="G42" s="91"/>
      <c r="H42" s="91"/>
      <c r="I42" s="231"/>
    </row>
    <row r="43" spans="1:9" ht="12.75">
      <c r="A43" s="97">
        <v>38716</v>
      </c>
      <c r="B43" s="98">
        <f t="shared" si="3"/>
        <v>2</v>
      </c>
      <c r="C43" s="99">
        <f t="shared" si="4"/>
        <v>160860000</v>
      </c>
      <c r="D43" s="99"/>
      <c r="E43" s="100">
        <v>0.061</v>
      </c>
      <c r="F43" s="41">
        <v>2571267</v>
      </c>
      <c r="G43" s="101">
        <f>SUM(F37:F43)</f>
        <v>13553042</v>
      </c>
      <c r="H43" s="101">
        <f>SUM(D36:D43)</f>
        <v>22980000</v>
      </c>
      <c r="I43" s="102">
        <f>SUM(G43:H43)</f>
        <v>36533042</v>
      </c>
    </row>
    <row r="44" spans="1:9" ht="12.75">
      <c r="A44" s="103">
        <v>38804</v>
      </c>
      <c r="B44" s="104">
        <f t="shared" si="3"/>
        <v>88</v>
      </c>
      <c r="C44" s="42">
        <f t="shared" si="4"/>
        <v>155115000</v>
      </c>
      <c r="D44" s="41">
        <v>5745000</v>
      </c>
      <c r="E44" s="105"/>
      <c r="F44" s="104"/>
      <c r="G44" s="104"/>
      <c r="H44" s="104"/>
      <c r="I44" s="242"/>
    </row>
    <row r="45" spans="1:9" ht="12.75">
      <c r="A45" s="90">
        <v>38807</v>
      </c>
      <c r="B45" s="91">
        <f t="shared" si="3"/>
        <v>3</v>
      </c>
      <c r="C45" s="41">
        <f t="shared" si="4"/>
        <v>155115000</v>
      </c>
      <c r="D45" s="41"/>
      <c r="E45" s="92">
        <v>0.0637</v>
      </c>
      <c r="F45" s="41">
        <v>2584696</v>
      </c>
      <c r="G45" s="91"/>
      <c r="H45" s="91"/>
      <c r="I45" s="231"/>
    </row>
    <row r="46" spans="1:9" ht="12.75">
      <c r="A46" s="90">
        <v>38896</v>
      </c>
      <c r="B46" s="91">
        <f t="shared" si="3"/>
        <v>89</v>
      </c>
      <c r="C46" s="41">
        <f t="shared" si="4"/>
        <v>149370000</v>
      </c>
      <c r="D46" s="41">
        <v>5745000</v>
      </c>
      <c r="E46" s="95"/>
      <c r="F46" s="91"/>
      <c r="G46" s="91"/>
      <c r="H46" s="91"/>
      <c r="I46" s="231"/>
    </row>
    <row r="47" spans="1:9" ht="12.75">
      <c r="A47" s="90">
        <v>38898</v>
      </c>
      <c r="B47" s="91">
        <f t="shared" si="3"/>
        <v>2</v>
      </c>
      <c r="C47" s="41">
        <f t="shared" si="4"/>
        <v>149370000</v>
      </c>
      <c r="D47" s="41"/>
      <c r="E47" s="92">
        <v>0.0643</v>
      </c>
      <c r="F47" s="41">
        <v>2518868</v>
      </c>
      <c r="G47" s="91"/>
      <c r="H47" s="91"/>
      <c r="I47" s="231"/>
    </row>
    <row r="48" spans="1:9" ht="12.75">
      <c r="A48" s="90">
        <v>38988</v>
      </c>
      <c r="B48" s="91">
        <f t="shared" si="3"/>
        <v>90</v>
      </c>
      <c r="C48" s="41">
        <f t="shared" si="4"/>
        <v>143625000</v>
      </c>
      <c r="D48" s="41">
        <v>5745000</v>
      </c>
      <c r="E48" s="95"/>
      <c r="F48" s="91"/>
      <c r="G48" s="91"/>
      <c r="H48" s="91"/>
      <c r="I48" s="231"/>
    </row>
    <row r="49" spans="1:9" ht="12.75">
      <c r="A49" s="90">
        <v>38989</v>
      </c>
      <c r="B49" s="91">
        <f t="shared" si="3"/>
        <v>1</v>
      </c>
      <c r="C49" s="41">
        <f t="shared" si="4"/>
        <v>143625000</v>
      </c>
      <c r="D49" s="41"/>
      <c r="E49" s="92">
        <v>0.0677</v>
      </c>
      <c r="F49" s="41">
        <v>2553686</v>
      </c>
      <c r="G49" s="91"/>
      <c r="H49" s="91"/>
      <c r="I49" s="231"/>
    </row>
    <row r="50" spans="1:9" ht="12.75">
      <c r="A50" s="90">
        <v>38991</v>
      </c>
      <c r="B50" s="91">
        <f>A50-A49</f>
        <v>2</v>
      </c>
      <c r="C50" s="41">
        <f>C49-D50</f>
        <v>143625000</v>
      </c>
      <c r="D50" s="41"/>
      <c r="E50" s="92">
        <v>0.0677</v>
      </c>
      <c r="F50" s="41"/>
      <c r="G50" s="91"/>
      <c r="H50" s="91"/>
      <c r="I50" s="231"/>
    </row>
    <row r="51" spans="1:9" ht="12.75">
      <c r="A51" s="90">
        <v>39079</v>
      </c>
      <c r="B51" s="91">
        <f>A51-A50</f>
        <v>88</v>
      </c>
      <c r="C51" s="41">
        <f>C50-D51</f>
        <v>137880000</v>
      </c>
      <c r="D51" s="41">
        <v>5745000</v>
      </c>
      <c r="E51" s="95"/>
      <c r="F51" s="91"/>
      <c r="G51" s="91"/>
      <c r="H51" s="91"/>
      <c r="I51" s="231"/>
    </row>
    <row r="52" spans="1:9" ht="12.75">
      <c r="A52" s="97">
        <v>39080</v>
      </c>
      <c r="B52" s="98">
        <f t="shared" si="3"/>
        <v>1</v>
      </c>
      <c r="C52" s="99">
        <f t="shared" si="4"/>
        <v>137880000</v>
      </c>
      <c r="D52" s="99"/>
      <c r="E52" s="100">
        <v>0.0804</v>
      </c>
      <c r="F52" s="99">
        <v>2907522</v>
      </c>
      <c r="G52" s="101">
        <f>SUM(F45:F52)</f>
        <v>10564772</v>
      </c>
      <c r="H52" s="101">
        <f>SUM(D44:D52)</f>
        <v>22980000</v>
      </c>
      <c r="I52" s="102">
        <f>SUM(G52:H52)</f>
        <v>33544772</v>
      </c>
    </row>
    <row r="53" spans="1:9" ht="12.75">
      <c r="A53" s="103">
        <v>39169</v>
      </c>
      <c r="B53" s="104">
        <f t="shared" si="3"/>
        <v>89</v>
      </c>
      <c r="C53" s="42">
        <f t="shared" si="4"/>
        <v>132135000</v>
      </c>
      <c r="D53" s="42">
        <v>5745000</v>
      </c>
      <c r="E53" s="105"/>
      <c r="F53" s="104"/>
      <c r="G53" s="104"/>
      <c r="H53" s="104"/>
      <c r="I53" s="242"/>
    </row>
    <row r="54" spans="1:9" ht="12.75">
      <c r="A54" s="90">
        <v>39171</v>
      </c>
      <c r="B54" s="91">
        <f t="shared" si="3"/>
        <v>2</v>
      </c>
      <c r="C54" s="41">
        <f t="shared" si="4"/>
        <v>132135000</v>
      </c>
      <c r="D54" s="41"/>
      <c r="E54" s="92">
        <v>0.0818</v>
      </c>
      <c r="F54" s="41">
        <v>2846756</v>
      </c>
      <c r="G54" s="91"/>
      <c r="H54" s="91"/>
      <c r="I54" s="231"/>
    </row>
    <row r="55" spans="1:9" ht="12.75">
      <c r="A55" s="90">
        <v>39261</v>
      </c>
      <c r="B55" s="91">
        <f t="shared" si="3"/>
        <v>90</v>
      </c>
      <c r="C55" s="41">
        <f t="shared" si="4"/>
        <v>126390000</v>
      </c>
      <c r="D55" s="41">
        <v>5745000</v>
      </c>
      <c r="E55" s="95"/>
      <c r="F55" s="91"/>
      <c r="G55" s="91"/>
      <c r="H55" s="91"/>
      <c r="I55" s="231"/>
    </row>
    <row r="56" spans="1:9" ht="12.75">
      <c r="A56" s="90">
        <v>39262</v>
      </c>
      <c r="B56" s="91">
        <f t="shared" si="3"/>
        <v>1</v>
      </c>
      <c r="C56" s="41">
        <f t="shared" si="4"/>
        <v>126390000</v>
      </c>
      <c r="D56" s="41"/>
      <c r="E56" s="92">
        <v>0.0803</v>
      </c>
      <c r="F56" s="41">
        <v>2681903</v>
      </c>
      <c r="G56" s="91"/>
      <c r="H56" s="91"/>
      <c r="I56" s="231"/>
    </row>
    <row r="57" spans="1:9" ht="12.75">
      <c r="A57" s="90">
        <v>39353</v>
      </c>
      <c r="B57" s="91">
        <f t="shared" si="3"/>
        <v>91</v>
      </c>
      <c r="C57" s="41">
        <f t="shared" si="4"/>
        <v>120645000</v>
      </c>
      <c r="D57" s="41">
        <v>5745000</v>
      </c>
      <c r="E57" s="95"/>
      <c r="F57" s="91"/>
      <c r="G57" s="91"/>
      <c r="H57" s="91"/>
      <c r="I57" s="231"/>
    </row>
    <row r="58" spans="1:9" ht="12.75">
      <c r="A58" s="90">
        <v>39353</v>
      </c>
      <c r="B58" s="91">
        <f t="shared" si="3"/>
        <v>0</v>
      </c>
      <c r="C58" s="41">
        <f t="shared" si="4"/>
        <v>120645000</v>
      </c>
      <c r="D58" s="41"/>
      <c r="E58" s="92">
        <v>0.079</v>
      </c>
      <c r="F58" s="41">
        <v>2524851</v>
      </c>
      <c r="G58" s="91"/>
      <c r="H58" s="91"/>
      <c r="I58" s="231"/>
    </row>
    <row r="59" spans="1:9" ht="12.75">
      <c r="A59" s="90">
        <v>39438</v>
      </c>
      <c r="B59" s="91"/>
      <c r="C59" s="41">
        <f t="shared" si="4"/>
        <v>0</v>
      </c>
      <c r="D59" s="41">
        <v>120645000</v>
      </c>
      <c r="E59" s="95">
        <v>0.0768</v>
      </c>
      <c r="F59" s="41">
        <v>2189908</v>
      </c>
      <c r="G59" s="91"/>
      <c r="H59" s="91"/>
      <c r="I59" s="231"/>
    </row>
    <row r="60" spans="1:9" ht="13.5" thickBot="1">
      <c r="A60" s="97"/>
      <c r="B60" s="98"/>
      <c r="C60" s="99"/>
      <c r="D60" s="99"/>
      <c r="E60" s="100"/>
      <c r="F60" s="99"/>
      <c r="G60" s="101">
        <f>SUM(F54:F60)</f>
        <v>10243418</v>
      </c>
      <c r="H60" s="101">
        <f>SUM(D53:D60)</f>
        <v>137880000</v>
      </c>
      <c r="I60" s="102">
        <f>SUM(G60:H60)</f>
        <v>148123418</v>
      </c>
    </row>
    <row r="61" spans="1:9" ht="13.5" thickTop="1">
      <c r="A61" s="563" t="s">
        <v>14</v>
      </c>
      <c r="B61" s="564"/>
      <c r="C61" s="565"/>
      <c r="D61" s="117">
        <f>SUM(D8:D60)</f>
        <v>247450000</v>
      </c>
      <c r="E61" s="118"/>
      <c r="F61" s="117">
        <f>SUM(F8:F60)</f>
        <v>90827719</v>
      </c>
      <c r="G61" s="117">
        <f>SUM(G8:G60)</f>
        <v>90827719</v>
      </c>
      <c r="H61" s="117">
        <f>SUM(H8:H60)</f>
        <v>247450000</v>
      </c>
      <c r="I61" s="119">
        <f>SUM(I8:I60)</f>
        <v>338277719</v>
      </c>
    </row>
    <row r="62" spans="1:2" ht="12.75">
      <c r="A62" s="120"/>
      <c r="B62" s="56"/>
    </row>
    <row r="63" spans="1:2" ht="12.75">
      <c r="A63" s="120"/>
      <c r="B63" s="56"/>
    </row>
    <row r="64" spans="2:6" ht="12.75">
      <c r="B64" s="58" t="s">
        <v>96</v>
      </c>
      <c r="C64" s="58"/>
      <c r="D64" s="58"/>
      <c r="E64" s="58"/>
      <c r="F64" s="287">
        <v>143500000</v>
      </c>
    </row>
    <row r="65" spans="2:6" ht="12.75">
      <c r="B65" s="58" t="s">
        <v>97</v>
      </c>
      <c r="D65" s="58"/>
      <c r="E65" s="58"/>
      <c r="F65" s="287">
        <v>71550000</v>
      </c>
    </row>
    <row r="66" spans="2:6" ht="13.5" thickBot="1">
      <c r="B66" s="285" t="s">
        <v>98</v>
      </c>
      <c r="C66" s="291"/>
      <c r="D66" s="285"/>
      <c r="E66" s="285"/>
      <c r="F66" s="288">
        <v>32400000</v>
      </c>
    </row>
    <row r="67" spans="1:6" ht="13.5" thickTop="1">
      <c r="A67" s="56"/>
      <c r="B67" s="290" t="s">
        <v>93</v>
      </c>
      <c r="C67" s="163"/>
      <c r="D67" s="163"/>
      <c r="E67" s="566">
        <f>SUM(F64:F66)</f>
        <v>247450000</v>
      </c>
      <c r="F67" s="566"/>
    </row>
    <row r="70" spans="5:6" ht="12.75">
      <c r="E70" s="58"/>
      <c r="F70" s="121"/>
    </row>
    <row r="71" spans="5:6" ht="12.75">
      <c r="E71" s="58"/>
      <c r="F71" s="121"/>
    </row>
    <row r="72" ht="12.75">
      <c r="E72" s="58"/>
    </row>
    <row r="73" ht="12.75">
      <c r="E73" s="58"/>
    </row>
    <row r="74" spans="5:6" ht="12.75">
      <c r="E74" s="58"/>
      <c r="F74" s="121"/>
    </row>
  </sheetData>
  <sheetProtection/>
  <mergeCells count="2">
    <mergeCell ref="A61:C61"/>
    <mergeCell ref="E67:F67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 xml:space="preserve">&amp;C&amp;"Times New Roman CE,Félkövér"&amp;12Adósságszolgálat számítása az OTP tájékoztatása alapján&amp;"Times New Roman CE,Félkövér dőlt"
Na 600-as vezeték kiváltásához felvett 247.450 eFt hitel </oddHeader>
    <oddFooter>&amp;L&amp;9&amp;D
C:\Andi\adósságszolgálat\&amp;F\&amp;A&amp;R&amp;P/&amp;N</oddFooter>
  </headerFooter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ySplit="7" topLeftCell="BM49" activePane="bottomLeft" state="frozen"/>
      <selection pane="topLeft" activeCell="A1" sqref="A1"/>
      <selection pane="bottomLeft" activeCell="D55" sqref="D55"/>
    </sheetView>
  </sheetViews>
  <sheetFormatPr defaultColWidth="9.00390625" defaultRowHeight="12.75"/>
  <cols>
    <col min="1" max="1" width="10.625" style="58" customWidth="1"/>
    <col min="2" max="2" width="5.875" style="58" customWidth="1"/>
    <col min="3" max="3" width="11.50390625" style="121" customWidth="1"/>
    <col min="4" max="4" width="12.625" style="121" customWidth="1"/>
    <col min="5" max="5" width="8.00390625" style="122" customWidth="1"/>
    <col min="6" max="6" width="14.00390625" style="58" bestFit="1" customWidth="1"/>
    <col min="7" max="7" width="13.00390625" style="58" customWidth="1"/>
    <col min="8" max="9" width="12.625" style="58" bestFit="1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9" ht="12.75">
      <c r="A1" s="163" t="s">
        <v>239</v>
      </c>
      <c r="B1" s="162"/>
      <c r="C1" s="163"/>
      <c r="D1" s="163"/>
      <c r="E1" s="164"/>
      <c r="H1" s="163"/>
      <c r="I1" s="163"/>
    </row>
    <row r="2" spans="1:9" ht="12.75">
      <c r="A2" s="135" t="s">
        <v>15</v>
      </c>
      <c r="B2" s="133"/>
      <c r="C2" s="132"/>
      <c r="D2" s="132"/>
      <c r="E2" s="165"/>
      <c r="F2" s="132"/>
      <c r="G2" s="132"/>
      <c r="H2" s="132"/>
      <c r="I2" s="132"/>
    </row>
    <row r="3" spans="1:9" ht="12.75">
      <c r="A3" s="132" t="s">
        <v>60</v>
      </c>
      <c r="B3" s="133"/>
      <c r="C3" s="132"/>
      <c r="D3" s="132"/>
      <c r="F3" s="132"/>
      <c r="G3" s="132"/>
      <c r="H3" s="132"/>
      <c r="I3" s="132"/>
    </row>
    <row r="4" spans="1:9" ht="12.75">
      <c r="A4" s="134"/>
      <c r="B4" s="133"/>
      <c r="C4" s="132"/>
      <c r="D4" s="132"/>
      <c r="E4" s="165"/>
      <c r="F4" s="132"/>
      <c r="G4" s="132"/>
      <c r="H4" s="132"/>
      <c r="I4" s="132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80"/>
      <c r="F7" s="81"/>
      <c r="G7" s="81"/>
      <c r="H7" s="82" t="s">
        <v>13</v>
      </c>
      <c r="I7" s="83" t="s">
        <v>12</v>
      </c>
    </row>
    <row r="8" spans="1:9" ht="12.75">
      <c r="A8" s="84">
        <v>37251</v>
      </c>
      <c r="B8" s="137"/>
      <c r="C8" s="138">
        <v>139059100</v>
      </c>
      <c r="D8" s="138"/>
      <c r="E8" s="138"/>
      <c r="F8" s="138"/>
      <c r="G8" s="148"/>
      <c r="H8" s="148"/>
      <c r="I8" s="149"/>
    </row>
    <row r="9" spans="1:9" ht="12.75">
      <c r="A9" s="97">
        <v>37253</v>
      </c>
      <c r="B9" s="98">
        <f aca="true" t="shared" si="0" ref="B9:B15">A9-A8</f>
        <v>2</v>
      </c>
      <c r="C9" s="144">
        <f>C8-D9</f>
        <v>139059100</v>
      </c>
      <c r="D9" s="144"/>
      <c r="E9" s="100">
        <f>F9/(C9*B9)*365</f>
        <v>0.11173046208410668</v>
      </c>
      <c r="F9" s="144">
        <v>85135</v>
      </c>
      <c r="G9" s="145">
        <f>SUM(F8:F9)</f>
        <v>85135</v>
      </c>
      <c r="H9" s="145">
        <f>SUM(D8:D9)</f>
        <v>0</v>
      </c>
      <c r="I9" s="146">
        <f>SUM(G9:H9)</f>
        <v>85135</v>
      </c>
    </row>
    <row r="10" spans="1:9" ht="12.75">
      <c r="A10" s="84">
        <v>37344</v>
      </c>
      <c r="B10" s="85">
        <f t="shared" si="0"/>
        <v>91</v>
      </c>
      <c r="C10" s="138">
        <f>C9-D10</f>
        <v>139059100</v>
      </c>
      <c r="D10" s="138"/>
      <c r="E10" s="87">
        <f>F10/(C10*B10)*365</f>
        <v>0.0989087563299535</v>
      </c>
      <c r="F10" s="138">
        <v>3429120</v>
      </c>
      <c r="G10" s="148"/>
      <c r="H10" s="148"/>
      <c r="I10" s="149"/>
    </row>
    <row r="11" spans="1:9" ht="13.5" thickBot="1">
      <c r="A11" s="264">
        <v>37437</v>
      </c>
      <c r="B11" s="265">
        <f t="shared" si="0"/>
        <v>93</v>
      </c>
      <c r="C11" s="193">
        <f>(C10-D11)+147603900</f>
        <v>286663000</v>
      </c>
      <c r="D11" s="193"/>
      <c r="E11" s="268">
        <v>0.085</v>
      </c>
      <c r="F11" s="193">
        <v>3003020</v>
      </c>
      <c r="G11" s="194"/>
      <c r="H11" s="194"/>
      <c r="I11" s="195"/>
    </row>
    <row r="12" spans="1:9" ht="12.75">
      <c r="A12" s="269">
        <v>37527</v>
      </c>
      <c r="B12" s="270">
        <f t="shared" si="0"/>
        <v>90</v>
      </c>
      <c r="C12" s="207">
        <f>C11-D12</f>
        <v>272329850</v>
      </c>
      <c r="D12" s="207">
        <v>14333150</v>
      </c>
      <c r="E12" s="271"/>
      <c r="F12" s="207"/>
      <c r="G12" s="208"/>
      <c r="H12" s="208"/>
      <c r="I12" s="209"/>
    </row>
    <row r="13" spans="1:9" ht="12.75">
      <c r="A13" s="90">
        <v>37529</v>
      </c>
      <c r="B13" s="91">
        <f t="shared" si="0"/>
        <v>2</v>
      </c>
      <c r="C13" s="41">
        <f>C12-D13</f>
        <v>272329850</v>
      </c>
      <c r="D13" s="41"/>
      <c r="E13" s="92">
        <v>0.0931</v>
      </c>
      <c r="F13" s="41">
        <v>6949269</v>
      </c>
      <c r="G13" s="93"/>
      <c r="H13" s="93"/>
      <c r="I13" s="94"/>
    </row>
    <row r="14" spans="1:9" ht="12.75">
      <c r="A14" s="90">
        <v>37618</v>
      </c>
      <c r="B14" s="91">
        <f t="shared" si="0"/>
        <v>89</v>
      </c>
      <c r="C14" s="41">
        <f>C13-D14</f>
        <v>257996700</v>
      </c>
      <c r="D14" s="41">
        <v>14333150</v>
      </c>
      <c r="E14" s="92"/>
      <c r="F14" s="41"/>
      <c r="G14" s="93"/>
      <c r="H14" s="93"/>
      <c r="I14" s="94"/>
    </row>
    <row r="15" spans="1:9" ht="12.75">
      <c r="A15" s="97">
        <v>37621</v>
      </c>
      <c r="B15" s="91">
        <f t="shared" si="0"/>
        <v>3</v>
      </c>
      <c r="C15" s="239">
        <v>257996700</v>
      </c>
      <c r="D15" s="99"/>
      <c r="E15" s="100">
        <v>0.098</v>
      </c>
      <c r="F15" s="99">
        <v>6804938</v>
      </c>
      <c r="G15" s="101">
        <f>SUM(F10:F15)</f>
        <v>20186347</v>
      </c>
      <c r="H15" s="101">
        <f>SUM(D10:D15)</f>
        <v>28666300</v>
      </c>
      <c r="I15" s="102">
        <f>SUM(G15:H15)</f>
        <v>48852647</v>
      </c>
    </row>
    <row r="16" spans="1:9" ht="12.75">
      <c r="A16" s="103">
        <v>37708</v>
      </c>
      <c r="B16" s="104">
        <f aca="true" t="shared" si="1" ref="B16:B54">A16-A15</f>
        <v>87</v>
      </c>
      <c r="C16" s="42">
        <f aca="true" t="shared" si="2" ref="C16:C55">C15-D16</f>
        <v>249953000</v>
      </c>
      <c r="D16" s="42">
        <v>8043700</v>
      </c>
      <c r="E16" s="105"/>
      <c r="F16" s="104"/>
      <c r="G16" s="104"/>
      <c r="H16" s="104"/>
      <c r="I16" s="242"/>
    </row>
    <row r="17" spans="1:9" ht="12.75">
      <c r="A17" s="90">
        <v>37711</v>
      </c>
      <c r="B17" s="91">
        <f t="shared" si="1"/>
        <v>3</v>
      </c>
      <c r="C17" s="41">
        <f t="shared" si="2"/>
        <v>249953000</v>
      </c>
      <c r="D17" s="41"/>
      <c r="E17" s="92">
        <v>0.0847</v>
      </c>
      <c r="F17" s="41">
        <v>5466934</v>
      </c>
      <c r="G17" s="91"/>
      <c r="H17" s="91"/>
      <c r="I17" s="231"/>
    </row>
    <row r="18" spans="1:9" ht="12.75">
      <c r="A18" s="90">
        <v>37800</v>
      </c>
      <c r="B18" s="91">
        <f t="shared" si="1"/>
        <v>89</v>
      </c>
      <c r="C18" s="41">
        <f t="shared" si="2"/>
        <v>241890000</v>
      </c>
      <c r="D18" s="41">
        <v>8063000</v>
      </c>
      <c r="E18" s="95"/>
      <c r="F18" s="91"/>
      <c r="G18" s="91"/>
      <c r="H18" s="91"/>
      <c r="I18" s="231"/>
    </row>
    <row r="19" spans="1:11" ht="12.75">
      <c r="A19" s="90">
        <v>37802</v>
      </c>
      <c r="B19" s="91">
        <f t="shared" si="1"/>
        <v>2</v>
      </c>
      <c r="C19" s="41">
        <f t="shared" si="2"/>
        <v>241890000</v>
      </c>
      <c r="D19" s="41"/>
      <c r="E19" s="92">
        <v>0.0665</v>
      </c>
      <c r="F19" s="41">
        <v>4214277</v>
      </c>
      <c r="G19" s="91"/>
      <c r="H19" s="91"/>
      <c r="I19" s="231"/>
      <c r="K19" s="121"/>
    </row>
    <row r="20" spans="1:9" ht="12.75">
      <c r="A20" s="90">
        <v>37892</v>
      </c>
      <c r="B20" s="91">
        <f t="shared" si="1"/>
        <v>90</v>
      </c>
      <c r="C20" s="41">
        <f t="shared" si="2"/>
        <v>233827000</v>
      </c>
      <c r="D20" s="41">
        <v>8063000</v>
      </c>
      <c r="E20" s="95"/>
      <c r="F20" s="91"/>
      <c r="G20" s="91"/>
      <c r="H20" s="91"/>
      <c r="I20" s="231"/>
    </row>
    <row r="21" spans="1:9" ht="12.75">
      <c r="A21" s="90">
        <v>37894</v>
      </c>
      <c r="B21" s="91">
        <f t="shared" si="1"/>
        <v>2</v>
      </c>
      <c r="C21" s="41">
        <f t="shared" si="2"/>
        <v>233827000</v>
      </c>
      <c r="D21" s="41"/>
      <c r="E21" s="92">
        <v>0.0893</v>
      </c>
      <c r="F21" s="41">
        <v>5500879</v>
      </c>
      <c r="G21" s="91"/>
      <c r="H21" s="91"/>
      <c r="I21" s="231"/>
    </row>
    <row r="22" spans="1:11" ht="12.75">
      <c r="A22" s="90">
        <v>37983</v>
      </c>
      <c r="B22" s="91">
        <f t="shared" si="1"/>
        <v>89</v>
      </c>
      <c r="C22" s="41">
        <f t="shared" si="2"/>
        <v>225764000</v>
      </c>
      <c r="D22" s="41">
        <v>8063000</v>
      </c>
      <c r="E22" s="95"/>
      <c r="F22" s="91"/>
      <c r="G22" s="91"/>
      <c r="H22" s="91"/>
      <c r="I22" s="231"/>
      <c r="K22" s="121"/>
    </row>
    <row r="23" spans="1:9" ht="12.75">
      <c r="A23" s="97">
        <v>37986</v>
      </c>
      <c r="B23" s="98">
        <f t="shared" si="1"/>
        <v>3</v>
      </c>
      <c r="C23" s="99">
        <f t="shared" si="2"/>
        <v>225764000</v>
      </c>
      <c r="D23" s="99"/>
      <c r="E23" s="100">
        <v>0.0961</v>
      </c>
      <c r="F23" s="41">
        <v>5731657</v>
      </c>
      <c r="G23" s="101">
        <f>SUM(F17:F23)</f>
        <v>20913747</v>
      </c>
      <c r="H23" s="101">
        <f>SUM(D16:D23)</f>
        <v>32232700</v>
      </c>
      <c r="I23" s="102">
        <f>SUM(G23:H23)</f>
        <v>53146447</v>
      </c>
    </row>
    <row r="24" spans="1:9" ht="12.75">
      <c r="A24" s="103">
        <v>38074</v>
      </c>
      <c r="B24" s="104">
        <f t="shared" si="1"/>
        <v>88</v>
      </c>
      <c r="C24" s="42">
        <f t="shared" si="2"/>
        <v>217701000</v>
      </c>
      <c r="D24" s="41">
        <v>8063000</v>
      </c>
      <c r="E24" s="105"/>
      <c r="F24" s="104"/>
      <c r="G24" s="104"/>
      <c r="H24" s="104"/>
      <c r="I24" s="242"/>
    </row>
    <row r="25" spans="1:9" ht="12.75">
      <c r="A25" s="90">
        <v>38077</v>
      </c>
      <c r="B25" s="91">
        <f t="shared" si="1"/>
        <v>3</v>
      </c>
      <c r="C25" s="41">
        <f t="shared" si="2"/>
        <v>217701000</v>
      </c>
      <c r="D25" s="41"/>
      <c r="E25" s="92">
        <v>0.1255</v>
      </c>
      <c r="F25" s="41">
        <v>7137990</v>
      </c>
      <c r="G25" s="91"/>
      <c r="H25" s="91"/>
      <c r="I25" s="231"/>
    </row>
    <row r="26" spans="1:9" ht="12.75">
      <c r="A26" s="90">
        <v>38166</v>
      </c>
      <c r="B26" s="91">
        <f t="shared" si="1"/>
        <v>89</v>
      </c>
      <c r="C26" s="41">
        <f t="shared" si="2"/>
        <v>209638000</v>
      </c>
      <c r="D26" s="41">
        <v>8063000</v>
      </c>
      <c r="E26" s="95"/>
      <c r="F26" s="91"/>
      <c r="G26" s="91"/>
      <c r="H26" s="91"/>
      <c r="I26" s="231"/>
    </row>
    <row r="27" spans="1:9" ht="12.75">
      <c r="A27" s="90">
        <v>38168</v>
      </c>
      <c r="B27" s="91">
        <f t="shared" si="1"/>
        <v>2</v>
      </c>
      <c r="C27" s="41">
        <f t="shared" si="2"/>
        <v>209638000</v>
      </c>
      <c r="D27" s="41"/>
      <c r="E27" s="92">
        <v>0.1197</v>
      </c>
      <c r="F27" s="41">
        <v>6585234</v>
      </c>
      <c r="G27" s="91"/>
      <c r="H27" s="91"/>
      <c r="I27" s="231"/>
    </row>
    <row r="28" spans="1:9" ht="12.75">
      <c r="A28" s="90">
        <v>38258</v>
      </c>
      <c r="B28" s="91">
        <f t="shared" si="1"/>
        <v>90</v>
      </c>
      <c r="C28" s="41">
        <f t="shared" si="2"/>
        <v>201575000</v>
      </c>
      <c r="D28" s="41">
        <v>8063000</v>
      </c>
      <c r="E28" s="95"/>
      <c r="F28" s="91"/>
      <c r="G28" s="91"/>
      <c r="H28" s="91"/>
      <c r="I28" s="231"/>
    </row>
    <row r="29" spans="1:9" ht="12.75">
      <c r="A29" s="90">
        <v>38260</v>
      </c>
      <c r="B29" s="91">
        <f t="shared" si="1"/>
        <v>2</v>
      </c>
      <c r="C29" s="41">
        <f t="shared" si="2"/>
        <v>201575000</v>
      </c>
      <c r="D29" s="41"/>
      <c r="E29" s="92">
        <v>0.1167</v>
      </c>
      <c r="F29" s="41">
        <v>6248623</v>
      </c>
      <c r="G29" s="91"/>
      <c r="H29" s="91"/>
      <c r="I29" s="231"/>
    </row>
    <row r="30" spans="1:9" ht="12.75">
      <c r="A30" s="90">
        <v>38349</v>
      </c>
      <c r="B30" s="91">
        <f t="shared" si="1"/>
        <v>89</v>
      </c>
      <c r="C30" s="41">
        <f t="shared" si="2"/>
        <v>193512000</v>
      </c>
      <c r="D30" s="41">
        <v>8063000</v>
      </c>
      <c r="E30" s="95"/>
      <c r="F30" s="91"/>
      <c r="G30" s="91"/>
      <c r="H30" s="91"/>
      <c r="I30" s="231"/>
    </row>
    <row r="31" spans="1:9" ht="12.75">
      <c r="A31" s="97">
        <v>38352</v>
      </c>
      <c r="B31" s="98">
        <f t="shared" si="1"/>
        <v>3</v>
      </c>
      <c r="C31" s="99">
        <f t="shared" si="2"/>
        <v>193512000</v>
      </c>
      <c r="D31" s="99"/>
      <c r="E31" s="100">
        <v>0.111</v>
      </c>
      <c r="F31" s="41">
        <v>5713744</v>
      </c>
      <c r="G31" s="101">
        <f>SUM(F25:F31)</f>
        <v>25685591</v>
      </c>
      <c r="H31" s="101">
        <f>SUM(D24:D31)</f>
        <v>32252000</v>
      </c>
      <c r="I31" s="102">
        <f>SUM(G31:H31)</f>
        <v>57937591</v>
      </c>
    </row>
    <row r="32" spans="1:9" ht="12.75">
      <c r="A32" s="103">
        <v>38440</v>
      </c>
      <c r="B32" s="104">
        <f t="shared" si="1"/>
        <v>88</v>
      </c>
      <c r="C32" s="42">
        <f t="shared" si="2"/>
        <v>185449000</v>
      </c>
      <c r="D32" s="41">
        <v>8063000</v>
      </c>
      <c r="E32" s="105"/>
      <c r="F32" s="104"/>
      <c r="G32" s="104"/>
      <c r="H32" s="104"/>
      <c r="I32" s="242"/>
    </row>
    <row r="33" spans="1:9" ht="12.75">
      <c r="A33" s="90">
        <v>38442</v>
      </c>
      <c r="B33" s="91">
        <f t="shared" si="1"/>
        <v>2</v>
      </c>
      <c r="C33" s="41">
        <f t="shared" si="2"/>
        <v>185449000</v>
      </c>
      <c r="D33" s="41"/>
      <c r="E33" s="92">
        <v>0.0946</v>
      </c>
      <c r="F33" s="41">
        <v>4581137</v>
      </c>
      <c r="G33" s="91"/>
      <c r="H33" s="91"/>
      <c r="I33" s="231"/>
    </row>
    <row r="34" spans="1:9" ht="12.75">
      <c r="A34" s="90">
        <v>38531</v>
      </c>
      <c r="B34" s="91">
        <f t="shared" si="1"/>
        <v>89</v>
      </c>
      <c r="C34" s="41">
        <f t="shared" si="2"/>
        <v>177386000</v>
      </c>
      <c r="D34" s="41">
        <v>8063000</v>
      </c>
      <c r="E34" s="95"/>
      <c r="F34" s="91"/>
      <c r="G34" s="91"/>
      <c r="H34" s="91"/>
      <c r="I34" s="231"/>
    </row>
    <row r="35" spans="1:9" ht="12.75">
      <c r="A35" s="90">
        <v>38533</v>
      </c>
      <c r="B35" s="91">
        <f t="shared" si="1"/>
        <v>2</v>
      </c>
      <c r="C35" s="41">
        <f t="shared" si="2"/>
        <v>177386000</v>
      </c>
      <c r="D35" s="41"/>
      <c r="E35" s="92">
        <v>0.0784</v>
      </c>
      <c r="F35" s="41">
        <v>3680020</v>
      </c>
      <c r="G35" s="91"/>
      <c r="H35" s="91"/>
      <c r="I35" s="231"/>
    </row>
    <row r="36" spans="1:9" ht="12.75">
      <c r="A36" s="90">
        <v>38623</v>
      </c>
      <c r="B36" s="91">
        <f t="shared" si="1"/>
        <v>90</v>
      </c>
      <c r="C36" s="41">
        <f t="shared" si="2"/>
        <v>169323000</v>
      </c>
      <c r="D36" s="41">
        <v>8063000</v>
      </c>
      <c r="E36" s="95"/>
      <c r="F36" s="91"/>
      <c r="G36" s="91"/>
      <c r="H36" s="91"/>
      <c r="I36" s="231"/>
    </row>
    <row r="37" spans="1:9" ht="12.75">
      <c r="A37" s="90">
        <v>38625</v>
      </c>
      <c r="B37" s="91">
        <f t="shared" si="1"/>
        <v>2</v>
      </c>
      <c r="C37" s="41">
        <f t="shared" si="2"/>
        <v>169323000</v>
      </c>
      <c r="D37" s="41"/>
      <c r="E37" s="92">
        <v>0.0702</v>
      </c>
      <c r="F37" s="41">
        <v>3183201</v>
      </c>
      <c r="G37" s="91"/>
      <c r="H37" s="91"/>
      <c r="I37" s="231"/>
    </row>
    <row r="38" spans="1:9" ht="12.75">
      <c r="A38" s="90">
        <v>38714</v>
      </c>
      <c r="B38" s="91">
        <f t="shared" si="1"/>
        <v>89</v>
      </c>
      <c r="C38" s="41">
        <f t="shared" si="2"/>
        <v>161260000</v>
      </c>
      <c r="D38" s="41">
        <v>8063000</v>
      </c>
      <c r="E38" s="95"/>
      <c r="F38" s="91"/>
      <c r="G38" s="91"/>
      <c r="H38" s="91"/>
      <c r="I38" s="231"/>
    </row>
    <row r="39" spans="1:9" ht="12.75">
      <c r="A39" s="97">
        <v>38716</v>
      </c>
      <c r="B39" s="98">
        <f t="shared" si="1"/>
        <v>2</v>
      </c>
      <c r="C39" s="99">
        <f t="shared" si="2"/>
        <v>161260000</v>
      </c>
      <c r="D39" s="99"/>
      <c r="E39" s="100">
        <v>0.061</v>
      </c>
      <c r="F39" s="41">
        <v>2612461</v>
      </c>
      <c r="G39" s="101">
        <f>SUM(F33:F39)</f>
        <v>14056819</v>
      </c>
      <c r="H39" s="101">
        <f>SUM(D32:D39)</f>
        <v>32252000</v>
      </c>
      <c r="I39" s="102">
        <f>SUM(G39:H39)</f>
        <v>46308819</v>
      </c>
    </row>
    <row r="40" spans="1:9" ht="12.75">
      <c r="A40" s="103">
        <v>38804</v>
      </c>
      <c r="B40" s="104">
        <f t="shared" si="1"/>
        <v>88</v>
      </c>
      <c r="C40" s="42">
        <f t="shared" si="2"/>
        <v>153197000</v>
      </c>
      <c r="D40" s="41">
        <v>8063000</v>
      </c>
      <c r="E40" s="105"/>
      <c r="F40" s="104"/>
      <c r="G40" s="104"/>
      <c r="H40" s="104"/>
      <c r="I40" s="242"/>
    </row>
    <row r="41" spans="1:9" ht="12.75">
      <c r="A41" s="90">
        <v>38807</v>
      </c>
      <c r="B41" s="91">
        <f t="shared" si="1"/>
        <v>3</v>
      </c>
      <c r="C41" s="41">
        <f t="shared" si="2"/>
        <v>153197000</v>
      </c>
      <c r="D41" s="41"/>
      <c r="E41" s="92">
        <v>0.0637</v>
      </c>
      <c r="F41" s="41">
        <v>2589901</v>
      </c>
      <c r="G41" s="91"/>
      <c r="H41" s="91"/>
      <c r="I41" s="231"/>
    </row>
    <row r="42" spans="1:9" ht="12.75">
      <c r="A42" s="90">
        <v>38896</v>
      </c>
      <c r="B42" s="91">
        <f t="shared" si="1"/>
        <v>89</v>
      </c>
      <c r="C42" s="41">
        <f t="shared" si="2"/>
        <v>145134000</v>
      </c>
      <c r="D42" s="41">
        <v>8063000</v>
      </c>
      <c r="E42" s="95"/>
      <c r="F42" s="91"/>
      <c r="G42" s="91"/>
      <c r="H42" s="91"/>
      <c r="I42" s="231"/>
    </row>
    <row r="43" spans="1:9" ht="12.75">
      <c r="A43" s="90">
        <v>38898</v>
      </c>
      <c r="B43" s="91">
        <f t="shared" si="1"/>
        <v>2</v>
      </c>
      <c r="C43" s="41">
        <f t="shared" si="2"/>
        <v>145134000</v>
      </c>
      <c r="D43" s="41"/>
      <c r="E43" s="92">
        <v>0.0643</v>
      </c>
      <c r="F43" s="41">
        <v>2486869</v>
      </c>
      <c r="G43" s="91"/>
      <c r="H43" s="91"/>
      <c r="I43" s="231"/>
    </row>
    <row r="44" spans="1:9" ht="12.75">
      <c r="A44" s="90">
        <v>38988</v>
      </c>
      <c r="B44" s="91">
        <f t="shared" si="1"/>
        <v>90</v>
      </c>
      <c r="C44" s="41">
        <f t="shared" si="2"/>
        <v>137071000</v>
      </c>
      <c r="D44" s="41">
        <v>8063000</v>
      </c>
      <c r="E44" s="95"/>
      <c r="F44" s="91"/>
      <c r="G44" s="91"/>
      <c r="H44" s="91"/>
      <c r="I44" s="231"/>
    </row>
    <row r="45" spans="1:9" ht="12.75">
      <c r="A45" s="90">
        <v>38989</v>
      </c>
      <c r="B45" s="91">
        <f t="shared" si="1"/>
        <v>1</v>
      </c>
      <c r="C45" s="41">
        <f t="shared" si="2"/>
        <v>137071000</v>
      </c>
      <c r="D45" s="41"/>
      <c r="E45" s="92">
        <v>0.0677</v>
      </c>
      <c r="F45" s="41">
        <v>2480799</v>
      </c>
      <c r="G45" s="91"/>
      <c r="H45" s="91"/>
      <c r="I45" s="231"/>
    </row>
    <row r="46" spans="1:9" ht="12.75">
      <c r="A46" s="90">
        <v>38991</v>
      </c>
      <c r="B46" s="91">
        <f>A46-A45</f>
        <v>2</v>
      </c>
      <c r="C46" s="41">
        <f>C45-D46</f>
        <v>137071000</v>
      </c>
      <c r="D46" s="41"/>
      <c r="E46" s="92">
        <v>0.0677</v>
      </c>
      <c r="F46" s="41"/>
      <c r="G46" s="91"/>
      <c r="H46" s="91"/>
      <c r="I46" s="231"/>
    </row>
    <row r="47" spans="1:9" ht="12.75">
      <c r="A47" s="90">
        <v>39079</v>
      </c>
      <c r="B47" s="91">
        <f>A47-A46</f>
        <v>88</v>
      </c>
      <c r="C47" s="41">
        <f>C46-D47</f>
        <v>129008000</v>
      </c>
      <c r="D47" s="41">
        <v>8063000</v>
      </c>
      <c r="E47" s="95"/>
      <c r="F47" s="91"/>
      <c r="G47" s="91"/>
      <c r="H47" s="91"/>
      <c r="I47" s="231"/>
    </row>
    <row r="48" spans="1:9" ht="12.75">
      <c r="A48" s="97">
        <v>39080</v>
      </c>
      <c r="B48" s="98">
        <f t="shared" si="1"/>
        <v>1</v>
      </c>
      <c r="C48" s="99">
        <f t="shared" si="2"/>
        <v>129008000</v>
      </c>
      <c r="D48" s="99"/>
      <c r="E48" s="100">
        <v>0.0804</v>
      </c>
      <c r="F48" s="41">
        <v>2774268</v>
      </c>
      <c r="G48" s="101">
        <f>SUM(F41:F48)</f>
        <v>10331837</v>
      </c>
      <c r="H48" s="101">
        <f>SUM(D40:D48)</f>
        <v>32252000</v>
      </c>
      <c r="I48" s="102">
        <f>SUM(G48:H48)</f>
        <v>42583837</v>
      </c>
    </row>
    <row r="49" spans="1:9" ht="12.75">
      <c r="A49" s="103">
        <v>39169</v>
      </c>
      <c r="B49" s="104">
        <f t="shared" si="1"/>
        <v>89</v>
      </c>
      <c r="C49" s="42">
        <f t="shared" si="2"/>
        <v>120945000</v>
      </c>
      <c r="D49" s="41">
        <v>8063000</v>
      </c>
      <c r="E49" s="105"/>
      <c r="F49" s="104"/>
      <c r="G49" s="104"/>
      <c r="H49" s="104"/>
      <c r="I49" s="242"/>
    </row>
    <row r="50" spans="1:9" ht="12.75">
      <c r="A50" s="90">
        <v>39171</v>
      </c>
      <c r="B50" s="91">
        <f t="shared" si="1"/>
        <v>2</v>
      </c>
      <c r="C50" s="41">
        <f t="shared" si="2"/>
        <v>120945000</v>
      </c>
      <c r="D50" s="41"/>
      <c r="E50" s="92">
        <v>0.0818</v>
      </c>
      <c r="F50" s="41">
        <v>2662358</v>
      </c>
      <c r="G50" s="91"/>
      <c r="H50" s="91"/>
      <c r="I50" s="231"/>
    </row>
    <row r="51" spans="1:9" ht="12.75">
      <c r="A51" s="90">
        <v>39261</v>
      </c>
      <c r="B51" s="91">
        <f t="shared" si="1"/>
        <v>90</v>
      </c>
      <c r="C51" s="41">
        <f t="shared" si="2"/>
        <v>112882000</v>
      </c>
      <c r="D51" s="41">
        <v>8063000</v>
      </c>
      <c r="E51" s="95"/>
      <c r="F51" s="91"/>
      <c r="G51" s="91"/>
      <c r="H51" s="91"/>
      <c r="I51" s="231"/>
    </row>
    <row r="52" spans="1:9" ht="12.75">
      <c r="A52" s="90">
        <v>39262</v>
      </c>
      <c r="B52" s="91">
        <f t="shared" si="1"/>
        <v>1</v>
      </c>
      <c r="C52" s="41">
        <f t="shared" si="2"/>
        <v>112882000</v>
      </c>
      <c r="D52" s="41"/>
      <c r="E52" s="92">
        <v>0.0803</v>
      </c>
      <c r="F52" s="41">
        <v>2454158</v>
      </c>
      <c r="G52" s="91"/>
      <c r="H52" s="91"/>
      <c r="I52" s="231"/>
    </row>
    <row r="53" spans="1:9" ht="12.75">
      <c r="A53" s="90">
        <v>39353</v>
      </c>
      <c r="B53" s="91">
        <f t="shared" si="1"/>
        <v>91</v>
      </c>
      <c r="C53" s="41">
        <f t="shared" si="2"/>
        <v>104819000</v>
      </c>
      <c r="D53" s="41">
        <v>8063000</v>
      </c>
      <c r="E53" s="95"/>
      <c r="F53" s="91"/>
      <c r="G53" s="91"/>
      <c r="H53" s="91"/>
      <c r="I53" s="231"/>
    </row>
    <row r="54" spans="1:9" ht="12.75">
      <c r="A54" s="90">
        <v>39353</v>
      </c>
      <c r="B54" s="91">
        <f t="shared" si="1"/>
        <v>0</v>
      </c>
      <c r="C54" s="41">
        <f t="shared" si="2"/>
        <v>104819000</v>
      </c>
      <c r="D54" s="41"/>
      <c r="E54" s="92">
        <v>0.079</v>
      </c>
      <c r="F54" s="41">
        <v>2255006</v>
      </c>
      <c r="G54" s="91"/>
      <c r="H54" s="91"/>
      <c r="I54" s="231"/>
    </row>
    <row r="55" spans="1:9" ht="12.75">
      <c r="A55" s="90">
        <v>39438</v>
      </c>
      <c r="B55" s="91"/>
      <c r="C55" s="41">
        <f t="shared" si="2"/>
        <v>0</v>
      </c>
      <c r="D55" s="41">
        <v>104819000</v>
      </c>
      <c r="E55" s="95">
        <v>0.0768</v>
      </c>
      <c r="F55" s="41">
        <v>1902640</v>
      </c>
      <c r="G55" s="91"/>
      <c r="H55" s="91"/>
      <c r="I55" s="231"/>
    </row>
    <row r="56" spans="1:9" ht="13.5" thickBot="1">
      <c r="A56" s="97"/>
      <c r="B56" s="98"/>
      <c r="C56" s="99"/>
      <c r="D56" s="99"/>
      <c r="E56" s="100"/>
      <c r="F56" s="99"/>
      <c r="G56" s="101">
        <f>SUM(F50:F56)</f>
        <v>9274162</v>
      </c>
      <c r="H56" s="101">
        <f>SUM(D49:D56)</f>
        <v>129008000</v>
      </c>
      <c r="I56" s="102">
        <f>SUM(G56:H56)</f>
        <v>138282162</v>
      </c>
    </row>
    <row r="57" spans="1:9" ht="13.5" thickTop="1">
      <c r="A57" s="563" t="s">
        <v>14</v>
      </c>
      <c r="B57" s="564"/>
      <c r="C57" s="565"/>
      <c r="D57" s="117">
        <f>SUM(D8:D56)</f>
        <v>286663000</v>
      </c>
      <c r="E57" s="118"/>
      <c r="F57" s="117">
        <f>SUM(F8:F56)</f>
        <v>100533638</v>
      </c>
      <c r="G57" s="117">
        <f>SUM(G8:G56)</f>
        <v>100533638</v>
      </c>
      <c r="H57" s="117">
        <f>SUM(H8:H56)</f>
        <v>286663000</v>
      </c>
      <c r="I57" s="119">
        <f>SUM(I8:I56)</f>
        <v>387196638</v>
      </c>
    </row>
    <row r="58" spans="1:2" ht="12.75">
      <c r="A58" s="120"/>
      <c r="B58" s="56"/>
    </row>
    <row r="59" spans="1:2" ht="12.75">
      <c r="A59" s="120"/>
      <c r="B59" s="56"/>
    </row>
    <row r="60" spans="2:6" ht="12.75">
      <c r="B60" s="58" t="s">
        <v>94</v>
      </c>
      <c r="C60" s="58"/>
      <c r="D60" s="58"/>
      <c r="E60" s="58"/>
      <c r="F60" s="287">
        <v>139059100</v>
      </c>
    </row>
    <row r="61" spans="2:6" ht="13.5" thickBot="1">
      <c r="B61" s="285" t="s">
        <v>95</v>
      </c>
      <c r="C61" s="285"/>
      <c r="D61" s="285"/>
      <c r="E61" s="285"/>
      <c r="F61" s="288">
        <v>147603900</v>
      </c>
    </row>
    <row r="62" spans="2:6" ht="13.5" thickTop="1">
      <c r="B62" s="290" t="s">
        <v>93</v>
      </c>
      <c r="C62" s="163"/>
      <c r="D62" s="163"/>
      <c r="E62" s="566">
        <f>SUM(F60:F61)</f>
        <v>286663000</v>
      </c>
      <c r="F62" s="566"/>
    </row>
    <row r="65" spans="5:6" ht="12.75">
      <c r="E65" s="58"/>
      <c r="F65" s="121"/>
    </row>
    <row r="66" spans="5:6" ht="12.75">
      <c r="E66" s="58"/>
      <c r="F66" s="121"/>
    </row>
    <row r="67" ht="12.75">
      <c r="E67" s="58"/>
    </row>
    <row r="68" ht="12.75">
      <c r="E68" s="58"/>
    </row>
    <row r="69" spans="5:6" ht="12.75">
      <c r="E69" s="58"/>
      <c r="F69" s="121"/>
    </row>
  </sheetData>
  <sheetProtection/>
  <mergeCells count="2">
    <mergeCell ref="A57:C57"/>
    <mergeCell ref="E62:F62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r:id="rId1"/>
  <headerFooter alignWithMargins="0">
    <oddHeader>&amp;C&amp;"Times New Roman CE,Félkövér"&amp;12Adósságszolgálat számítása az OTP tájékoztatása alapján&amp;"Times New Roman CE,Félkövér dőlt"
2001. decemberben és 2002. júniusban felvett 286.663 eFt hitel</oddHeader>
    <oddFooter>&amp;L&amp;9&amp;D
C:\Andi\adósságszolgálat\&amp;F\&amp;A&amp;R&amp;P/&amp;N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ySplit="7" topLeftCell="BM41" activePane="bottomLeft" state="frozen"/>
      <selection pane="topLeft" activeCell="A1" sqref="A1"/>
      <selection pane="bottomLeft" activeCell="D47" sqref="D47"/>
    </sheetView>
  </sheetViews>
  <sheetFormatPr defaultColWidth="9.00390625" defaultRowHeight="12.75"/>
  <cols>
    <col min="1" max="1" width="10.625" style="58" customWidth="1"/>
    <col min="2" max="2" width="6.375" style="58" customWidth="1"/>
    <col min="3" max="3" width="10.875" style="58" customWidth="1"/>
    <col min="4" max="4" width="12.375" style="58" customWidth="1"/>
    <col min="5" max="5" width="7.375" style="122" customWidth="1"/>
    <col min="6" max="6" width="12.625" style="58" bestFit="1" customWidth="1"/>
    <col min="7" max="7" width="12.50390625" style="58" customWidth="1"/>
    <col min="8" max="9" width="12.625" style="58" bestFit="1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9" ht="12.75">
      <c r="A1" s="163" t="s">
        <v>240</v>
      </c>
      <c r="B1" s="162"/>
      <c r="C1" s="163"/>
      <c r="D1" s="163"/>
      <c r="E1" s="164"/>
      <c r="F1" s="163"/>
      <c r="H1" s="163"/>
      <c r="I1" s="163"/>
    </row>
    <row r="2" spans="1:9" ht="12.75">
      <c r="A2" s="58" t="s">
        <v>58</v>
      </c>
      <c r="C2" s="58" t="s">
        <v>59</v>
      </c>
      <c r="E2" s="165"/>
      <c r="F2" s="132"/>
      <c r="G2" s="132"/>
      <c r="H2" s="132"/>
      <c r="I2" s="132"/>
    </row>
    <row r="3" spans="1:9" ht="12.75">
      <c r="A3" s="135" t="s">
        <v>15</v>
      </c>
      <c r="B3" s="133"/>
      <c r="C3" s="132"/>
      <c r="D3" s="132"/>
      <c r="E3" s="165"/>
      <c r="F3" s="132"/>
      <c r="G3" s="132"/>
      <c r="H3" s="132"/>
      <c r="I3" s="132"/>
    </row>
    <row r="4" spans="1:9" ht="12.75">
      <c r="A4" s="134"/>
      <c r="B4" s="133"/>
      <c r="C4" s="132"/>
      <c r="D4" s="132"/>
      <c r="E4" s="165"/>
      <c r="F4" s="132"/>
      <c r="G4" s="132"/>
      <c r="H4" s="132"/>
      <c r="I4" s="185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33</v>
      </c>
      <c r="E5" s="166" t="s">
        <v>20</v>
      </c>
      <c r="F5" s="68" t="s">
        <v>38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/>
      <c r="E6" s="167" t="s">
        <v>57</v>
      </c>
      <c r="F6" s="272"/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169" t="s">
        <v>41</v>
      </c>
      <c r="F7" s="80"/>
      <c r="G7" s="82"/>
      <c r="H7" s="82" t="s">
        <v>13</v>
      </c>
      <c r="I7" s="83" t="s">
        <v>12</v>
      </c>
    </row>
    <row r="8" spans="1:9" ht="12.75">
      <c r="A8" s="84">
        <v>37591</v>
      </c>
      <c r="B8" s="137"/>
      <c r="C8" s="138">
        <v>305133000</v>
      </c>
      <c r="D8" s="138"/>
      <c r="E8" s="170"/>
      <c r="F8" s="138"/>
      <c r="G8" s="148"/>
      <c r="H8" s="148"/>
      <c r="I8" s="149"/>
    </row>
    <row r="9" spans="1:9" ht="12.75">
      <c r="A9" s="142">
        <v>37621</v>
      </c>
      <c r="B9" s="108">
        <f>A9-A8</f>
        <v>30</v>
      </c>
      <c r="C9" s="143">
        <f>C8-D9</f>
        <v>305133000</v>
      </c>
      <c r="D9" s="143"/>
      <c r="E9" s="172">
        <v>0.0975</v>
      </c>
      <c r="F9" s="143">
        <v>1156963</v>
      </c>
      <c r="G9" s="150">
        <f>SUM(F8:F9)</f>
        <v>1156963</v>
      </c>
      <c r="H9" s="150">
        <v>0</v>
      </c>
      <c r="I9" s="151">
        <f>SUM(G9:H9)</f>
        <v>1156963</v>
      </c>
    </row>
    <row r="10" spans="1:9" ht="12.75">
      <c r="A10" s="103">
        <v>37711</v>
      </c>
      <c r="B10" s="173">
        <f aca="true" t="shared" si="0" ref="B10:B46">A10-A9</f>
        <v>90</v>
      </c>
      <c r="C10" s="171">
        <f aca="true" t="shared" si="1" ref="C10:C47">C9-D10</f>
        <v>305133000</v>
      </c>
      <c r="D10" s="139"/>
      <c r="E10" s="174">
        <v>0.0847</v>
      </c>
      <c r="F10" s="171">
        <v>6493739</v>
      </c>
      <c r="G10" s="140"/>
      <c r="H10" s="140"/>
      <c r="I10" s="141"/>
    </row>
    <row r="11" spans="1:9" ht="12.75">
      <c r="A11" s="84">
        <v>37802</v>
      </c>
      <c r="B11" s="91">
        <f t="shared" si="0"/>
        <v>91</v>
      </c>
      <c r="C11" s="41">
        <f t="shared" si="1"/>
        <v>305133000</v>
      </c>
      <c r="D11" s="138"/>
      <c r="E11" s="170">
        <v>0.0665</v>
      </c>
      <c r="F11" s="41">
        <v>5144627</v>
      </c>
      <c r="G11" s="148"/>
      <c r="H11" s="148"/>
      <c r="I11" s="149"/>
    </row>
    <row r="12" spans="1:9" ht="12.75">
      <c r="A12" s="84">
        <v>37892</v>
      </c>
      <c r="B12" s="91">
        <f t="shared" si="0"/>
        <v>90</v>
      </c>
      <c r="C12" s="41">
        <f t="shared" si="1"/>
        <v>294959000</v>
      </c>
      <c r="D12" s="138">
        <v>10174000</v>
      </c>
      <c r="E12" s="170"/>
      <c r="F12" s="41"/>
      <c r="G12" s="148"/>
      <c r="H12" s="148"/>
      <c r="I12" s="149"/>
    </row>
    <row r="13" spans="1:11" ht="12.75">
      <c r="A13" s="84">
        <v>37894</v>
      </c>
      <c r="B13" s="91">
        <f t="shared" si="0"/>
        <v>2</v>
      </c>
      <c r="C13" s="41">
        <f t="shared" si="1"/>
        <v>294959000</v>
      </c>
      <c r="D13" s="138"/>
      <c r="E13" s="170">
        <v>0.0893</v>
      </c>
      <c r="F13" s="41">
        <v>6939102</v>
      </c>
      <c r="G13" s="148"/>
      <c r="H13" s="148"/>
      <c r="I13" s="149"/>
      <c r="K13" s="121"/>
    </row>
    <row r="14" spans="1:9" ht="12.75">
      <c r="A14" s="84">
        <v>37983</v>
      </c>
      <c r="B14" s="91">
        <f t="shared" si="0"/>
        <v>89</v>
      </c>
      <c r="C14" s="41">
        <f t="shared" si="1"/>
        <v>284788000</v>
      </c>
      <c r="D14" s="138">
        <v>10171000</v>
      </c>
      <c r="E14" s="170"/>
      <c r="F14" s="41"/>
      <c r="G14" s="148"/>
      <c r="H14" s="148"/>
      <c r="I14" s="149"/>
    </row>
    <row r="15" spans="1:9" ht="12.75">
      <c r="A15" s="142">
        <v>37986</v>
      </c>
      <c r="B15" s="112">
        <f t="shared" si="0"/>
        <v>3</v>
      </c>
      <c r="C15" s="143">
        <f t="shared" si="1"/>
        <v>284788000</v>
      </c>
      <c r="D15" s="143"/>
      <c r="E15" s="172">
        <v>0.0961</v>
      </c>
      <c r="F15" s="99">
        <v>7230149</v>
      </c>
      <c r="G15" s="150">
        <f>SUM(F10:F15)</f>
        <v>25807617</v>
      </c>
      <c r="H15" s="150">
        <f>SUM(D10:D15)</f>
        <v>20345000</v>
      </c>
      <c r="I15" s="151">
        <f>SUM(G15:H15)</f>
        <v>46152617</v>
      </c>
    </row>
    <row r="16" spans="1:9" ht="12.75">
      <c r="A16" s="103">
        <v>38074</v>
      </c>
      <c r="B16" s="104">
        <f t="shared" si="0"/>
        <v>88</v>
      </c>
      <c r="C16" s="171">
        <f t="shared" si="1"/>
        <v>274617000</v>
      </c>
      <c r="D16" s="138">
        <v>10171000</v>
      </c>
      <c r="E16" s="170"/>
      <c r="F16" s="171"/>
      <c r="G16" s="140"/>
      <c r="H16" s="140"/>
      <c r="I16" s="141"/>
    </row>
    <row r="17" spans="1:11" ht="12.75">
      <c r="A17" s="84">
        <v>38077</v>
      </c>
      <c r="B17" s="91">
        <f t="shared" si="0"/>
        <v>3</v>
      </c>
      <c r="C17" s="41">
        <f t="shared" si="1"/>
        <v>274617000</v>
      </c>
      <c r="D17" s="138"/>
      <c r="E17" s="170">
        <v>0.1255</v>
      </c>
      <c r="F17" s="41">
        <v>9004155</v>
      </c>
      <c r="G17" s="148"/>
      <c r="H17" s="148"/>
      <c r="I17" s="149"/>
      <c r="K17" s="121"/>
    </row>
    <row r="18" spans="1:9" ht="12.75">
      <c r="A18" s="84">
        <v>38166</v>
      </c>
      <c r="B18" s="112">
        <f t="shared" si="0"/>
        <v>89</v>
      </c>
      <c r="C18" s="41">
        <f t="shared" si="1"/>
        <v>264446000</v>
      </c>
      <c r="D18" s="138">
        <v>10171000</v>
      </c>
      <c r="E18" s="170"/>
      <c r="F18" s="41"/>
      <c r="G18" s="148"/>
      <c r="H18" s="148"/>
      <c r="I18" s="149"/>
    </row>
    <row r="19" spans="1:9" ht="12.75">
      <c r="A19" s="84">
        <v>38168</v>
      </c>
      <c r="B19" s="108">
        <f t="shared" si="0"/>
        <v>2</v>
      </c>
      <c r="C19" s="41">
        <f t="shared" si="1"/>
        <v>264446000</v>
      </c>
      <c r="D19" s="138"/>
      <c r="E19" s="170">
        <v>0.1197</v>
      </c>
      <c r="F19" s="41">
        <v>8306885</v>
      </c>
      <c r="G19" s="148"/>
      <c r="H19" s="148"/>
      <c r="I19" s="149"/>
    </row>
    <row r="20" spans="1:9" ht="12.75">
      <c r="A20" s="84">
        <v>38258</v>
      </c>
      <c r="B20" s="108">
        <f t="shared" si="0"/>
        <v>90</v>
      </c>
      <c r="C20" s="41">
        <f t="shared" si="1"/>
        <v>254275000</v>
      </c>
      <c r="D20" s="138">
        <v>10171000</v>
      </c>
      <c r="E20" s="170"/>
      <c r="F20" s="41"/>
      <c r="G20" s="148"/>
      <c r="H20" s="148"/>
      <c r="I20" s="149"/>
    </row>
    <row r="21" spans="1:9" ht="12.75">
      <c r="A21" s="84">
        <v>38260</v>
      </c>
      <c r="B21" s="108">
        <f t="shared" si="0"/>
        <v>2</v>
      </c>
      <c r="C21" s="41">
        <f t="shared" si="1"/>
        <v>254275000</v>
      </c>
      <c r="D21" s="138"/>
      <c r="E21" s="170">
        <v>0.1167</v>
      </c>
      <c r="F21" s="41">
        <v>7882271</v>
      </c>
      <c r="G21" s="148"/>
      <c r="H21" s="148"/>
      <c r="I21" s="149"/>
    </row>
    <row r="22" spans="1:9" ht="12.75">
      <c r="A22" s="84">
        <v>38349</v>
      </c>
      <c r="B22" s="108">
        <f t="shared" si="0"/>
        <v>89</v>
      </c>
      <c r="C22" s="41">
        <f t="shared" si="1"/>
        <v>244104000</v>
      </c>
      <c r="D22" s="138">
        <v>10171000</v>
      </c>
      <c r="E22" s="170"/>
      <c r="F22" s="41"/>
      <c r="G22" s="148"/>
      <c r="H22" s="148"/>
      <c r="I22" s="149"/>
    </row>
    <row r="23" spans="1:9" ht="12.75">
      <c r="A23" s="142">
        <v>38352</v>
      </c>
      <c r="B23" s="108">
        <f t="shared" si="0"/>
        <v>3</v>
      </c>
      <c r="C23" s="143">
        <f t="shared" si="1"/>
        <v>244104000</v>
      </c>
      <c r="D23" s="143"/>
      <c r="E23" s="172">
        <v>0.111</v>
      </c>
      <c r="F23" s="99">
        <v>7207552</v>
      </c>
      <c r="G23" s="150">
        <f>SUM(F16:F23)</f>
        <v>32400863</v>
      </c>
      <c r="H23" s="150">
        <f>SUM(D16:D23)</f>
        <v>40684000</v>
      </c>
      <c r="I23" s="151">
        <f>SUM(G23:H23)</f>
        <v>73084863</v>
      </c>
    </row>
    <row r="24" spans="1:9" ht="12.75">
      <c r="A24" s="103">
        <v>38440</v>
      </c>
      <c r="B24" s="173">
        <f t="shared" si="0"/>
        <v>88</v>
      </c>
      <c r="C24" s="171">
        <f t="shared" si="1"/>
        <v>233933000</v>
      </c>
      <c r="D24" s="138">
        <v>10171000</v>
      </c>
      <c r="E24" s="170"/>
      <c r="F24" s="171"/>
      <c r="G24" s="140"/>
      <c r="H24" s="140"/>
      <c r="I24" s="141"/>
    </row>
    <row r="25" spans="1:9" ht="12.75">
      <c r="A25" s="84">
        <v>38442</v>
      </c>
      <c r="B25" s="108">
        <f t="shared" si="0"/>
        <v>2</v>
      </c>
      <c r="C25" s="41">
        <f t="shared" si="1"/>
        <v>233933000</v>
      </c>
      <c r="D25" s="138"/>
      <c r="E25" s="170">
        <v>0.0946</v>
      </c>
      <c r="F25" s="41">
        <v>5778834</v>
      </c>
      <c r="G25" s="148"/>
      <c r="H25" s="148"/>
      <c r="I25" s="149"/>
    </row>
    <row r="26" spans="1:9" ht="12.75">
      <c r="A26" s="84">
        <v>38531</v>
      </c>
      <c r="B26" s="108">
        <f t="shared" si="0"/>
        <v>89</v>
      </c>
      <c r="C26" s="41">
        <f t="shared" si="1"/>
        <v>223762000</v>
      </c>
      <c r="D26" s="138">
        <v>10171000</v>
      </c>
      <c r="E26" s="170"/>
      <c r="F26" s="41"/>
      <c r="G26" s="148"/>
      <c r="H26" s="148"/>
      <c r="I26" s="149"/>
    </row>
    <row r="27" spans="1:9" ht="12.75">
      <c r="A27" s="84">
        <v>38533</v>
      </c>
      <c r="B27" s="108">
        <f t="shared" si="0"/>
        <v>2</v>
      </c>
      <c r="C27" s="41">
        <f t="shared" si="1"/>
        <v>223762000</v>
      </c>
      <c r="D27" s="138"/>
      <c r="E27" s="170">
        <v>0.0784</v>
      </c>
      <c r="F27" s="41">
        <v>4642129</v>
      </c>
      <c r="G27" s="148"/>
      <c r="H27" s="148"/>
      <c r="I27" s="149"/>
    </row>
    <row r="28" spans="1:9" ht="12.75">
      <c r="A28" s="84">
        <v>38623</v>
      </c>
      <c r="B28" s="108">
        <f t="shared" si="0"/>
        <v>90</v>
      </c>
      <c r="C28" s="41">
        <f t="shared" si="1"/>
        <v>213591000</v>
      </c>
      <c r="D28" s="138">
        <v>10171000</v>
      </c>
      <c r="E28" s="170"/>
      <c r="F28" s="41"/>
      <c r="G28" s="148"/>
      <c r="H28" s="148"/>
      <c r="I28" s="149"/>
    </row>
    <row r="29" spans="1:9" ht="12.75">
      <c r="A29" s="84">
        <v>38625</v>
      </c>
      <c r="B29" s="108">
        <f t="shared" si="0"/>
        <v>2</v>
      </c>
      <c r="C29" s="41">
        <f t="shared" si="1"/>
        <v>213591000</v>
      </c>
      <c r="D29" s="138"/>
      <c r="E29" s="170">
        <v>0.0702</v>
      </c>
      <c r="F29" s="41">
        <v>4015420</v>
      </c>
      <c r="G29" s="148"/>
      <c r="H29" s="148"/>
      <c r="I29" s="149"/>
    </row>
    <row r="30" spans="1:9" ht="12.75">
      <c r="A30" s="84">
        <v>38714</v>
      </c>
      <c r="B30" s="108">
        <f t="shared" si="0"/>
        <v>89</v>
      </c>
      <c r="C30" s="41">
        <f t="shared" si="1"/>
        <v>203420000</v>
      </c>
      <c r="D30" s="138">
        <v>10171000</v>
      </c>
      <c r="E30" s="170"/>
      <c r="F30" s="41"/>
      <c r="G30" s="148"/>
      <c r="H30" s="148"/>
      <c r="I30" s="149"/>
    </row>
    <row r="31" spans="1:9" ht="12.75">
      <c r="A31" s="142">
        <v>38716</v>
      </c>
      <c r="B31" s="98">
        <f t="shared" si="0"/>
        <v>2</v>
      </c>
      <c r="C31" s="143">
        <f t="shared" si="1"/>
        <v>203420000</v>
      </c>
      <c r="D31" s="143"/>
      <c r="E31" s="172">
        <v>0.061</v>
      </c>
      <c r="F31" s="99">
        <v>3295466</v>
      </c>
      <c r="G31" s="150">
        <f>SUM(F24:F31)</f>
        <v>17731849</v>
      </c>
      <c r="H31" s="150">
        <f>SUM(D24:D31)</f>
        <v>40684000</v>
      </c>
      <c r="I31" s="151">
        <f>SUM(G31:H31)</f>
        <v>58415849</v>
      </c>
    </row>
    <row r="32" spans="1:9" ht="12.75">
      <c r="A32" s="103">
        <v>38804</v>
      </c>
      <c r="B32" s="112">
        <f t="shared" si="0"/>
        <v>88</v>
      </c>
      <c r="C32" s="171">
        <f t="shared" si="1"/>
        <v>193249000</v>
      </c>
      <c r="D32" s="138">
        <v>10171000</v>
      </c>
      <c r="E32" s="170"/>
      <c r="F32" s="171"/>
      <c r="G32" s="140"/>
      <c r="H32" s="140"/>
      <c r="I32" s="141"/>
    </row>
    <row r="33" spans="1:9" ht="12.75">
      <c r="A33" s="84">
        <v>38807</v>
      </c>
      <c r="B33" s="108">
        <f t="shared" si="0"/>
        <v>3</v>
      </c>
      <c r="C33" s="41">
        <f t="shared" si="1"/>
        <v>193249000</v>
      </c>
      <c r="D33" s="138"/>
      <c r="E33" s="170">
        <v>0.0637</v>
      </c>
      <c r="F33" s="41">
        <v>3267007</v>
      </c>
      <c r="G33" s="148"/>
      <c r="H33" s="148"/>
      <c r="I33" s="149"/>
    </row>
    <row r="34" spans="1:9" ht="12.75">
      <c r="A34" s="84">
        <v>38896</v>
      </c>
      <c r="B34" s="108">
        <f t="shared" si="0"/>
        <v>89</v>
      </c>
      <c r="C34" s="41">
        <f t="shared" si="1"/>
        <v>183078000</v>
      </c>
      <c r="D34" s="138">
        <v>10171000</v>
      </c>
      <c r="E34" s="170"/>
      <c r="F34" s="41"/>
      <c r="G34" s="148"/>
      <c r="H34" s="148"/>
      <c r="I34" s="149"/>
    </row>
    <row r="35" spans="1:9" ht="12.75">
      <c r="A35" s="84">
        <v>38898</v>
      </c>
      <c r="B35" s="108">
        <f t="shared" si="0"/>
        <v>2</v>
      </c>
      <c r="C35" s="41">
        <f t="shared" si="1"/>
        <v>183078000</v>
      </c>
      <c r="D35" s="138"/>
      <c r="E35" s="170">
        <v>0.0643</v>
      </c>
      <c r="F35" s="41">
        <v>3137039</v>
      </c>
      <c r="G35" s="148"/>
      <c r="H35" s="148"/>
      <c r="I35" s="149"/>
    </row>
    <row r="36" spans="1:9" ht="12.75">
      <c r="A36" s="84">
        <v>38988</v>
      </c>
      <c r="B36" s="108">
        <f t="shared" si="0"/>
        <v>90</v>
      </c>
      <c r="C36" s="41">
        <f t="shared" si="1"/>
        <v>172907000</v>
      </c>
      <c r="D36" s="138">
        <v>10171000</v>
      </c>
      <c r="E36" s="170"/>
      <c r="F36" s="41"/>
      <c r="G36" s="148"/>
      <c r="H36" s="148"/>
      <c r="I36" s="149"/>
    </row>
    <row r="37" spans="1:9" ht="12.75">
      <c r="A37" s="84">
        <v>38989</v>
      </c>
      <c r="B37" s="108">
        <f t="shared" si="0"/>
        <v>1</v>
      </c>
      <c r="C37" s="41">
        <f t="shared" si="1"/>
        <v>172907000</v>
      </c>
      <c r="D37" s="138"/>
      <c r="E37" s="170">
        <v>0.0677</v>
      </c>
      <c r="F37" s="41">
        <v>3129382</v>
      </c>
      <c r="G37" s="148"/>
      <c r="H37" s="148"/>
      <c r="I37" s="149"/>
    </row>
    <row r="38" spans="1:9" ht="12.75">
      <c r="A38" s="84">
        <v>38991</v>
      </c>
      <c r="B38" s="108">
        <f>A38-A37</f>
        <v>2</v>
      </c>
      <c r="C38" s="41">
        <f>C37-D38</f>
        <v>172907000</v>
      </c>
      <c r="D38" s="138"/>
      <c r="E38" s="170">
        <v>0.0677</v>
      </c>
      <c r="F38" s="41"/>
      <c r="G38" s="148"/>
      <c r="H38" s="148"/>
      <c r="I38" s="149"/>
    </row>
    <row r="39" spans="1:9" ht="12.75">
      <c r="A39" s="84">
        <v>39079</v>
      </c>
      <c r="B39" s="108">
        <f>A39-A38</f>
        <v>88</v>
      </c>
      <c r="C39" s="41">
        <f>C38-D39</f>
        <v>162736000</v>
      </c>
      <c r="D39" s="138">
        <v>10171000</v>
      </c>
      <c r="E39" s="170"/>
      <c r="F39" s="41"/>
      <c r="G39" s="148"/>
      <c r="H39" s="148"/>
      <c r="I39" s="149"/>
    </row>
    <row r="40" spans="1:9" ht="12.75">
      <c r="A40" s="142">
        <v>39080</v>
      </c>
      <c r="B40" s="108">
        <f t="shared" si="0"/>
        <v>1</v>
      </c>
      <c r="C40" s="143">
        <f t="shared" si="1"/>
        <v>162736000</v>
      </c>
      <c r="D40" s="143"/>
      <c r="E40" s="172">
        <v>0.0804</v>
      </c>
      <c r="F40" s="99">
        <v>3499576</v>
      </c>
      <c r="G40" s="150">
        <f>SUM(F32:F40)</f>
        <v>13033004</v>
      </c>
      <c r="H40" s="150">
        <f>SUM(D32:D40)</f>
        <v>40684000</v>
      </c>
      <c r="I40" s="151">
        <f>SUM(G40:H40)</f>
        <v>53717004</v>
      </c>
    </row>
    <row r="41" spans="1:9" ht="12.75">
      <c r="A41" s="103">
        <v>39169</v>
      </c>
      <c r="B41" s="173">
        <f t="shared" si="0"/>
        <v>89</v>
      </c>
      <c r="C41" s="171">
        <f t="shared" si="1"/>
        <v>152565000</v>
      </c>
      <c r="D41" s="138">
        <v>10171000</v>
      </c>
      <c r="E41" s="170"/>
      <c r="F41" s="171"/>
      <c r="G41" s="140"/>
      <c r="H41" s="140"/>
      <c r="I41" s="141"/>
    </row>
    <row r="42" spans="1:9" ht="12.75">
      <c r="A42" s="84">
        <v>39171</v>
      </c>
      <c r="B42" s="108">
        <f t="shared" si="0"/>
        <v>2</v>
      </c>
      <c r="C42" s="41">
        <f t="shared" si="1"/>
        <v>152565000</v>
      </c>
      <c r="D42" s="138"/>
      <c r="E42" s="170">
        <v>0.0818</v>
      </c>
      <c r="F42" s="41">
        <v>3358408</v>
      </c>
      <c r="G42" s="148"/>
      <c r="H42" s="148"/>
      <c r="I42" s="149"/>
    </row>
    <row r="43" spans="1:9" ht="12.75">
      <c r="A43" s="84">
        <v>39261</v>
      </c>
      <c r="B43" s="108">
        <f t="shared" si="0"/>
        <v>90</v>
      </c>
      <c r="C43" s="41">
        <f t="shared" si="1"/>
        <v>142394000</v>
      </c>
      <c r="D43" s="138">
        <v>10171000</v>
      </c>
      <c r="E43" s="170"/>
      <c r="F43" s="41"/>
      <c r="G43" s="148"/>
      <c r="H43" s="148"/>
      <c r="I43" s="149"/>
    </row>
    <row r="44" spans="1:9" ht="12.75">
      <c r="A44" s="84">
        <v>39262</v>
      </c>
      <c r="B44" s="108">
        <f t="shared" si="0"/>
        <v>1</v>
      </c>
      <c r="C44" s="41">
        <f t="shared" si="1"/>
        <v>142394000</v>
      </c>
      <c r="D44" s="138"/>
      <c r="E44" s="170">
        <v>0.0803</v>
      </c>
      <c r="F44" s="41">
        <v>3095776</v>
      </c>
      <c r="G44" s="148"/>
      <c r="H44" s="148"/>
      <c r="I44" s="149"/>
    </row>
    <row r="45" spans="1:9" ht="12.75">
      <c r="A45" s="84">
        <v>39353</v>
      </c>
      <c r="B45" s="108">
        <f t="shared" si="0"/>
        <v>91</v>
      </c>
      <c r="C45" s="41">
        <f t="shared" si="1"/>
        <v>132223000</v>
      </c>
      <c r="D45" s="138">
        <v>10171000</v>
      </c>
      <c r="E45" s="170"/>
      <c r="F45" s="41"/>
      <c r="G45" s="148"/>
      <c r="H45" s="148"/>
      <c r="I45" s="149"/>
    </row>
    <row r="46" spans="1:9" ht="12.75">
      <c r="A46" s="84">
        <v>39353</v>
      </c>
      <c r="B46" s="108">
        <f t="shared" si="0"/>
        <v>0</v>
      </c>
      <c r="C46" s="41">
        <f t="shared" si="1"/>
        <v>132223000</v>
      </c>
      <c r="D46" s="138"/>
      <c r="E46" s="170">
        <v>0.079</v>
      </c>
      <c r="F46" s="41">
        <v>2844557</v>
      </c>
      <c r="G46" s="148"/>
      <c r="H46" s="148"/>
      <c r="I46" s="149"/>
    </row>
    <row r="47" spans="1:9" ht="12.75">
      <c r="A47" s="84">
        <v>39438</v>
      </c>
      <c r="B47" s="108"/>
      <c r="C47" s="41">
        <f t="shared" si="1"/>
        <v>0</v>
      </c>
      <c r="D47" s="138">
        <v>132223000</v>
      </c>
      <c r="E47" s="170">
        <v>0.0768</v>
      </c>
      <c r="F47" s="41">
        <v>2400068</v>
      </c>
      <c r="G47" s="148"/>
      <c r="H47" s="148"/>
      <c r="I47" s="149"/>
    </row>
    <row r="48" spans="1:9" ht="13.5" thickBot="1">
      <c r="A48" s="223"/>
      <c r="B48" s="108"/>
      <c r="C48" s="171"/>
      <c r="D48" s="171"/>
      <c r="E48" s="230"/>
      <c r="F48" s="107"/>
      <c r="G48" s="225">
        <f>SUM(F41:F48)</f>
        <v>11698809</v>
      </c>
      <c r="H48" s="225">
        <f>SUM(D41:D48)</f>
        <v>162736000</v>
      </c>
      <c r="I48" s="226">
        <f>SUM(G48:H48)</f>
        <v>174434809</v>
      </c>
    </row>
    <row r="49" spans="1:9" ht="13.5" thickTop="1">
      <c r="A49" s="157" t="s">
        <v>14</v>
      </c>
      <c r="B49" s="158"/>
      <c r="C49" s="159"/>
      <c r="D49" s="160">
        <f>SUM(D8:D48)</f>
        <v>305133000</v>
      </c>
      <c r="E49" s="178"/>
      <c r="F49" s="160">
        <f>SUM(F8:F48)</f>
        <v>101829105</v>
      </c>
      <c r="G49" s="247">
        <f>SUM(G8:G48)</f>
        <v>101829105</v>
      </c>
      <c r="H49" s="247">
        <f>SUM(H8:H48)</f>
        <v>305133000</v>
      </c>
      <c r="I49" s="179">
        <f>SUM(I8:I48)</f>
        <v>406962105</v>
      </c>
    </row>
    <row r="52" spans="3:6" ht="12.75">
      <c r="C52" s="121"/>
      <c r="D52" s="121"/>
      <c r="E52" s="58"/>
      <c r="F52" s="121"/>
    </row>
    <row r="53" spans="3:6" ht="12.75">
      <c r="C53" s="121"/>
      <c r="D53" s="121"/>
      <c r="E53" s="58"/>
      <c r="F53" s="121"/>
    </row>
    <row r="54" spans="3:5" ht="12.75">
      <c r="C54" s="121"/>
      <c r="D54" s="121"/>
      <c r="E54" s="58"/>
    </row>
    <row r="55" spans="3:5" ht="12.75">
      <c r="C55" s="121"/>
      <c r="D55" s="121"/>
      <c r="E55" s="58"/>
    </row>
    <row r="56" spans="3:6" ht="12.75">
      <c r="C56" s="121"/>
      <c r="D56" s="121"/>
      <c r="E56" s="58"/>
      <c r="F56" s="121"/>
    </row>
  </sheetData>
  <sheetProtection/>
  <printOptions horizontalCentered="1"/>
  <pageMargins left="0.5905511811023623" right="0.5905511811023623" top="0.7874015748031497" bottom="0.5905511811023623" header="0.1968503937007874" footer="0.1968503937007874"/>
  <pageSetup horizontalDpi="300" verticalDpi="300" orientation="portrait" paperSize="9" r:id="rId1"/>
  <headerFooter alignWithMargins="0">
    <oddHeader xml:space="preserve">&amp;C&amp;"Times New Roman CE,Félkövér"&amp;12Adósságszolgálat számítása az OTP tájékoztatása alapján &amp;"Times New Roman CE,Félkövér dőlt"
2002. decemberben felvett 305.133 eFt hitel </oddHeader>
    <oddFooter>&amp;L&amp;9&amp;D
C:\Andi\adósságszolgálat\&amp;F\&amp;A&amp;R&amp;P/&amp;N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7" topLeftCell="BM41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11.375" style="58" customWidth="1"/>
    <col min="2" max="2" width="6.875" style="121" customWidth="1"/>
    <col min="3" max="3" width="12.125" style="121" customWidth="1"/>
    <col min="4" max="4" width="12.625" style="121" customWidth="1"/>
    <col min="5" max="5" width="8.00390625" style="122" customWidth="1"/>
    <col min="6" max="6" width="12.625" style="58" bestFit="1" customWidth="1"/>
    <col min="7" max="7" width="14.625" style="121" customWidth="1"/>
    <col min="8" max="8" width="12.625" style="58" bestFit="1" customWidth="1"/>
    <col min="9" max="9" width="14.375" style="121" customWidth="1"/>
    <col min="10" max="10" width="9.375" style="58" customWidth="1"/>
    <col min="11" max="11" width="11.125" style="58" bestFit="1" customWidth="1"/>
    <col min="12" max="16384" width="9.375" style="58" customWidth="1"/>
  </cols>
  <sheetData>
    <row r="1" spans="1:6" ht="12.75">
      <c r="A1" s="54" t="s">
        <v>241</v>
      </c>
      <c r="B1" s="54"/>
      <c r="C1" s="273"/>
      <c r="D1" s="57"/>
      <c r="E1" s="55"/>
      <c r="F1" s="56"/>
    </row>
    <row r="2" spans="1:9" ht="12.75">
      <c r="A2" s="59" t="s">
        <v>15</v>
      </c>
      <c r="B2" s="60"/>
      <c r="C2" s="60"/>
      <c r="D2" s="60"/>
      <c r="E2" s="61"/>
      <c r="F2" s="60"/>
      <c r="G2" s="60"/>
      <c r="H2" s="60"/>
      <c r="I2" s="60"/>
    </row>
    <row r="3" spans="1:9" ht="12.75">
      <c r="A3" s="59" t="s">
        <v>62</v>
      </c>
      <c r="B3" s="60"/>
      <c r="C3" s="60"/>
      <c r="D3" s="60"/>
      <c r="E3" s="61"/>
      <c r="F3" s="60"/>
      <c r="G3" s="60"/>
      <c r="H3" s="60"/>
      <c r="I3" s="60"/>
    </row>
    <row r="4" spans="1:9" ht="12.75">
      <c r="A4" s="62"/>
      <c r="B4" s="63"/>
      <c r="C4" s="63"/>
      <c r="D4" s="64"/>
      <c r="E4" s="65"/>
      <c r="F4" s="64"/>
      <c r="G4" s="64"/>
      <c r="H4" s="64"/>
      <c r="I4" s="64" t="s">
        <v>2</v>
      </c>
    </row>
    <row r="5" spans="1:9" ht="12.75">
      <c r="A5" s="66" t="s">
        <v>3</v>
      </c>
      <c r="B5" s="67" t="s">
        <v>4</v>
      </c>
      <c r="C5" s="68" t="s">
        <v>5</v>
      </c>
      <c r="D5" s="68" t="s">
        <v>21</v>
      </c>
      <c r="E5" s="68" t="s">
        <v>18</v>
      </c>
      <c r="F5" s="69" t="s">
        <v>20</v>
      </c>
      <c r="G5" s="70" t="s">
        <v>6</v>
      </c>
      <c r="H5" s="70" t="s">
        <v>6</v>
      </c>
      <c r="I5" s="71" t="s">
        <v>6</v>
      </c>
    </row>
    <row r="6" spans="1:9" ht="12.75">
      <c r="A6" s="72"/>
      <c r="B6" s="73" t="s">
        <v>7</v>
      </c>
      <c r="C6" s="74" t="s">
        <v>8</v>
      </c>
      <c r="D6" s="74" t="s">
        <v>13</v>
      </c>
      <c r="E6" s="74" t="s">
        <v>19</v>
      </c>
      <c r="F6" s="75" t="s">
        <v>13</v>
      </c>
      <c r="G6" s="76" t="s">
        <v>9</v>
      </c>
      <c r="H6" s="76" t="s">
        <v>11</v>
      </c>
      <c r="I6" s="77" t="s">
        <v>10</v>
      </c>
    </row>
    <row r="7" spans="1:9" ht="12.75">
      <c r="A7" s="78"/>
      <c r="B7" s="79"/>
      <c r="C7" s="80"/>
      <c r="D7" s="80"/>
      <c r="E7" s="80"/>
      <c r="F7" s="81"/>
      <c r="G7" s="81"/>
      <c r="H7" s="82" t="s">
        <v>13</v>
      </c>
      <c r="I7" s="83" t="s">
        <v>12</v>
      </c>
    </row>
    <row r="8" spans="1:9" ht="12.75">
      <c r="A8" s="243">
        <v>37915</v>
      </c>
      <c r="B8" s="108"/>
      <c r="C8" s="107">
        <v>301781952</v>
      </c>
      <c r="D8" s="107"/>
      <c r="E8" s="244"/>
      <c r="F8" s="107"/>
      <c r="G8" s="245"/>
      <c r="H8" s="245"/>
      <c r="I8" s="246"/>
    </row>
    <row r="9" spans="1:9" ht="13.5" thickBot="1">
      <c r="A9" s="264">
        <v>37959</v>
      </c>
      <c r="B9" s="265">
        <f aca="true" t="shared" si="0" ref="B9:B43">A9-A8</f>
        <v>44</v>
      </c>
      <c r="C9" s="43">
        <f>(C8-D9)+312908472</f>
        <v>614690424</v>
      </c>
      <c r="D9" s="43"/>
      <c r="E9" s="266"/>
      <c r="F9" s="43"/>
      <c r="G9" s="210"/>
      <c r="H9" s="210"/>
      <c r="I9" s="211"/>
    </row>
    <row r="10" spans="1:9" ht="12.75">
      <c r="A10" s="218">
        <v>37977</v>
      </c>
      <c r="B10" s="274">
        <f t="shared" si="0"/>
        <v>18</v>
      </c>
      <c r="C10" s="219">
        <f>C9-D10</f>
        <v>614690424</v>
      </c>
      <c r="D10" s="219"/>
      <c r="E10" s="275"/>
      <c r="F10" s="219"/>
      <c r="G10" s="276"/>
      <c r="H10" s="276"/>
      <c r="I10" s="277"/>
    </row>
    <row r="11" spans="1:9" ht="13.5" thickBot="1">
      <c r="A11" s="264">
        <v>37986</v>
      </c>
      <c r="B11" s="265">
        <f t="shared" si="0"/>
        <v>9</v>
      </c>
      <c r="C11" s="43">
        <f>(C10-D11)+66348184</f>
        <v>681038608</v>
      </c>
      <c r="D11" s="43"/>
      <c r="E11" s="266">
        <v>0.0961</v>
      </c>
      <c r="F11" s="43">
        <v>7974978</v>
      </c>
      <c r="G11" s="210">
        <f>SUM(F8:F11)</f>
        <v>7974978</v>
      </c>
      <c r="H11" s="210">
        <f>SUM(D8:D11)</f>
        <v>0</v>
      </c>
      <c r="I11" s="211">
        <f>SUM(G11:H11)</f>
        <v>7974978</v>
      </c>
    </row>
    <row r="12" spans="1:11" ht="13.5" thickBot="1">
      <c r="A12" s="278">
        <v>38077</v>
      </c>
      <c r="B12" s="279">
        <f t="shared" si="0"/>
        <v>91</v>
      </c>
      <c r="C12" s="45">
        <f>(C11-D12)</f>
        <v>681038608</v>
      </c>
      <c r="D12" s="45"/>
      <c r="E12" s="280">
        <v>0.1255</v>
      </c>
      <c r="F12" s="45">
        <v>21549386</v>
      </c>
      <c r="G12" s="212"/>
      <c r="H12" s="212"/>
      <c r="I12" s="213"/>
      <c r="K12" s="121"/>
    </row>
    <row r="13" spans="1:11" ht="13.5" thickBot="1">
      <c r="A13" s="278">
        <v>38142</v>
      </c>
      <c r="B13" s="279">
        <f>A13-A12</f>
        <v>65</v>
      </c>
      <c r="C13" s="45">
        <f>C11-D13+13675934</f>
        <v>694714542</v>
      </c>
      <c r="D13" s="45"/>
      <c r="E13" s="280"/>
      <c r="F13" s="45"/>
      <c r="G13" s="212"/>
      <c r="H13" s="212"/>
      <c r="I13" s="213"/>
      <c r="K13" s="121"/>
    </row>
    <row r="14" spans="1:9" ht="12.75">
      <c r="A14" s="84">
        <v>38168</v>
      </c>
      <c r="B14" s="85">
        <f>A14-A13</f>
        <v>26</v>
      </c>
      <c r="C14" s="86">
        <f>C13-D14</f>
        <v>694714542</v>
      </c>
      <c r="D14" s="86"/>
      <c r="E14" s="87">
        <v>0.1197</v>
      </c>
      <c r="F14" s="41">
        <v>20735726</v>
      </c>
      <c r="G14" s="88"/>
      <c r="H14" s="88"/>
      <c r="I14" s="89"/>
    </row>
    <row r="15" spans="1:9" ht="12.75">
      <c r="A15" s="84">
        <v>38254</v>
      </c>
      <c r="B15" s="85">
        <f>A15-A14</f>
        <v>86</v>
      </c>
      <c r="C15" s="86">
        <v>704770956</v>
      </c>
      <c r="D15" s="86"/>
      <c r="E15" s="87"/>
      <c r="F15" s="41"/>
      <c r="G15" s="88"/>
      <c r="H15" s="88"/>
      <c r="I15" s="89"/>
    </row>
    <row r="16" spans="1:9" ht="12.75">
      <c r="A16" s="84">
        <v>38258</v>
      </c>
      <c r="B16" s="85">
        <f>A16-A15</f>
        <v>4</v>
      </c>
      <c r="C16" s="41">
        <f aca="true" t="shared" si="1" ref="C16:C26">C15-D16</f>
        <v>684949956</v>
      </c>
      <c r="D16" s="86">
        <v>19821000</v>
      </c>
      <c r="E16" s="87"/>
      <c r="F16" s="41"/>
      <c r="G16" s="88"/>
      <c r="H16" s="88"/>
      <c r="I16" s="89"/>
    </row>
    <row r="17" spans="1:9" ht="12.75">
      <c r="A17" s="90">
        <v>38260</v>
      </c>
      <c r="B17" s="85">
        <f>A17-A15</f>
        <v>6</v>
      </c>
      <c r="C17" s="41">
        <f t="shared" si="1"/>
        <v>684949956</v>
      </c>
      <c r="D17" s="41"/>
      <c r="E17" s="92">
        <v>0.1167</v>
      </c>
      <c r="F17" s="41">
        <v>20731202</v>
      </c>
      <c r="G17" s="93"/>
      <c r="H17" s="93"/>
      <c r="I17" s="94"/>
    </row>
    <row r="18" spans="1:9" ht="12.75">
      <c r="A18" s="90">
        <v>38293</v>
      </c>
      <c r="B18" s="91">
        <f t="shared" si="0"/>
        <v>33</v>
      </c>
      <c r="C18" s="41">
        <v>693350000</v>
      </c>
      <c r="D18" s="41"/>
      <c r="E18" s="92"/>
      <c r="F18" s="41"/>
      <c r="G18" s="93"/>
      <c r="H18" s="93"/>
      <c r="I18" s="94"/>
    </row>
    <row r="19" spans="1:9" ht="12.75">
      <c r="A19" s="90">
        <v>38349</v>
      </c>
      <c r="B19" s="91">
        <f t="shared" si="0"/>
        <v>56</v>
      </c>
      <c r="C19" s="41">
        <f>C18-D19</f>
        <v>673540000</v>
      </c>
      <c r="D19" s="41">
        <v>19810000</v>
      </c>
      <c r="E19" s="95"/>
      <c r="F19" s="91"/>
      <c r="G19" s="41"/>
      <c r="H19" s="91"/>
      <c r="I19" s="96"/>
    </row>
    <row r="20" spans="1:9" ht="12.75">
      <c r="A20" s="97">
        <v>38352</v>
      </c>
      <c r="B20" s="98">
        <f t="shared" si="0"/>
        <v>3</v>
      </c>
      <c r="C20" s="99">
        <f t="shared" si="1"/>
        <v>673540000</v>
      </c>
      <c r="D20" s="99"/>
      <c r="E20" s="100">
        <v>0.111</v>
      </c>
      <c r="F20" s="41">
        <v>19466298</v>
      </c>
      <c r="G20" s="101">
        <f>SUM(F12:F20)</f>
        <v>82482612</v>
      </c>
      <c r="H20" s="101">
        <f>SUM(D12:D20)</f>
        <v>39631000</v>
      </c>
      <c r="I20" s="102">
        <f>SUM(G20:H20)</f>
        <v>122113612</v>
      </c>
    </row>
    <row r="21" spans="1:9" ht="12.75">
      <c r="A21" s="103">
        <v>38440</v>
      </c>
      <c r="B21" s="85">
        <f t="shared" si="0"/>
        <v>88</v>
      </c>
      <c r="C21" s="86">
        <f t="shared" si="1"/>
        <v>653730000</v>
      </c>
      <c r="D21" s="42">
        <f>D19</f>
        <v>19810000</v>
      </c>
      <c r="E21" s="147"/>
      <c r="F21" s="42"/>
      <c r="G21" s="152"/>
      <c r="H21" s="152"/>
      <c r="I21" s="153"/>
    </row>
    <row r="22" spans="1:9" ht="12.75">
      <c r="A22" s="90">
        <v>38442</v>
      </c>
      <c r="B22" s="91">
        <f t="shared" si="0"/>
        <v>2</v>
      </c>
      <c r="C22" s="41">
        <f t="shared" si="1"/>
        <v>653730000</v>
      </c>
      <c r="D22" s="41"/>
      <c r="E22" s="92">
        <v>0.0946</v>
      </c>
      <c r="F22" s="41">
        <v>15949493</v>
      </c>
      <c r="G22" s="93"/>
      <c r="H22" s="93"/>
      <c r="I22" s="94"/>
    </row>
    <row r="23" spans="1:9" ht="12.75">
      <c r="A23" s="90">
        <v>38531</v>
      </c>
      <c r="B23" s="91">
        <f t="shared" si="0"/>
        <v>89</v>
      </c>
      <c r="C23" s="41">
        <f t="shared" si="1"/>
        <v>633920000</v>
      </c>
      <c r="D23" s="41">
        <f>D21</f>
        <v>19810000</v>
      </c>
      <c r="E23" s="92"/>
      <c r="F23" s="41"/>
      <c r="G23" s="93"/>
      <c r="H23" s="93"/>
      <c r="I23" s="94"/>
    </row>
    <row r="24" spans="1:9" ht="12.75">
      <c r="A24" s="90">
        <v>38533</v>
      </c>
      <c r="B24" s="91">
        <f t="shared" si="0"/>
        <v>2</v>
      </c>
      <c r="C24" s="41">
        <f t="shared" si="1"/>
        <v>633920000</v>
      </c>
      <c r="D24" s="41"/>
      <c r="E24" s="92">
        <v>0.0784</v>
      </c>
      <c r="F24" s="41">
        <v>12976265</v>
      </c>
      <c r="G24" s="93"/>
      <c r="H24" s="93"/>
      <c r="I24" s="94"/>
    </row>
    <row r="25" spans="1:9" ht="12.75">
      <c r="A25" s="90">
        <v>38623</v>
      </c>
      <c r="B25" s="91">
        <f t="shared" si="0"/>
        <v>90</v>
      </c>
      <c r="C25" s="41">
        <f t="shared" si="1"/>
        <v>614110000</v>
      </c>
      <c r="D25" s="41">
        <f>D23</f>
        <v>19810000</v>
      </c>
      <c r="E25" s="92"/>
      <c r="F25" s="41"/>
      <c r="G25" s="93"/>
      <c r="H25" s="93"/>
      <c r="I25" s="94"/>
    </row>
    <row r="26" spans="1:9" ht="12.75">
      <c r="A26" s="90">
        <v>38625</v>
      </c>
      <c r="B26" s="91">
        <f t="shared" si="0"/>
        <v>2</v>
      </c>
      <c r="C26" s="41">
        <f t="shared" si="1"/>
        <v>614110000</v>
      </c>
      <c r="D26" s="41"/>
      <c r="E26" s="92">
        <v>0.0702</v>
      </c>
      <c r="F26" s="41">
        <v>11379238</v>
      </c>
      <c r="G26" s="93"/>
      <c r="H26" s="93"/>
      <c r="I26" s="94"/>
    </row>
    <row r="27" spans="1:9" ht="12.75">
      <c r="A27" s="90">
        <v>38714</v>
      </c>
      <c r="B27" s="91">
        <f t="shared" si="0"/>
        <v>89</v>
      </c>
      <c r="C27" s="41">
        <f aca="true" t="shared" si="2" ref="C27:C44">C26-D27</f>
        <v>594300000</v>
      </c>
      <c r="D27" s="41">
        <f>D25</f>
        <v>19810000</v>
      </c>
      <c r="E27" s="92"/>
      <c r="F27" s="41"/>
      <c r="G27" s="93"/>
      <c r="H27" s="93"/>
      <c r="I27" s="94"/>
    </row>
    <row r="28" spans="1:9" ht="12.75">
      <c r="A28" s="97">
        <v>38716</v>
      </c>
      <c r="B28" s="98">
        <f t="shared" si="0"/>
        <v>2</v>
      </c>
      <c r="C28" s="99">
        <f t="shared" si="2"/>
        <v>594300000</v>
      </c>
      <c r="D28" s="99"/>
      <c r="E28" s="100">
        <v>0.061</v>
      </c>
      <c r="F28" s="99">
        <v>9478216</v>
      </c>
      <c r="G28" s="101">
        <f>SUM(F22:F28)</f>
        <v>49783212</v>
      </c>
      <c r="H28" s="101">
        <f>SUM(D21:D28)</f>
        <v>79240000</v>
      </c>
      <c r="I28" s="102">
        <f>SUM(G28:H28)</f>
        <v>129023212</v>
      </c>
    </row>
    <row r="29" spans="1:9" ht="12.75">
      <c r="A29" s="103">
        <v>38804</v>
      </c>
      <c r="B29" s="104">
        <f t="shared" si="0"/>
        <v>88</v>
      </c>
      <c r="C29" s="42">
        <f t="shared" si="2"/>
        <v>574490000</v>
      </c>
      <c r="D29" s="42">
        <f>D27</f>
        <v>19810000</v>
      </c>
      <c r="E29" s="105"/>
      <c r="F29" s="104"/>
      <c r="G29" s="42"/>
      <c r="H29" s="104"/>
      <c r="I29" s="106"/>
    </row>
    <row r="30" spans="1:9" ht="12.75">
      <c r="A30" s="90">
        <v>38807</v>
      </c>
      <c r="B30" s="91">
        <f t="shared" si="0"/>
        <v>3</v>
      </c>
      <c r="C30" s="41">
        <f t="shared" si="2"/>
        <v>574490000</v>
      </c>
      <c r="D30" s="41"/>
      <c r="E30" s="92">
        <v>0.0637</v>
      </c>
      <c r="F30" s="41">
        <v>9549955</v>
      </c>
      <c r="G30" s="41"/>
      <c r="H30" s="91"/>
      <c r="I30" s="96"/>
    </row>
    <row r="31" spans="1:9" ht="12.75">
      <c r="A31" s="90">
        <v>38896</v>
      </c>
      <c r="B31" s="91">
        <f t="shared" si="0"/>
        <v>89</v>
      </c>
      <c r="C31" s="41">
        <f t="shared" si="2"/>
        <v>554680000</v>
      </c>
      <c r="D31" s="41">
        <f>D29</f>
        <v>19810000</v>
      </c>
      <c r="E31" s="95"/>
      <c r="F31" s="91"/>
      <c r="G31" s="41"/>
      <c r="H31" s="91"/>
      <c r="I31" s="96"/>
    </row>
    <row r="32" spans="1:9" ht="12.75">
      <c r="A32" s="90">
        <v>38898</v>
      </c>
      <c r="B32" s="91">
        <f t="shared" si="0"/>
        <v>2</v>
      </c>
      <c r="C32" s="41">
        <f t="shared" si="2"/>
        <v>554680000</v>
      </c>
      <c r="D32" s="41"/>
      <c r="E32" s="92">
        <v>0.0643</v>
      </c>
      <c r="F32" s="41">
        <v>9329503</v>
      </c>
      <c r="G32" s="41"/>
      <c r="H32" s="91"/>
      <c r="I32" s="96"/>
    </row>
    <row r="33" spans="1:9" ht="12.75">
      <c r="A33" s="90">
        <v>38988</v>
      </c>
      <c r="B33" s="91">
        <f t="shared" si="0"/>
        <v>90</v>
      </c>
      <c r="C33" s="41">
        <f t="shared" si="2"/>
        <v>534870000</v>
      </c>
      <c r="D33" s="41">
        <f>D31</f>
        <v>19810000</v>
      </c>
      <c r="E33" s="95"/>
      <c r="F33" s="91"/>
      <c r="G33" s="41"/>
      <c r="H33" s="91"/>
      <c r="I33" s="96"/>
    </row>
    <row r="34" spans="1:9" ht="12.75">
      <c r="A34" s="90">
        <v>38989</v>
      </c>
      <c r="B34" s="91">
        <f t="shared" si="0"/>
        <v>1</v>
      </c>
      <c r="C34" s="41">
        <f t="shared" si="2"/>
        <v>534870000</v>
      </c>
      <c r="D34" s="41"/>
      <c r="E34" s="92">
        <v>0.0677</v>
      </c>
      <c r="F34" s="41">
        <v>9483306</v>
      </c>
      <c r="G34" s="41"/>
      <c r="H34" s="91"/>
      <c r="I34" s="96"/>
    </row>
    <row r="35" spans="1:9" ht="12.75">
      <c r="A35" s="90">
        <v>38991</v>
      </c>
      <c r="B35" s="91">
        <f>A35-A34</f>
        <v>2</v>
      </c>
      <c r="C35" s="41">
        <f t="shared" si="2"/>
        <v>534870000</v>
      </c>
      <c r="D35" s="41"/>
      <c r="E35" s="92">
        <v>0.0677</v>
      </c>
      <c r="F35" s="41"/>
      <c r="G35" s="41"/>
      <c r="H35" s="91"/>
      <c r="I35" s="96"/>
    </row>
    <row r="36" spans="1:9" ht="12.75">
      <c r="A36" s="90">
        <v>39079</v>
      </c>
      <c r="B36" s="91">
        <f>A36-A35</f>
        <v>88</v>
      </c>
      <c r="C36" s="41">
        <f t="shared" si="2"/>
        <v>515060000</v>
      </c>
      <c r="D36" s="41">
        <f>D33</f>
        <v>19810000</v>
      </c>
      <c r="E36" s="95"/>
      <c r="F36" s="91"/>
      <c r="G36" s="41"/>
      <c r="H36" s="91"/>
      <c r="I36" s="96"/>
    </row>
    <row r="37" spans="1:9" ht="12.75">
      <c r="A37" s="97">
        <v>39080</v>
      </c>
      <c r="B37" s="98">
        <f t="shared" si="0"/>
        <v>1</v>
      </c>
      <c r="C37" s="99">
        <f t="shared" si="2"/>
        <v>515060000</v>
      </c>
      <c r="D37" s="99"/>
      <c r="E37" s="100">
        <v>0.0804</v>
      </c>
      <c r="F37" s="99">
        <v>10828179</v>
      </c>
      <c r="G37" s="101">
        <f>SUM(F30:F37)</f>
        <v>39190943</v>
      </c>
      <c r="H37" s="101">
        <f>SUM(D29:D37)</f>
        <v>79240000</v>
      </c>
      <c r="I37" s="102">
        <f>SUM(G37:H37)</f>
        <v>118430943</v>
      </c>
    </row>
    <row r="38" spans="1:9" ht="12.75">
      <c r="A38" s="103">
        <v>39169</v>
      </c>
      <c r="B38" s="104">
        <f t="shared" si="0"/>
        <v>89</v>
      </c>
      <c r="C38" s="42">
        <f t="shared" si="2"/>
        <v>495250000</v>
      </c>
      <c r="D38" s="42">
        <f>D36</f>
        <v>19810000</v>
      </c>
      <c r="E38" s="105"/>
      <c r="F38" s="104"/>
      <c r="G38" s="42"/>
      <c r="H38" s="104"/>
      <c r="I38" s="106"/>
    </row>
    <row r="39" spans="1:9" ht="12.75">
      <c r="A39" s="90">
        <v>39171</v>
      </c>
      <c r="B39" s="91">
        <f t="shared" si="0"/>
        <v>2</v>
      </c>
      <c r="C39" s="41">
        <f t="shared" si="2"/>
        <v>495250000</v>
      </c>
      <c r="D39" s="41"/>
      <c r="E39" s="92">
        <v>0.0818</v>
      </c>
      <c r="F39" s="41">
        <v>10634999</v>
      </c>
      <c r="G39" s="41"/>
      <c r="H39" s="91"/>
      <c r="I39" s="96"/>
    </row>
    <row r="40" spans="1:9" ht="12.75">
      <c r="A40" s="90">
        <v>39261</v>
      </c>
      <c r="B40" s="91">
        <f t="shared" si="0"/>
        <v>90</v>
      </c>
      <c r="C40" s="41">
        <f t="shared" si="2"/>
        <v>475440000</v>
      </c>
      <c r="D40" s="41">
        <f>D38</f>
        <v>19810000</v>
      </c>
      <c r="E40" s="95"/>
      <c r="F40" s="91"/>
      <c r="G40" s="41"/>
      <c r="H40" s="91"/>
      <c r="I40" s="96"/>
    </row>
    <row r="41" spans="1:9" ht="12.75">
      <c r="A41" s="90">
        <v>39262</v>
      </c>
      <c r="B41" s="91">
        <f t="shared" si="0"/>
        <v>1</v>
      </c>
      <c r="C41" s="41">
        <f t="shared" si="2"/>
        <v>475440000</v>
      </c>
      <c r="D41" s="41"/>
      <c r="E41" s="92">
        <v>0.0803</v>
      </c>
      <c r="F41" s="41">
        <v>10052320</v>
      </c>
      <c r="G41" s="41"/>
      <c r="H41" s="91"/>
      <c r="I41" s="96"/>
    </row>
    <row r="42" spans="1:9" ht="12.75">
      <c r="A42" s="90">
        <v>39353</v>
      </c>
      <c r="B42" s="91">
        <f t="shared" si="0"/>
        <v>91</v>
      </c>
      <c r="C42" s="41">
        <f t="shared" si="2"/>
        <v>455630000</v>
      </c>
      <c r="D42" s="41">
        <f>D40</f>
        <v>19810000</v>
      </c>
      <c r="E42" s="95"/>
      <c r="F42" s="91"/>
      <c r="G42" s="41"/>
      <c r="H42" s="91"/>
      <c r="I42" s="96"/>
    </row>
    <row r="43" spans="1:9" ht="12.75">
      <c r="A43" s="90">
        <v>39353</v>
      </c>
      <c r="B43" s="91">
        <f t="shared" si="0"/>
        <v>0</v>
      </c>
      <c r="C43" s="41">
        <f t="shared" si="2"/>
        <v>455630000</v>
      </c>
      <c r="D43" s="41"/>
      <c r="E43" s="92">
        <v>0.079</v>
      </c>
      <c r="F43" s="41">
        <v>9497706</v>
      </c>
      <c r="G43" s="41"/>
      <c r="H43" s="91"/>
      <c r="I43" s="96"/>
    </row>
    <row r="44" spans="1:9" ht="12.75">
      <c r="A44" s="90">
        <v>39438</v>
      </c>
      <c r="B44" s="91"/>
      <c r="C44" s="41">
        <f t="shared" si="2"/>
        <v>0</v>
      </c>
      <c r="D44" s="41">
        <v>455630000</v>
      </c>
      <c r="E44" s="95">
        <v>0.0768</v>
      </c>
      <c r="F44" s="41">
        <v>8270444</v>
      </c>
      <c r="G44" s="41"/>
      <c r="H44" s="91"/>
      <c r="I44" s="96"/>
    </row>
    <row r="45" spans="1:9" ht="13.5" thickBot="1">
      <c r="A45" s="97"/>
      <c r="B45" s="98"/>
      <c r="C45" s="99"/>
      <c r="D45" s="99"/>
      <c r="E45" s="100"/>
      <c r="F45" s="99"/>
      <c r="G45" s="101">
        <f>SUM(F39:F45)</f>
        <v>38455469</v>
      </c>
      <c r="H45" s="101">
        <f>SUM(D38:D45)</f>
        <v>515060000</v>
      </c>
      <c r="I45" s="102">
        <f>SUM(G45:H45)</f>
        <v>553515469</v>
      </c>
    </row>
    <row r="46" spans="1:9" ht="13.5" thickTop="1">
      <c r="A46" s="563" t="s">
        <v>14</v>
      </c>
      <c r="B46" s="564"/>
      <c r="C46" s="565"/>
      <c r="D46" s="117">
        <f>SUM(D8:D45)</f>
        <v>713171000</v>
      </c>
      <c r="E46" s="118"/>
      <c r="F46" s="117">
        <f>SUM(F8:F45)</f>
        <v>217887214</v>
      </c>
      <c r="G46" s="117">
        <f>SUM(G8:G45)</f>
        <v>217887214</v>
      </c>
      <c r="H46" s="117">
        <f>SUM(H8:H45)</f>
        <v>713171000</v>
      </c>
      <c r="I46" s="119">
        <f>SUM(I8:I45)</f>
        <v>931058214</v>
      </c>
    </row>
    <row r="47" ht="12.75">
      <c r="A47" s="120"/>
    </row>
    <row r="48" ht="12.75">
      <c r="A48" s="120"/>
    </row>
    <row r="49" spans="2:7" ht="12.75">
      <c r="B49" s="58"/>
      <c r="C49" s="58" t="s">
        <v>73</v>
      </c>
      <c r="D49" s="58"/>
      <c r="E49" s="122" t="s">
        <v>74</v>
      </c>
      <c r="G49" s="283">
        <v>301781952</v>
      </c>
    </row>
    <row r="50" spans="2:7" ht="12.75">
      <c r="B50" s="58"/>
      <c r="C50" s="58" t="s">
        <v>78</v>
      </c>
      <c r="D50" s="58"/>
      <c r="E50" s="122" t="s">
        <v>75</v>
      </c>
      <c r="G50" s="283">
        <v>312908472</v>
      </c>
    </row>
    <row r="51" spans="3:7" ht="12.75">
      <c r="C51" s="58" t="s">
        <v>79</v>
      </c>
      <c r="E51" s="122" t="s">
        <v>76</v>
      </c>
      <c r="G51" s="283">
        <v>66348184</v>
      </c>
    </row>
    <row r="52" spans="3:7" ht="12.75">
      <c r="C52" s="58" t="s">
        <v>80</v>
      </c>
      <c r="E52" s="122" t="s">
        <v>77</v>
      </c>
      <c r="G52" s="283">
        <v>13675934</v>
      </c>
    </row>
    <row r="53" spans="3:7" ht="12.75">
      <c r="C53" s="58" t="s">
        <v>81</v>
      </c>
      <c r="E53" s="122" t="s">
        <v>83</v>
      </c>
      <c r="G53" s="283">
        <v>10056414</v>
      </c>
    </row>
    <row r="54" spans="3:7" ht="13.5" thickBot="1">
      <c r="C54" s="58" t="s">
        <v>82</v>
      </c>
      <c r="E54" s="122" t="s">
        <v>84</v>
      </c>
      <c r="G54" s="283">
        <v>8400044</v>
      </c>
    </row>
    <row r="55" spans="3:7" ht="13.5" thickTop="1">
      <c r="C55" s="124" t="s">
        <v>14</v>
      </c>
      <c r="D55" s="124"/>
      <c r="E55" s="125"/>
      <c r="F55" s="126"/>
      <c r="G55" s="284">
        <f>SUM(G49:G54)</f>
        <v>713171000</v>
      </c>
    </row>
    <row r="56" ht="12.75">
      <c r="G56" s="283"/>
    </row>
    <row r="60" spans="2:7" ht="12.75">
      <c r="B60" s="58"/>
      <c r="E60" s="58"/>
      <c r="F60" s="121"/>
      <c r="G60" s="58"/>
    </row>
    <row r="61" spans="2:7" ht="12.75">
      <c r="B61" s="58"/>
      <c r="E61" s="58"/>
      <c r="F61" s="121"/>
      <c r="G61" s="58"/>
    </row>
    <row r="62" spans="2:7" ht="12.75">
      <c r="B62" s="58"/>
      <c r="E62" s="58"/>
      <c r="G62" s="58"/>
    </row>
    <row r="63" spans="2:7" ht="12.75">
      <c r="B63" s="58"/>
      <c r="E63" s="58"/>
      <c r="G63" s="58"/>
    </row>
    <row r="64" spans="2:7" ht="12.75">
      <c r="B64" s="58"/>
      <c r="E64" s="58"/>
      <c r="F64" s="121"/>
      <c r="G64" s="58"/>
    </row>
  </sheetData>
  <sheetProtection/>
  <mergeCells count="1">
    <mergeCell ref="A46:C46"/>
  </mergeCells>
  <printOptions horizontalCentered="1"/>
  <pageMargins left="0.5905511811023623" right="0.5905511811023623" top="0.7874015748031497" bottom="0.5905511811023623" header="0.1968503937007874" footer="0.1968503937007874"/>
  <pageSetup blackAndWhite="1" horizontalDpi="300" verticalDpi="300" orientation="portrait" paperSize="9" scale="95" r:id="rId1"/>
  <headerFooter alignWithMargins="0">
    <oddHeader xml:space="preserve">&amp;C&amp;"Times New Roman CE,Félkövér"&amp;12Adósságszolgálat számítása az OTP tájékoztatója alapján&amp;"Times New Roman CE,Félkövér dőlt"
2003. októberben és decemberben felvett 713.171 eFt  célhitel </oddHeader>
    <oddFooter>&amp;L&amp;D
C:\Andi\adósságszolgálat\&amp;F\&amp;A&amp;R&amp;P/&amp;N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2008-11-24T14:04:14Z</cp:lastPrinted>
  <dcterms:created xsi:type="dcterms:W3CDTF">2000-10-04T12:37:09Z</dcterms:created>
  <dcterms:modified xsi:type="dcterms:W3CDTF">2008-11-24T14:04:15Z</dcterms:modified>
  <cp:category/>
  <cp:version/>
  <cp:contentType/>
  <cp:contentStatus/>
</cp:coreProperties>
</file>