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601" activeTab="0"/>
  </bookViews>
  <sheets>
    <sheet name="9 Fh besz" sheetId="1" r:id="rId1"/>
  </sheets>
  <definedNames>
    <definedName name="_xlnm.Print_Titles" localSheetId="0">'9 Fh besz'!$A:$A,'9 Fh besz'!$1:$2</definedName>
    <definedName name="_xlnm.Print_Area" localSheetId="0">'9 Fh besz'!$A$1:$H$229</definedName>
  </definedNames>
  <calcPr fullCalcOnLoad="1"/>
</workbook>
</file>

<file path=xl/sharedStrings.xml><?xml version="1.0" encoding="utf-8"?>
<sst xmlns="http://schemas.openxmlformats.org/spreadsheetml/2006/main" count="533" uniqueCount="250">
  <si>
    <t>Megnevezés</t>
  </si>
  <si>
    <t>Megjegyzés</t>
  </si>
  <si>
    <t>Közlekedés</t>
  </si>
  <si>
    <t>Közlekedés összesen</t>
  </si>
  <si>
    <t>Vízgazdálkodás</t>
  </si>
  <si>
    <t>Vízgazdálkodás összesen</t>
  </si>
  <si>
    <t>Közvilágítás</t>
  </si>
  <si>
    <t>Közvilágítási fejlesztések összesen</t>
  </si>
  <si>
    <t>Városgazdálkodás</t>
  </si>
  <si>
    <t>Városgazdálkodás összesen</t>
  </si>
  <si>
    <t xml:space="preserve"> Oktatás </t>
  </si>
  <si>
    <t xml:space="preserve"> Oktatás összesen</t>
  </si>
  <si>
    <t xml:space="preserve"> Sport   </t>
  </si>
  <si>
    <t xml:space="preserve"> Sport összesen</t>
  </si>
  <si>
    <t xml:space="preserve"> Közigazgatás  </t>
  </si>
  <si>
    <t xml:space="preserve"> Közigazgatás összesen  </t>
  </si>
  <si>
    <t xml:space="preserve"> Lakásgazdálkodás </t>
  </si>
  <si>
    <t xml:space="preserve"> Lakásgazdálkodás összesen </t>
  </si>
  <si>
    <t xml:space="preserve">Művelődés, kultúra </t>
  </si>
  <si>
    <t>Művelődés, kultúra összesen</t>
  </si>
  <si>
    <t>Egyéb nem beruházási kiadások</t>
  </si>
  <si>
    <t>Egyéb nem beruh.kiad. összesen</t>
  </si>
  <si>
    <t>Kompenzációs ügyletek</t>
  </si>
  <si>
    <t xml:space="preserve"> Kompenzációs ügyek összesen:</t>
  </si>
  <si>
    <t>Toponári temetőben elvégzendő beruházások</t>
  </si>
  <si>
    <t>Buszvárók telepítése</t>
  </si>
  <si>
    <t>Kisebb közvilágítási fejlesztések</t>
  </si>
  <si>
    <t>Vagyonvédelmi berendezések</t>
  </si>
  <si>
    <t>Pályázatok előkészítése, tervezési feladatok</t>
  </si>
  <si>
    <t xml:space="preserve">Munkáltatói kölcsönalap </t>
  </si>
  <si>
    <t>Egyéb kisebb kiadások</t>
  </si>
  <si>
    <t>Pályázati anyagok előkészítése, másolása</t>
  </si>
  <si>
    <t>Felhalmozási kiadások összesen:</t>
  </si>
  <si>
    <t xml:space="preserve"> -</t>
  </si>
  <si>
    <t xml:space="preserve">Élményfürdő üzletrész vásárlása </t>
  </si>
  <si>
    <t>Lakásép. vás. első lakáshoz jutók helyi tám.</t>
  </si>
  <si>
    <t>Lakásmobilitás</t>
  </si>
  <si>
    <t xml:space="preserve">Közműhozzájárulás </t>
  </si>
  <si>
    <t>Földút és járdaépítési program</t>
  </si>
  <si>
    <t>x</t>
  </si>
  <si>
    <t>Engedélyezési,  eljárási díjak és tám.kez.ktg.</t>
  </si>
  <si>
    <t>Vagyonhasznosítás egyéb kisebb kiadásai</t>
  </si>
  <si>
    <t>Telekalakítások, földvédelmi járulék, alapító okirat</t>
  </si>
  <si>
    <t>Autóbusz beszerzés 6 db bioethanol üzemelésű  önerő</t>
  </si>
  <si>
    <t>Kodály és Bárczy Ált.Iskolák akadálymentesítése önerő</t>
  </si>
  <si>
    <t xml:space="preserve">garanciális visszatartás           </t>
  </si>
  <si>
    <t>Kaposvár-K.füred kerékpárút tervezése</t>
  </si>
  <si>
    <t>Bástya u. útépítés tervezése</t>
  </si>
  <si>
    <t>Mező u-i parkoló építés  (folyt.)</t>
  </si>
  <si>
    <t>Toponár-Kaposvár összekötő úthoz  terület vásárlás</t>
  </si>
  <si>
    <t>Pécsi u. egészségházhoz vezető út-járda tervezés</t>
  </si>
  <si>
    <t>Fő u.21. csapadékcsatorna csere</t>
  </si>
  <si>
    <t>Cseri út É-i old.csap.víz elvez.terv korszerűsítése és vízügyi eng.</t>
  </si>
  <si>
    <t>Egyenesi u. Uránia lakóteleptől a buszfordulóig járda építése</t>
  </si>
  <si>
    <t>Monostor u. egyoldali járda építése</t>
  </si>
  <si>
    <t>Béla király u. végétől járda építése a Nyugdíjas Otthonig</t>
  </si>
  <si>
    <t>Kemping u. járda építése Gém utcától kempinghez vezető útig</t>
  </si>
  <si>
    <t>Nyár u.- Jedlik Á.u.-Zrinyi u. által határolt terület vízrendezése</t>
  </si>
  <si>
    <t>Intézmények szennyvízcsatorna rákötései</t>
  </si>
  <si>
    <t xml:space="preserve">Házi szennyvízbeköt.utólagos kiépítése, és házi kisátemelők </t>
  </si>
  <si>
    <t>Polgármesteri Hivatal szennyvíz-átemelő építése</t>
  </si>
  <si>
    <t>Léva u. csapadékvíz elvez.terv</t>
  </si>
  <si>
    <t>Pécsi u.22.orvosi rendelőhöz :víz-, szennyvíz-,csap.víz.vez.terv</t>
  </si>
  <si>
    <t>Kisebb közvilágítási fejlesztések 2007.</t>
  </si>
  <si>
    <t>Közvilágítás:   Mogyoró u, Pipitér u,  Borostyán u.</t>
  </si>
  <si>
    <t>Körtönye utcával szemben a Cseri dűlőbe vezető út</t>
  </si>
  <si>
    <t>Buzsáki u. 2-6 között járda tervezése</t>
  </si>
  <si>
    <t>Parkoló tervezése Madár u-ban a Gárdonyi Iskola előtt</t>
  </si>
  <si>
    <t>Kaposmenti hulladékgazdálkodási program előkészítése</t>
  </si>
  <si>
    <t xml:space="preserve">Húskombinát orvosi rendelő fűtésleválasztás (önk.rész) </t>
  </si>
  <si>
    <t>Sportcsarnok statikai vizsgálat és rekonstrukció tervezése</t>
  </si>
  <si>
    <t>Önkormányzati bérlakásokba vízóra felszerelés</t>
  </si>
  <si>
    <t>Cseri u. 22. sz. alatti lakások vízellátása és szennyvízeleveztése</t>
  </si>
  <si>
    <t>Berzsenyi utca 4. sz. előtt csapadékcsatorna felbővítése</t>
  </si>
  <si>
    <t>Töröcskei művelődési ház szennyvíz rákötése</t>
  </si>
  <si>
    <t>Töröcskei szennyvíz háziátemelők beépítése</t>
  </si>
  <si>
    <t>Kaposvári Uszoda és Gyógyfürdő komplex fejlesztése</t>
  </si>
  <si>
    <t>Mintalakótelepi rekonstrukció II. ütem szökőkút építés</t>
  </si>
  <si>
    <t>Nyugati temető öltözőépület tetőcseréje</t>
  </si>
  <si>
    <t>Szentjakabi Bencés Apátság állagmegóvás</t>
  </si>
  <si>
    <t>Liget szociális otthon bővítésének tervezése</t>
  </si>
  <si>
    <t>Állati hulladék kezelő telep kiviteli terv</t>
  </si>
  <si>
    <t>Működő hulladéklerakó D0,D3 deponiával bővítése: tervezés</t>
  </si>
  <si>
    <t>Működő hulladéklerakó vízjogi eng.és elektromos tervezés</t>
  </si>
  <si>
    <t>Városi Fürdő új termálkút-fej, elektromos ellátás, töltővezeték</t>
  </si>
  <si>
    <t>Belváros rehab.:  Integrált Városfejlesztési Stratégia tan.</t>
  </si>
  <si>
    <t xml:space="preserve">Szabályozási tervek módosítása </t>
  </si>
  <si>
    <t>Deseda-tó körüli túraútvonalak kialakítása.tan.terv</t>
  </si>
  <si>
    <t>Komplex turisztikai ajánlat kialakítása.előzetes mv.tanulmány</t>
  </si>
  <si>
    <t xml:space="preserve">Földterület vásárlás 21m2   Béke u.27-29. </t>
  </si>
  <si>
    <t>Kisajátítási tervek Baross u.9. és Vár 11.</t>
  </si>
  <si>
    <t>Izzó u. művelési ágból kivonás, telekalakítás</t>
  </si>
  <si>
    <t>Szilárd hulladéklerakó bővítéséhez  0132/6 hrsz ingatlan megszerzése</t>
  </si>
  <si>
    <t>Ingatlan visszavásárlás:Somogy Áruház parkoló területe</t>
  </si>
  <si>
    <t>Orgona és Margaréta u közötti játszótér építés első üteme</t>
  </si>
  <si>
    <t>Kaposvári "Életfa" plasztikára levelek készíttetése</t>
  </si>
  <si>
    <t>Arany J.u.15 fogorvosi rendelő akadályment.rámpa</t>
  </si>
  <si>
    <t>Városháza mélyparkoló kivit.terv</t>
  </si>
  <si>
    <t xml:space="preserve">Okmányirodai ügyfél-hívó és -tájékoztató rendszer </t>
  </si>
  <si>
    <t>Ingatlan csere      5727/34 hrsz    2.164 m2   (Korona 2001.Kft)</t>
  </si>
  <si>
    <t xml:space="preserve">67-es út geodéziai munkarész </t>
  </si>
  <si>
    <t>Füredi út 148-152. 012/2hrsz ing.belterületbe csatolás</t>
  </si>
  <si>
    <t>Zselickislak Dózsa Gy u.5. ing.után közműfejlesztési hozzájárulás</t>
  </si>
  <si>
    <t>Volt hajléktalanszálló bontási eng.terve</t>
  </si>
  <si>
    <t>Volt katonai lőtér lőszermentesítése</t>
  </si>
  <si>
    <t>Volt katonai lőtér környezetvédelmi állapotfelmérése</t>
  </si>
  <si>
    <t>Kaposvár Energetikai Stratégiai Tanulmány elkészítése</t>
  </si>
  <si>
    <t>Egészségügy és szociális ellátás</t>
  </si>
  <si>
    <t xml:space="preserve">Kaposvár-K.újlak kerékpárút terv </t>
  </si>
  <si>
    <t>Mintalakótelepi rekonstrukció II üt. (Szökőkút terv, játszótér ép.)</t>
  </si>
  <si>
    <t>Belváros rehabilitációja: mv.tan; ép.eng.tervek</t>
  </si>
  <si>
    <t>Liget Időskorúak Otthona: ipari mosógép</t>
  </si>
  <si>
    <t xml:space="preserve">Gördülő sportoknak pálya kialakítása a Városligetben  </t>
  </si>
  <si>
    <t>Donneri körforgalom építése   (Zrinyi-Iszák-Bartók u)</t>
  </si>
  <si>
    <t>Bajcsy-Zs.u. kórházi szakasz visszavétel előkészítése</t>
  </si>
  <si>
    <t>Léva utcai csapadékvízelvezetés kiépítése</t>
  </si>
  <si>
    <t xml:space="preserve">Bástya u. útépítéshez ingatlanvásárlás:  </t>
  </si>
  <si>
    <t>Sportcsarnok műfüves pálya építése</t>
  </si>
  <si>
    <t xml:space="preserve">Buzsáki u .2-6. járdaépítés vízelvezetéssel </t>
  </si>
  <si>
    <t>Kaposvár város kiállítási mobiliák</t>
  </si>
  <si>
    <t xml:space="preserve">Működő hulladéklerakó D0,D3 deponiával bővítése  </t>
  </si>
  <si>
    <t xml:space="preserve">Toponár Mikes K u. telkek eng.tervezés, </t>
  </si>
  <si>
    <t>Toponár Mikes K u. telkek  közművesítése</t>
  </si>
  <si>
    <t>Szabályozási tervek karbantartása</t>
  </si>
  <si>
    <t>323/2007(12.06.)önk.hat.</t>
  </si>
  <si>
    <t>Cseri út É-i old. csapadékvízelvezetés kiépítése önerő</t>
  </si>
  <si>
    <t>Turisztika</t>
  </si>
  <si>
    <t>Cseri park kalandjátszótér és kalandpark építés</t>
  </si>
  <si>
    <t>Rippl-Rónai emlékmúzeum látogathatóságának javítása</t>
  </si>
  <si>
    <t>Deseda körüli túraútvonal és kapcsolódó létesítmények építése</t>
  </si>
  <si>
    <t>Rippl-Rónai Emlékház makett</t>
  </si>
  <si>
    <t>Lakótelep rehab:DOMUS és környéke kiviteli tervek</t>
  </si>
  <si>
    <t xml:space="preserve">NOSTRA Ifjúsági Alkotó és Szórakoztató Központ </t>
  </si>
  <si>
    <t xml:space="preserve">Városháza ideiglenes beléptető és munkaidő elszámolási rendszer </t>
  </si>
  <si>
    <t>PM Hivatal déli szárny klíma beszerelése, okmányirodában csere</t>
  </si>
  <si>
    <t>Rippl-Rónai szobor,Trianon emlékmű, Országzászló felállítása (előkészítés)</t>
  </si>
  <si>
    <t>Füredi u.- Raktár u. csp. körforgalom szőkőkútépítés</t>
  </si>
  <si>
    <t>Szennyvíziszap-kezelés hosszútávú megoldása előzetes mv.tan.</t>
  </si>
  <si>
    <t>Új vásárcsarnok építéshez kisajátítás</t>
  </si>
  <si>
    <t>Új vásárcsarnok ép.eng.és kivit.tervek, telekalakítás</t>
  </si>
  <si>
    <t>Terhesgondozó és Cs.segítő Kp.    kiviteli tervének elkészítése</t>
  </si>
  <si>
    <t xml:space="preserve">  volt hajléktalan szálló</t>
  </si>
  <si>
    <t>Fő u. 84.   30 db önkorm.bérlakás ép.kivit.tervdok.</t>
  </si>
  <si>
    <t>Fő u. 84.   30 db önkorm.bérlakás ép.  kivitelezés és egyéb ktg.</t>
  </si>
  <si>
    <t>Dési Huber köz 45 db önkorm.bérlakás ép.eng.és kivit.tervdok.</t>
  </si>
  <si>
    <t xml:space="preserve">Kinizsi ltp. 7.  30 db önkorm.bérlakás ép.eng.és kivit.tervdok. </t>
  </si>
  <si>
    <t>Béla király köz csap.vízelvezetéses járdaép.terv</t>
  </si>
  <si>
    <t>Kanizsai u.19-21.mögötti ingatlancsere Vagyonkezelővel</t>
  </si>
  <si>
    <t>Virágfürdő vendéglátó egységek "C" épület koncessziós építése</t>
  </si>
  <si>
    <t xml:space="preserve">Virágfürdő vendéglátó egységek "C" épület közmű </t>
  </si>
  <si>
    <t>A 0556/2 hrsz.ing.értékesítését követően kezdődhet a beruh.</t>
  </si>
  <si>
    <t>Szerződéses lekötöttség</t>
  </si>
  <si>
    <t>eredeti</t>
  </si>
  <si>
    <t>összege</t>
  </si>
  <si>
    <t>%-a</t>
  </si>
  <si>
    <t>2008. évi  előirányzat</t>
  </si>
  <si>
    <t>Költségvetési Integrált Gazdálkodási rendszer</t>
  </si>
  <si>
    <t>Keleti és  Nyugati temető út aszfaltozás és építés</t>
  </si>
  <si>
    <t>Németh I.- Tallián Gy.u. csp.jelzőlámpás közl.irányítás terv</t>
  </si>
  <si>
    <t xml:space="preserve">Bors István:"Alakoskodó" köztéri szobor stat.terv.díja és  elhelyezése </t>
  </si>
  <si>
    <t>PH: informatikai fejlesztés 2007-2008.; információ tech.védelmi szab.</t>
  </si>
  <si>
    <t>PM Hivatal:  fénymásolók cseréje, eszköz-, gépbesz. 2007-2008.</t>
  </si>
  <si>
    <t>Mintalakótelepi rekonstrukció II.ütem</t>
  </si>
  <si>
    <t>V.Tűzoltóság - 1db  konténer csere-felépítményes gépjármű 20 % önerő</t>
  </si>
  <si>
    <t>V.Tűzoltóság - 1db műszaki mentő gépjármű  20 % önerő</t>
  </si>
  <si>
    <t>Szentjakabi Sportpályához gyalogút kiépítése</t>
  </si>
  <si>
    <t>Városrendezési célra  ingatlan vásárlás</t>
  </si>
  <si>
    <t>Gazdaságfejlesztési Társaság létrehozása</t>
  </si>
  <si>
    <t>Post aktív (borítékoló gép) szoftver-hardver karbantartás</t>
  </si>
  <si>
    <t>Pécsi utca 11. sz. alatti 9 db önkorm.lakás szennyvíz házi csatorna átépítése</t>
  </si>
  <si>
    <t>Vízminőség jav.program:ammóniament. törésponti klórozással.</t>
  </si>
  <si>
    <t>Egészségügy és szociális ellátás összesen</t>
  </si>
  <si>
    <t>Bérlakásból tör.elhelyezéshez, ill. akcióterület szerz.ing.vásárlása</t>
  </si>
  <si>
    <t>"AGÓRA" mf.közösségi központ m.val.tan.és ép.konc.</t>
  </si>
  <si>
    <t xml:space="preserve">Városháza okmányiroda akadálymentesítés </t>
  </si>
  <si>
    <t>Kőrösi Cs.S.u. felújítási terv két önálló dokumentumra bontása</t>
  </si>
  <si>
    <t>Kvár csomóponti jelzőlámpa telepítés tervezése  I-4.+ II-1=5 db</t>
  </si>
  <si>
    <t>Toponári u.(Muskátli-Gyógyszertár közt) geodéziai felmérés</t>
  </si>
  <si>
    <t>Területcsere:   Noszlopy G.u.82/9 hrsz   /  Kalmár Kft.</t>
  </si>
  <si>
    <t>Ingatlancsere:  Baross G.u.19. Társasház  ( 461; 469/1 hrsz )</t>
  </si>
  <si>
    <t>Wéber Klára "Bohóc" c.szobor felállítása</t>
  </si>
  <si>
    <t>Városközpont rehabilitáció: Városháza mélygarázs építése</t>
  </si>
  <si>
    <t>Tourinform iroda: irodatechnikai és szám.technikai felszerelés</t>
  </si>
  <si>
    <t>Közter.elkövetett jogsértések visszaszorítása prog.:műszaki eszközök 2007.</t>
  </si>
  <si>
    <t>Közter.elkövetett jogsértések visszaszorítása prog.:műszaki eszközök 2008.</t>
  </si>
  <si>
    <t>Városközpont rehabilitáció:Telekvásárlás Ady É-i tömb</t>
  </si>
  <si>
    <t>Városközpont rehab.:Kiviteli tervdok., végleges akcióterületi terv</t>
  </si>
  <si>
    <t>Ivánfahegyalja u. ivóvíz hálózat bővítés tervezési munkái</t>
  </si>
  <si>
    <t>Városközp.rehabilitáció: Ady E.u. víz, szennyvíz, csapadékvíz hálózatcsere</t>
  </si>
  <si>
    <t>Sikálós u. vízvezeték hálózat fejlesztés</t>
  </si>
  <si>
    <t>Kontrássy u.4.fsz. lakásvásárlás (233 hrsz 6/250 tul.rész)</t>
  </si>
  <si>
    <t>Ingatlan vásárlás 298 hrsz. 85m2</t>
  </si>
  <si>
    <t>Rippl-Rónai Emlékmúzeum látogathatóságának fejl.tan.terv</t>
  </si>
  <si>
    <t>Béla király köz gyalogút és csapadékvíz elvezetés</t>
  </si>
  <si>
    <t>"SÁÉV telep" Hajléktalan Szállóhoz vezető járda építése</t>
  </si>
  <si>
    <t>Béla király út jobb old.járdaép. Benedek E.u.-tól a hídig</t>
  </si>
  <si>
    <t xml:space="preserve">Csalogány u. járdaépítés </t>
  </si>
  <si>
    <t xml:space="preserve">Hold u.útépítés </t>
  </si>
  <si>
    <t>Kankalin u. gyalogút tervezés</t>
  </si>
  <si>
    <t>Achim A.u.csapadékvíz csatorna átépítése</t>
  </si>
  <si>
    <t>Kaposvár, Tinódi u. vízvezeték hosszabbítás tervezése</t>
  </si>
  <si>
    <t>Kaposvár, Görgei utca vízellátása (300 fm), tervezés</t>
  </si>
  <si>
    <t>Élményfürdő  garancialis visszatartás</t>
  </si>
  <si>
    <t>Eötvös L.Műszaki SZKI műfüves edzőpálya 40*80m, világítással</t>
  </si>
  <si>
    <t>Toldi ltp.Ált.Iskola és Gimnázium akadálymentesítése</t>
  </si>
  <si>
    <t>Arany J.u.Óvoda akadálymentesítése</t>
  </si>
  <si>
    <t xml:space="preserve">Desedai strandröplabda pálya építése </t>
  </si>
  <si>
    <t>Városháza külső víz, szennyvíz, csapadékvíz közmű tervezése</t>
  </si>
  <si>
    <t xml:space="preserve">Városi Fürdő biogázzal ellátása tanulmány </t>
  </si>
  <si>
    <t>Kisgát III.  2288/3 hrsz.   ( MVh.Rt. ÁFÁ-s)</t>
  </si>
  <si>
    <t>Kisgát III.  2108/1 hrsz.   ( MVh.Rt. ÁFÁ-s)</t>
  </si>
  <si>
    <t>Kisgát III.  BITT Kft   ( ÁFÁ-s)</t>
  </si>
  <si>
    <t>Ady D-i tömb   ingatlan adás-vétel   /  Center Invest</t>
  </si>
  <si>
    <t>Ügyiratkezelő és Iktató Rendszer inform.infrastruktúra és szoftver</t>
  </si>
  <si>
    <t>Gyalogátkelőhelyek létesítése: megvalósíthatósági tanulmány</t>
  </si>
  <si>
    <t>Városi vízmű létrehozásához alaptőke</t>
  </si>
  <si>
    <t>Kvári Gazdaságfejlesztési Kft üzletrészvásárlás</t>
  </si>
  <si>
    <t>Csokonai-köz D-részén csapadékvíz elvezetés közterületen</t>
  </si>
  <si>
    <t>Önkorm.intézmények és közter.csapadékvíz rákötés megszüntetése sz.vízcsat.hálózatra</t>
  </si>
  <si>
    <t>Ivánfahegyalja u. ivóvíz hálózat bővítés kivitelezés</t>
  </si>
  <si>
    <t>Fenyves u. déli részének csapadékvíz elvezető rendszerének átépítése</t>
  </si>
  <si>
    <t>Ingatlan vásárlás: Keleti ipari park bővítése, 17 ha 7588 m2</t>
  </si>
  <si>
    <t>Ingatlan vásárlás Kontrássy u.4. 100,3 m2 ter.lakás</t>
  </si>
  <si>
    <t>Noszlopy G.u. 5-0-0 szennyvízcsat. 1-2. aknaköz kiépítése</t>
  </si>
  <si>
    <t>Budai N.A.u. csapadékvíz elvez.terv</t>
  </si>
  <si>
    <t xml:space="preserve">Szennyvízcsatornázás Kvár-Töröcske, Simonfa, Zs.szentpál, Zs.kislak </t>
  </si>
  <si>
    <r>
      <t xml:space="preserve">Állati hulladék kezelő telep  </t>
    </r>
    <r>
      <rPr>
        <sz val="16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EU  -  KIOP</t>
    </r>
  </si>
  <si>
    <r>
      <t>V.Tűzoltóság - mentési védőfelszer.</t>
    </r>
    <r>
      <rPr>
        <sz val="10"/>
        <color indexed="8"/>
        <rFont val="Times New Roman"/>
        <family val="1"/>
      </rPr>
      <t>ruha,sisak,álarc, légzőkészülék 20 % önerő</t>
    </r>
  </si>
  <si>
    <r>
      <t xml:space="preserve">Keleti temető </t>
    </r>
    <r>
      <rPr>
        <sz val="10"/>
        <color indexed="8"/>
        <rFont val="Times New Roman"/>
        <family val="1"/>
      </rPr>
      <t>Pécsi út felőli old.kriptasor és urnaliget kialakítása, kerítés áthely.</t>
    </r>
  </si>
  <si>
    <r>
      <t>Vásárcsarnok</t>
    </r>
    <r>
      <rPr>
        <b/>
        <sz val="10"/>
        <color indexed="8"/>
        <rFont val="Times New Roman"/>
        <family val="1"/>
      </rPr>
      <t xml:space="preserve"> 100. </t>
    </r>
    <r>
      <rPr>
        <sz val="10"/>
        <color indexed="8"/>
        <rFont val="Times New Roman"/>
        <family val="1"/>
      </rPr>
      <t xml:space="preserve">sorszámú pavilon megvásárlása </t>
    </r>
  </si>
  <si>
    <r>
      <t>Ingatlan vásárlás Krúdy u.    7514/3 hrsz - 2246m</t>
    </r>
    <r>
      <rPr>
        <vertAlign val="superscript"/>
        <sz val="11"/>
        <color indexed="8"/>
        <rFont val="Times New Roman"/>
        <family val="1"/>
      </rPr>
      <t xml:space="preserve">2 </t>
    </r>
    <r>
      <rPr>
        <sz val="11"/>
        <color indexed="8"/>
        <rFont val="Times New Roman"/>
        <family val="1"/>
      </rPr>
      <t>és 7515/14 hrsz - 1305m</t>
    </r>
    <r>
      <rPr>
        <vertAlign val="superscript"/>
        <sz val="11"/>
        <color indexed="8"/>
        <rFont val="Times New Roman"/>
        <family val="1"/>
      </rPr>
      <t>2</t>
    </r>
  </si>
  <si>
    <r>
      <t xml:space="preserve">Rippl-Rónai "Szamaras kordé" </t>
    </r>
    <r>
      <rPr>
        <sz val="10"/>
        <color indexed="8"/>
        <rFont val="Times New Roman"/>
        <family val="1"/>
      </rPr>
      <t>szobor tervpály.és Bors István 2 db köztéri alkotásának elhely.</t>
    </r>
  </si>
  <si>
    <t>mód.</t>
  </si>
  <si>
    <t>Szelektív hull.gyűjtő sziget 5 db beszerzés; rongáltak cseréje 3 db; felújítás 4 db</t>
  </si>
  <si>
    <t>Zenepavilon állandó elektromos csatlakozóhely,kialakítása</t>
  </si>
  <si>
    <t>Keleti temető új portaépület vizesblokk szerelvényezése</t>
  </si>
  <si>
    <r>
      <t>151/2008.(VI.05) önk.hat.</t>
    </r>
    <r>
      <rPr>
        <i/>
        <sz val="9"/>
        <color indexed="8"/>
        <rFont val="Times New Roman"/>
        <family val="1"/>
      </rPr>
      <t xml:space="preserve"> áfa</t>
    </r>
  </si>
  <si>
    <t>Turisztika összesen</t>
  </si>
  <si>
    <t>Tervezési keretből</t>
  </si>
  <si>
    <t>Viziközmű konc.felújítások tartalékkeret terhére</t>
  </si>
  <si>
    <t>Közlekedés-építési tervek 4 db</t>
  </si>
  <si>
    <t>Tervezési keret terhérte</t>
  </si>
  <si>
    <t>Céltartalék, pályázati saját erő keret terhére</t>
  </si>
  <si>
    <t xml:space="preserve">Nyugati temető ravatalozó: statikus szakvélemény </t>
  </si>
  <si>
    <t>Céltartalék, pályázati saját erő esélyegyenlőség bizt. keret terhére</t>
  </si>
  <si>
    <t>Deseda tó turistaúthoz kisajátitási térkép</t>
  </si>
  <si>
    <t>245//2008(X.6)önk.hat.</t>
  </si>
  <si>
    <t>Intézménytől átvett pénzeszköz</t>
  </si>
  <si>
    <t>Klebelsberg Kollégium műfüves sportpálya építése</t>
  </si>
  <si>
    <t xml:space="preserve">2008. I-III.negyedévi teljesítés </t>
  </si>
</sst>
</file>

<file path=xl/styles.xml><?xml version="1.0" encoding="utf-8"?>
<styleSheet xmlns="http://schemas.openxmlformats.org/spreadsheetml/2006/main">
  <numFmts count="3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,###"/>
    <numFmt numFmtId="165" formatCode="###,###"/>
    <numFmt numFmtId="166" formatCode="###,###,###"/>
    <numFmt numFmtId="167" formatCode="0;[Red]0"/>
    <numFmt numFmtId="168" formatCode="#,##0.0"/>
    <numFmt numFmtId="169" formatCode="#,##0.000"/>
    <numFmt numFmtId="170" formatCode="\+#,##0;\-#,##0"/>
    <numFmt numFmtId="171" formatCode="#,##0.0000"/>
    <numFmt numFmtId="172" formatCode="\+#,##0.0;\-#,##0.0"/>
    <numFmt numFmtId="173" formatCode="0.0%"/>
    <numFmt numFmtId="174" formatCode="0.000%"/>
    <numFmt numFmtId="175" formatCode="#,###,###.0"/>
    <numFmt numFmtId="176" formatCode="#,###,###.00"/>
    <numFmt numFmtId="177" formatCode="#,###,###.000"/>
    <numFmt numFmtId="178" formatCode="&quot;H-&quot;0000"/>
    <numFmt numFmtId="179" formatCode="0.0"/>
    <numFmt numFmtId="180" formatCode="0.0000"/>
    <numFmt numFmtId="181" formatCode="0.000"/>
    <numFmt numFmtId="182" formatCode="0.0000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_-* #,##0.0\ _F_t_-;\-* #,##0.0\ _F_t_-;_-* &quot;-&quot;??\ _F_t_-;_-@_-"/>
    <numFmt numFmtId="187" formatCode="_-* #,##0\ _F_t_-;\-* #,##0\ _F_t_-;_-* &quot;-&quot;??\ _F_t_-;_-@_-"/>
    <numFmt numFmtId="188" formatCode="yyyy/mm/dd;@"/>
    <numFmt numFmtId="189" formatCode="mmm/yyyy"/>
    <numFmt numFmtId="190" formatCode="[$-40E]yyyy\.\ mmmm\ d\."/>
    <numFmt numFmtId="191" formatCode="0.0000000"/>
    <numFmt numFmtId="192" formatCode="0.000000"/>
    <numFmt numFmtId="193" formatCode="m\.\ d\.;@"/>
    <numFmt numFmtId="194" formatCode="#,##0.00_ ;\-#,##0.00\ "/>
  </numFmts>
  <fonts count="32">
    <font>
      <sz val="10"/>
      <name val="Arial CE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6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sz val="11"/>
      <color indexed="52"/>
      <name val="Times New Roman"/>
      <family val="2"/>
    </font>
    <font>
      <sz val="11"/>
      <color indexed="17"/>
      <name val="Times New Roman"/>
      <family val="2"/>
    </font>
    <font>
      <b/>
      <sz val="11"/>
      <color indexed="63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b/>
      <sz val="11"/>
      <color indexed="52"/>
      <name val="Times New Roman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0" fillId="17" borderId="7" applyNumberFormat="0" applyFont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9" fillId="4" borderId="0" applyNumberFormat="0" applyBorder="0" applyAlignment="0" applyProtection="0"/>
    <xf numFmtId="0" fontId="20" fillId="22" borderId="8" applyNumberFormat="0" applyAlignment="0" applyProtection="0"/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24" fillId="23" borderId="0" applyNumberFormat="0" applyBorder="0" applyAlignment="0" applyProtection="0"/>
    <xf numFmtId="0" fontId="25" fillId="22" borderId="1" applyNumberFormat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3" fontId="1" fillId="0" borderId="0" xfId="0" applyNumberFormat="1" applyFont="1" applyFill="1" applyAlignment="1">
      <alignment wrapText="1"/>
    </xf>
    <xf numFmtId="3" fontId="22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horizontal="left" wrapText="1"/>
    </xf>
    <xf numFmtId="3" fontId="5" fillId="0" borderId="10" xfId="0" applyNumberFormat="1" applyFont="1" applyFill="1" applyBorder="1" applyAlignment="1">
      <alignment wrapText="1"/>
    </xf>
    <xf numFmtId="3" fontId="22" fillId="0" borderId="10" xfId="0" applyNumberFormat="1" applyFont="1" applyFill="1" applyBorder="1" applyAlignment="1">
      <alignment wrapText="1"/>
    </xf>
    <xf numFmtId="3" fontId="2" fillId="0" borderId="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26" fillId="0" borderId="11" xfId="0" applyNumberFormat="1" applyFont="1" applyFill="1" applyBorder="1" applyAlignment="1">
      <alignment/>
    </xf>
    <xf numFmtId="3" fontId="27" fillId="0" borderId="12" xfId="57" applyNumberFormat="1" applyFont="1" applyFill="1" applyBorder="1" applyAlignment="1">
      <alignment horizontal="right" wrapText="1"/>
      <protection/>
    </xf>
    <xf numFmtId="3" fontId="26" fillId="0" borderId="11" xfId="0" applyNumberFormat="1" applyFont="1" applyFill="1" applyBorder="1" applyAlignment="1">
      <alignment horizontal="right"/>
    </xf>
    <xf numFmtId="3" fontId="27" fillId="0" borderId="11" xfId="0" applyNumberFormat="1" applyFont="1" applyFill="1" applyBorder="1" applyAlignment="1">
      <alignment/>
    </xf>
    <xf numFmtId="3" fontId="26" fillId="0" borderId="13" xfId="0" applyNumberFormat="1" applyFont="1" applyFill="1" applyBorder="1" applyAlignment="1">
      <alignment/>
    </xf>
    <xf numFmtId="3" fontId="27" fillId="0" borderId="11" xfId="0" applyNumberFormat="1" applyFont="1" applyFill="1" applyBorder="1" applyAlignment="1">
      <alignment horizontal="right"/>
    </xf>
    <xf numFmtId="168" fontId="26" fillId="0" borderId="11" xfId="0" applyNumberFormat="1" applyFont="1" applyFill="1" applyBorder="1" applyAlignment="1">
      <alignment/>
    </xf>
    <xf numFmtId="168" fontId="27" fillId="0" borderId="12" xfId="57" applyNumberFormat="1" applyFont="1" applyFill="1" applyBorder="1" applyAlignment="1">
      <alignment horizontal="right" wrapText="1"/>
      <protection/>
    </xf>
    <xf numFmtId="168" fontId="26" fillId="0" borderId="11" xfId="0" applyNumberFormat="1" applyFont="1" applyFill="1" applyBorder="1" applyAlignment="1">
      <alignment horizontal="right"/>
    </xf>
    <xf numFmtId="168" fontId="27" fillId="0" borderId="11" xfId="0" applyNumberFormat="1" applyFont="1" applyFill="1" applyBorder="1" applyAlignment="1">
      <alignment/>
    </xf>
    <xf numFmtId="168" fontId="27" fillId="0" borderId="11" xfId="0" applyNumberFormat="1" applyFont="1" applyFill="1" applyBorder="1" applyAlignment="1">
      <alignment horizontal="right"/>
    </xf>
    <xf numFmtId="164" fontId="26" fillId="0" borderId="11" xfId="0" applyNumberFormat="1" applyFont="1" applyFill="1" applyBorder="1" applyAlignment="1">
      <alignment/>
    </xf>
    <xf numFmtId="3" fontId="26" fillId="0" borderId="11" xfId="0" applyNumberFormat="1" applyFont="1" applyFill="1" applyBorder="1" applyAlignment="1">
      <alignment wrapText="1"/>
    </xf>
    <xf numFmtId="164" fontId="26" fillId="0" borderId="11" xfId="0" applyNumberFormat="1" applyFont="1" applyFill="1" applyBorder="1" applyAlignment="1">
      <alignment horizontal="right"/>
    </xf>
    <xf numFmtId="3" fontId="26" fillId="0" borderId="14" xfId="0" applyNumberFormat="1" applyFont="1" applyFill="1" applyBorder="1" applyAlignment="1">
      <alignment wrapText="1"/>
    </xf>
    <xf numFmtId="168" fontId="26" fillId="0" borderId="14" xfId="0" applyNumberFormat="1" applyFont="1" applyFill="1" applyBorder="1" applyAlignment="1">
      <alignment wrapText="1"/>
    </xf>
    <xf numFmtId="3" fontId="27" fillId="0" borderId="15" xfId="0" applyNumberFormat="1" applyFont="1" applyFill="1" applyBorder="1" applyAlignment="1">
      <alignment horizontal="left"/>
    </xf>
    <xf numFmtId="3" fontId="22" fillId="0" borderId="16" xfId="0" applyNumberFormat="1" applyFont="1" applyFill="1" applyBorder="1" applyAlignment="1">
      <alignment horizontal="center" vertical="center"/>
    </xf>
    <xf numFmtId="168" fontId="22" fillId="0" borderId="16" xfId="0" applyNumberFormat="1" applyFont="1" applyFill="1" applyBorder="1" applyAlignment="1">
      <alignment horizontal="center" vertical="center"/>
    </xf>
    <xf numFmtId="3" fontId="26" fillId="0" borderId="13" xfId="0" applyNumberFormat="1" applyFont="1" applyFill="1" applyBorder="1" applyAlignment="1">
      <alignment wrapText="1"/>
    </xf>
    <xf numFmtId="3" fontId="22" fillId="0" borderId="15" xfId="0" applyNumberFormat="1" applyFont="1" applyFill="1" applyBorder="1" applyAlignment="1">
      <alignment horizontal="right"/>
    </xf>
    <xf numFmtId="3" fontId="22" fillId="0" borderId="17" xfId="0" applyNumberFormat="1" applyFont="1" applyFill="1" applyBorder="1" applyAlignment="1">
      <alignment/>
    </xf>
    <xf numFmtId="3" fontId="26" fillId="0" borderId="18" xfId="0" applyNumberFormat="1" applyFont="1" applyFill="1" applyBorder="1" applyAlignment="1">
      <alignment/>
    </xf>
    <xf numFmtId="168" fontId="26" fillId="0" borderId="18" xfId="0" applyNumberFormat="1" applyFont="1" applyFill="1" applyBorder="1" applyAlignment="1">
      <alignment/>
    </xf>
    <xf numFmtId="3" fontId="26" fillId="0" borderId="18" xfId="0" applyNumberFormat="1" applyFont="1" applyFill="1" applyBorder="1" applyAlignment="1">
      <alignment wrapText="1"/>
    </xf>
    <xf numFmtId="3" fontId="26" fillId="0" borderId="11" xfId="0" applyNumberFormat="1" applyFont="1" applyFill="1" applyBorder="1" applyAlignment="1">
      <alignment horizontal="center"/>
    </xf>
    <xf numFmtId="3" fontId="26" fillId="0" borderId="11" xfId="0" applyNumberFormat="1" applyFont="1" applyFill="1" applyBorder="1" applyAlignment="1">
      <alignment/>
    </xf>
    <xf numFmtId="3" fontId="27" fillId="0" borderId="11" xfId="0" applyNumberFormat="1" applyFont="1" applyFill="1" applyBorder="1" applyAlignment="1">
      <alignment wrapText="1"/>
    </xf>
    <xf numFmtId="0" fontId="28" fillId="0" borderId="10" xfId="0" applyFont="1" applyFill="1" applyBorder="1" applyAlignment="1">
      <alignment wrapText="1"/>
    </xf>
    <xf numFmtId="3" fontId="2" fillId="0" borderId="19" xfId="0" applyNumberFormat="1" applyFont="1" applyFill="1" applyBorder="1" applyAlignment="1">
      <alignment horizontal="left"/>
    </xf>
    <xf numFmtId="3" fontId="29" fillId="0" borderId="19" xfId="0" applyNumberFormat="1" applyFont="1" applyFill="1" applyBorder="1" applyAlignment="1">
      <alignment horizontal="left"/>
    </xf>
    <xf numFmtId="3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 wrapText="1"/>
    </xf>
    <xf numFmtId="3" fontId="6" fillId="0" borderId="19" xfId="0" applyNumberFormat="1" applyFont="1" applyFill="1" applyBorder="1" applyAlignment="1">
      <alignment wrapText="1"/>
    </xf>
    <xf numFmtId="3" fontId="6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left" wrapText="1"/>
    </xf>
    <xf numFmtId="3" fontId="5" fillId="0" borderId="20" xfId="0" applyNumberFormat="1" applyFont="1" applyFill="1" applyBorder="1" applyAlignment="1">
      <alignment wrapText="1"/>
    </xf>
    <xf numFmtId="3" fontId="2" fillId="0" borderId="19" xfId="0" applyNumberFormat="1" applyFont="1" applyFill="1" applyBorder="1" applyAlignment="1">
      <alignment wrapText="1"/>
    </xf>
    <xf numFmtId="3" fontId="30" fillId="0" borderId="19" xfId="0" applyNumberFormat="1" applyFont="1" applyFill="1" applyBorder="1" applyAlignment="1">
      <alignment horizontal="right"/>
    </xf>
    <xf numFmtId="164" fontId="27" fillId="0" borderId="11" xfId="0" applyNumberFormat="1" applyFont="1" applyFill="1" applyBorder="1" applyAlignment="1">
      <alignment/>
    </xf>
    <xf numFmtId="3" fontId="26" fillId="0" borderId="0" xfId="0" applyNumberFormat="1" applyFont="1" applyFill="1" applyAlignment="1">
      <alignment/>
    </xf>
    <xf numFmtId="3" fontId="29" fillId="0" borderId="0" xfId="0" applyNumberFormat="1" applyFont="1" applyFill="1" applyAlignment="1">
      <alignment horizontal="left"/>
    </xf>
    <xf numFmtId="3" fontId="5" fillId="0" borderId="10" xfId="0" applyNumberFormat="1" applyFont="1" applyFill="1" applyBorder="1" applyAlignment="1">
      <alignment horizontal="left"/>
    </xf>
    <xf numFmtId="3" fontId="6" fillId="0" borderId="0" xfId="0" applyNumberFormat="1" applyFont="1" applyFill="1" applyAlignment="1">
      <alignment/>
    </xf>
    <xf numFmtId="3" fontId="5" fillId="0" borderId="20" xfId="0" applyNumberFormat="1" applyFont="1" applyFill="1" applyBorder="1" applyAlignment="1">
      <alignment/>
    </xf>
    <xf numFmtId="164" fontId="26" fillId="0" borderId="13" xfId="0" applyNumberFormat="1" applyFont="1" applyFill="1" applyBorder="1" applyAlignment="1">
      <alignment horizontal="right"/>
    </xf>
    <xf numFmtId="168" fontId="26" fillId="0" borderId="13" xfId="0" applyNumberFormat="1" applyFont="1" applyFill="1" applyBorder="1" applyAlignment="1">
      <alignment horizontal="right"/>
    </xf>
    <xf numFmtId="0" fontId="5" fillId="0" borderId="10" xfId="0" applyFont="1" applyBorder="1" applyAlignment="1">
      <alignment wrapText="1"/>
    </xf>
    <xf numFmtId="3" fontId="26" fillId="0" borderId="13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/>
    </xf>
    <xf numFmtId="3" fontId="31" fillId="0" borderId="19" xfId="0" applyNumberFormat="1" applyFont="1" applyFill="1" applyBorder="1" applyAlignment="1">
      <alignment horizontal="left" vertical="center" wrapText="1"/>
    </xf>
    <xf numFmtId="3" fontId="6" fillId="0" borderId="19" xfId="0" applyNumberFormat="1" applyFont="1" applyFill="1" applyBorder="1" applyAlignment="1">
      <alignment horizontal="left" vertical="center" wrapText="1"/>
    </xf>
    <xf numFmtId="3" fontId="2" fillId="0" borderId="19" xfId="0" applyNumberFormat="1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right"/>
    </xf>
    <xf numFmtId="3" fontId="31" fillId="0" borderId="21" xfId="0" applyNumberFormat="1" applyFont="1" applyFill="1" applyBorder="1" applyAlignment="1">
      <alignment horizontal="left"/>
    </xf>
    <xf numFmtId="0" fontId="29" fillId="0" borderId="19" xfId="0" applyFont="1" applyFill="1" applyBorder="1" applyAlignment="1">
      <alignment wrapText="1"/>
    </xf>
    <xf numFmtId="0" fontId="2" fillId="0" borderId="22" xfId="0" applyFont="1" applyFill="1" applyBorder="1" applyAlignment="1">
      <alignment horizontal="right"/>
    </xf>
    <xf numFmtId="0" fontId="29" fillId="0" borderId="19" xfId="0" applyFont="1" applyFill="1" applyBorder="1" applyAlignment="1">
      <alignment horizontal="left"/>
    </xf>
    <xf numFmtId="3" fontId="30" fillId="0" borderId="19" xfId="0" applyNumberFormat="1" applyFont="1" applyFill="1" applyBorder="1" applyAlignment="1">
      <alignment horizontal="left" wrapText="1"/>
    </xf>
    <xf numFmtId="3" fontId="30" fillId="0" borderId="19" xfId="58" applyNumberFormat="1" applyFont="1" applyFill="1" applyBorder="1" applyAlignment="1">
      <alignment horizontal="left" wrapText="1"/>
      <protection/>
    </xf>
    <xf numFmtId="0" fontId="29" fillId="0" borderId="22" xfId="0" applyFont="1" applyFill="1" applyBorder="1" applyAlignment="1">
      <alignment horizontal="left"/>
    </xf>
    <xf numFmtId="3" fontId="31" fillId="0" borderId="19" xfId="0" applyNumberFormat="1" applyFont="1" applyFill="1" applyBorder="1" applyAlignment="1">
      <alignment horizontal="left"/>
    </xf>
    <xf numFmtId="3" fontId="2" fillId="0" borderId="22" xfId="0" applyNumberFormat="1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3" fontId="29" fillId="0" borderId="19" xfId="0" applyNumberFormat="1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17" fontId="29" fillId="0" borderId="19" xfId="0" applyNumberFormat="1" applyFont="1" applyFill="1" applyBorder="1" applyAlignment="1">
      <alignment horizontal="left"/>
    </xf>
    <xf numFmtId="3" fontId="27" fillId="0" borderId="23" xfId="0" applyNumberFormat="1" applyFont="1" applyFill="1" applyBorder="1" applyAlignment="1">
      <alignment horizontal="center" wrapText="1"/>
    </xf>
    <xf numFmtId="3" fontId="27" fillId="0" borderId="18" xfId="0" applyNumberFormat="1" applyFont="1" applyFill="1" applyBorder="1" applyAlignment="1">
      <alignment horizontal="center" wrapText="1"/>
    </xf>
    <xf numFmtId="168" fontId="27" fillId="0" borderId="18" xfId="0" applyNumberFormat="1" applyFont="1" applyFill="1" applyBorder="1" applyAlignment="1">
      <alignment horizontal="center" wrapText="1"/>
    </xf>
    <xf numFmtId="3" fontId="27" fillId="0" borderId="18" xfId="0" applyNumberFormat="1" applyFont="1" applyFill="1" applyBorder="1" applyAlignment="1">
      <alignment/>
    </xf>
    <xf numFmtId="3" fontId="27" fillId="0" borderId="24" xfId="0" applyNumberFormat="1" applyFont="1" applyFill="1" applyBorder="1" applyAlignment="1">
      <alignment/>
    </xf>
    <xf numFmtId="3" fontId="26" fillId="0" borderId="14" xfId="0" applyNumberFormat="1" applyFont="1" applyFill="1" applyBorder="1" applyAlignment="1">
      <alignment/>
    </xf>
    <xf numFmtId="168" fontId="26" fillId="0" borderId="25" xfId="0" applyNumberFormat="1" applyFont="1" applyFill="1" applyBorder="1" applyAlignment="1">
      <alignment wrapText="1"/>
    </xf>
    <xf numFmtId="3" fontId="26" fillId="0" borderId="25" xfId="0" applyNumberFormat="1" applyFont="1" applyFill="1" applyBorder="1" applyAlignment="1">
      <alignment horizontal="center"/>
    </xf>
    <xf numFmtId="3" fontId="26" fillId="0" borderId="14" xfId="0" applyNumberFormat="1" applyFont="1" applyFill="1" applyBorder="1" applyAlignment="1">
      <alignment horizontal="right"/>
    </xf>
    <xf numFmtId="3" fontId="27" fillId="0" borderId="26" xfId="57" applyNumberFormat="1" applyFont="1" applyFill="1" applyBorder="1" applyAlignment="1">
      <alignment horizontal="right" wrapText="1"/>
      <protection/>
    </xf>
    <xf numFmtId="168" fontId="27" fillId="0" borderId="27" xfId="0" applyNumberFormat="1" applyFont="1" applyFill="1" applyBorder="1" applyAlignment="1">
      <alignment wrapText="1"/>
    </xf>
    <xf numFmtId="164" fontId="26" fillId="0" borderId="14" xfId="0" applyNumberFormat="1" applyFont="1" applyFill="1" applyBorder="1" applyAlignment="1">
      <alignment/>
    </xf>
    <xf numFmtId="164" fontId="26" fillId="0" borderId="14" xfId="0" applyNumberFormat="1" applyFont="1" applyFill="1" applyBorder="1" applyAlignment="1">
      <alignment horizontal="right"/>
    </xf>
    <xf numFmtId="3" fontId="27" fillId="0" borderId="14" xfId="0" applyNumberFormat="1" applyFont="1" applyFill="1" applyBorder="1" applyAlignment="1">
      <alignment/>
    </xf>
    <xf numFmtId="168" fontId="27" fillId="0" borderId="25" xfId="0" applyNumberFormat="1" applyFont="1" applyFill="1" applyBorder="1" applyAlignment="1">
      <alignment wrapText="1"/>
    </xf>
    <xf numFmtId="3" fontId="26" fillId="0" borderId="23" xfId="0" applyNumberFormat="1" applyFont="1" applyFill="1" applyBorder="1" applyAlignment="1">
      <alignment/>
    </xf>
    <xf numFmtId="168" fontId="26" fillId="0" borderId="24" xfId="0" applyNumberFormat="1" applyFont="1" applyFill="1" applyBorder="1" applyAlignment="1">
      <alignment wrapText="1"/>
    </xf>
    <xf numFmtId="164" fontId="26" fillId="0" borderId="28" xfId="0" applyNumberFormat="1" applyFont="1" applyFill="1" applyBorder="1" applyAlignment="1">
      <alignment horizontal="right"/>
    </xf>
    <xf numFmtId="168" fontId="26" fillId="0" borderId="29" xfId="0" applyNumberFormat="1" applyFont="1" applyFill="1" applyBorder="1" applyAlignment="1">
      <alignment wrapText="1"/>
    </xf>
    <xf numFmtId="3" fontId="26" fillId="0" borderId="28" xfId="0" applyNumberFormat="1" applyFont="1" applyFill="1" applyBorder="1" applyAlignment="1">
      <alignment/>
    </xf>
    <xf numFmtId="3" fontId="26" fillId="0" borderId="29" xfId="0" applyNumberFormat="1" applyFont="1" applyFill="1" applyBorder="1" applyAlignment="1">
      <alignment horizontal="center"/>
    </xf>
    <xf numFmtId="168" fontId="27" fillId="0" borderId="27" xfId="57" applyNumberFormat="1" applyFont="1" applyFill="1" applyBorder="1" applyAlignment="1">
      <alignment horizontal="right" wrapText="1"/>
      <protection/>
    </xf>
    <xf numFmtId="3" fontId="27" fillId="0" borderId="14" xfId="0" applyNumberFormat="1" applyFont="1" applyFill="1" applyBorder="1" applyAlignment="1">
      <alignment horizontal="right"/>
    </xf>
    <xf numFmtId="0" fontId="2" fillId="0" borderId="10" xfId="56" applyFont="1" applyFill="1" applyBorder="1" applyAlignment="1">
      <alignment horizontal="center"/>
      <protection/>
    </xf>
    <xf numFmtId="49" fontId="29" fillId="0" borderId="25" xfId="0" applyNumberFormat="1" applyFont="1" applyBorder="1" applyAlignment="1">
      <alignment horizontal="left"/>
    </xf>
    <xf numFmtId="3" fontId="26" fillId="0" borderId="13" xfId="0" applyNumberFormat="1" applyFont="1" applyFill="1" applyBorder="1" applyAlignment="1">
      <alignment horizontal="right"/>
    </xf>
    <xf numFmtId="168" fontId="26" fillId="0" borderId="13" xfId="0" applyNumberFormat="1" applyFont="1" applyFill="1" applyBorder="1" applyAlignment="1">
      <alignment/>
    </xf>
    <xf numFmtId="3" fontId="27" fillId="0" borderId="11" xfId="0" applyNumberFormat="1" applyFont="1" applyFill="1" applyBorder="1" applyAlignment="1">
      <alignment horizontal="center"/>
    </xf>
    <xf numFmtId="3" fontId="27" fillId="0" borderId="25" xfId="0" applyNumberFormat="1" applyFont="1" applyFill="1" applyBorder="1" applyAlignment="1">
      <alignment horizontal="center"/>
    </xf>
    <xf numFmtId="3" fontId="6" fillId="0" borderId="19" xfId="0" applyNumberFormat="1" applyFont="1" applyFill="1" applyBorder="1" applyAlignment="1">
      <alignment horizontal="left"/>
    </xf>
    <xf numFmtId="3" fontId="6" fillId="0" borderId="19" xfId="0" applyNumberFormat="1" applyFont="1" applyFill="1" applyBorder="1" applyAlignment="1">
      <alignment horizontal="left" wrapText="1"/>
    </xf>
    <xf numFmtId="0" fontId="22" fillId="0" borderId="10" xfId="0" applyFont="1" applyFill="1" applyBorder="1" applyAlignment="1">
      <alignment wrapText="1"/>
    </xf>
    <xf numFmtId="0" fontId="6" fillId="0" borderId="0" xfId="0" applyFont="1" applyFill="1" applyAlignment="1">
      <alignment/>
    </xf>
    <xf numFmtId="3" fontId="27" fillId="0" borderId="11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3" fontId="29" fillId="0" borderId="19" xfId="0" applyNumberFormat="1" applyFont="1" applyFill="1" applyBorder="1" applyAlignment="1">
      <alignment/>
    </xf>
    <xf numFmtId="168" fontId="26" fillId="0" borderId="19" xfId="0" applyNumberFormat="1" applyFont="1" applyFill="1" applyBorder="1" applyAlignment="1">
      <alignment wrapText="1"/>
    </xf>
    <xf numFmtId="3" fontId="27" fillId="0" borderId="16" xfId="0" applyNumberFormat="1" applyFont="1" applyFill="1" applyBorder="1" applyAlignment="1">
      <alignment horizontal="center" vertical="center" wrapText="1"/>
    </xf>
    <xf numFmtId="3" fontId="6" fillId="0" borderId="30" xfId="0" applyNumberFormat="1" applyFont="1" applyFill="1" applyBorder="1" applyAlignment="1">
      <alignment horizontal="center" vertical="center" wrapText="1"/>
    </xf>
    <xf numFmtId="3" fontId="6" fillId="0" borderId="31" xfId="0" applyNumberFormat="1" applyFont="1" applyFill="1" applyBorder="1" applyAlignment="1">
      <alignment horizontal="center" vertical="center" wrapText="1"/>
    </xf>
    <xf numFmtId="3" fontId="22" fillId="0" borderId="16" xfId="0" applyNumberFormat="1" applyFont="1" applyFill="1" applyBorder="1" applyAlignment="1">
      <alignment horizontal="center" vertical="center" wrapText="1"/>
    </xf>
    <xf numFmtId="168" fontId="22" fillId="0" borderId="16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3" xfId="56"/>
    <cellStyle name="Normál_Pályázatok 2002" xfId="57"/>
    <cellStyle name="Normál_Pályázatok 2002 2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H22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A2"/>
    </sheetView>
  </sheetViews>
  <sheetFormatPr defaultColWidth="9.00390625" defaultRowHeight="12.75"/>
  <cols>
    <col min="1" max="1" width="66.75390625" style="6" customWidth="1"/>
    <col min="2" max="4" width="11.00390625" style="27" customWidth="1"/>
    <col min="5" max="5" width="11.00390625" style="28" customWidth="1"/>
    <col min="6" max="7" width="11.00390625" style="25" customWidth="1"/>
    <col min="8" max="8" width="44.375" style="56" customWidth="1"/>
    <col min="9" max="16384" width="9.125" style="46" customWidth="1"/>
  </cols>
  <sheetData>
    <row r="1" spans="1:8" s="44" customFormat="1" ht="30" customHeight="1">
      <c r="A1" s="120" t="s">
        <v>0</v>
      </c>
      <c r="B1" s="123" t="s">
        <v>155</v>
      </c>
      <c r="C1" s="123"/>
      <c r="D1" s="123" t="s">
        <v>151</v>
      </c>
      <c r="E1" s="123"/>
      <c r="F1" s="124" t="s">
        <v>249</v>
      </c>
      <c r="G1" s="124"/>
      <c r="H1" s="121" t="s">
        <v>1</v>
      </c>
    </row>
    <row r="2" spans="1:8" s="44" customFormat="1" ht="16.5" customHeight="1">
      <c r="A2" s="120"/>
      <c r="B2" s="30" t="s">
        <v>152</v>
      </c>
      <c r="C2" s="30" t="s">
        <v>232</v>
      </c>
      <c r="D2" s="30" t="s">
        <v>153</v>
      </c>
      <c r="E2" s="31" t="s">
        <v>154</v>
      </c>
      <c r="F2" s="30" t="s">
        <v>153</v>
      </c>
      <c r="G2" s="31" t="s">
        <v>154</v>
      </c>
      <c r="H2" s="122"/>
    </row>
    <row r="3" spans="1:8" s="44" customFormat="1" ht="20.25" customHeight="1">
      <c r="A3" s="2" t="s">
        <v>2</v>
      </c>
      <c r="B3" s="83"/>
      <c r="C3" s="84"/>
      <c r="D3" s="84"/>
      <c r="E3" s="85"/>
      <c r="F3" s="86"/>
      <c r="G3" s="87"/>
      <c r="H3" s="65"/>
    </row>
    <row r="4" spans="1:8" s="44" customFormat="1" ht="18.75" customHeight="1">
      <c r="A4" s="4" t="s">
        <v>65</v>
      </c>
      <c r="B4" s="88">
        <f>4962-192</f>
        <v>4770</v>
      </c>
      <c r="C4" s="13">
        <f>4962-192</f>
        <v>4770</v>
      </c>
      <c r="D4" s="13">
        <f>4962-192</f>
        <v>4770</v>
      </c>
      <c r="E4" s="19">
        <f aca="true" t="shared" si="0" ref="E4:E16">+D4/C4*100</f>
        <v>100</v>
      </c>
      <c r="F4" s="13">
        <f>4962-192</f>
        <v>4770</v>
      </c>
      <c r="G4" s="89">
        <f aca="true" t="shared" si="1" ref="G4:G16">+F4/C4*100</f>
        <v>100</v>
      </c>
      <c r="H4" s="43"/>
    </row>
    <row r="5" spans="1:8" s="44" customFormat="1" ht="18.75" customHeight="1">
      <c r="A5" s="4" t="s">
        <v>54</v>
      </c>
      <c r="B5" s="88">
        <f>6877-258</f>
        <v>6619</v>
      </c>
      <c r="C5" s="13">
        <f>6877-258</f>
        <v>6619</v>
      </c>
      <c r="D5" s="13">
        <f>6877-258</f>
        <v>6619</v>
      </c>
      <c r="E5" s="19">
        <f t="shared" si="0"/>
        <v>100</v>
      </c>
      <c r="F5" s="13">
        <f>6877-258</f>
        <v>6619</v>
      </c>
      <c r="G5" s="89">
        <f t="shared" si="1"/>
        <v>100</v>
      </c>
      <c r="H5" s="43"/>
    </row>
    <row r="6" spans="1:8" s="44" customFormat="1" ht="18.75" customHeight="1">
      <c r="A6" s="4" t="s">
        <v>55</v>
      </c>
      <c r="B6" s="88">
        <f>3865-108</f>
        <v>3757</v>
      </c>
      <c r="C6" s="13">
        <f>3865-108</f>
        <v>3757</v>
      </c>
      <c r="D6" s="13">
        <f>3865-108</f>
        <v>3757</v>
      </c>
      <c r="E6" s="19">
        <f t="shared" si="0"/>
        <v>100</v>
      </c>
      <c r="F6" s="13">
        <v>3757</v>
      </c>
      <c r="G6" s="89">
        <f t="shared" si="1"/>
        <v>100</v>
      </c>
      <c r="H6" s="43"/>
    </row>
    <row r="7" spans="1:8" s="44" customFormat="1" ht="18.75" customHeight="1">
      <c r="A7" s="4" t="s">
        <v>56</v>
      </c>
      <c r="B7" s="88">
        <f>1738-115</f>
        <v>1623</v>
      </c>
      <c r="C7" s="13">
        <f>1738-115</f>
        <v>1623</v>
      </c>
      <c r="D7" s="13">
        <f>1738-115</f>
        <v>1623</v>
      </c>
      <c r="E7" s="19">
        <f t="shared" si="0"/>
        <v>100</v>
      </c>
      <c r="F7" s="13">
        <v>1623</v>
      </c>
      <c r="G7" s="89">
        <f t="shared" si="1"/>
        <v>100</v>
      </c>
      <c r="H7" s="43"/>
    </row>
    <row r="8" spans="1:8" s="44" customFormat="1" ht="18.75" customHeight="1">
      <c r="A8" s="4" t="s">
        <v>53</v>
      </c>
      <c r="B8" s="88">
        <v>4380</v>
      </c>
      <c r="C8" s="13">
        <v>4380</v>
      </c>
      <c r="D8" s="13">
        <v>4380</v>
      </c>
      <c r="E8" s="19">
        <f t="shared" si="0"/>
        <v>100</v>
      </c>
      <c r="F8" s="13">
        <v>4380</v>
      </c>
      <c r="G8" s="89">
        <f t="shared" si="1"/>
        <v>100</v>
      </c>
      <c r="H8" s="43"/>
    </row>
    <row r="9" spans="1:8" s="44" customFormat="1" ht="18.75" customHeight="1">
      <c r="A9" s="4" t="s">
        <v>46</v>
      </c>
      <c r="B9" s="88">
        <f>1142+600</f>
        <v>1742</v>
      </c>
      <c r="C9" s="13">
        <f>1142+600</f>
        <v>1742</v>
      </c>
      <c r="D9" s="13">
        <f>1142+600</f>
        <v>1742</v>
      </c>
      <c r="E9" s="19">
        <f t="shared" si="0"/>
        <v>100</v>
      </c>
      <c r="F9" s="25">
        <v>1742</v>
      </c>
      <c r="G9" s="89">
        <f t="shared" si="1"/>
        <v>100</v>
      </c>
      <c r="H9" s="43"/>
    </row>
    <row r="10" spans="1:8" s="44" customFormat="1" ht="18.75" customHeight="1">
      <c r="A10" s="4" t="s">
        <v>108</v>
      </c>
      <c r="B10" s="88">
        <v>2520</v>
      </c>
      <c r="C10" s="13">
        <v>2520</v>
      </c>
      <c r="D10" s="13">
        <v>2520</v>
      </c>
      <c r="E10" s="19">
        <f t="shared" si="0"/>
        <v>100</v>
      </c>
      <c r="F10" s="25">
        <v>2016</v>
      </c>
      <c r="G10" s="89">
        <f t="shared" si="1"/>
        <v>80</v>
      </c>
      <c r="H10" s="43"/>
    </row>
    <row r="11" spans="1:8" s="44" customFormat="1" ht="18.75" customHeight="1">
      <c r="A11" s="4" t="s">
        <v>47</v>
      </c>
      <c r="B11" s="88">
        <v>2160</v>
      </c>
      <c r="C11" s="13">
        <v>2160</v>
      </c>
      <c r="D11" s="13">
        <v>2160</v>
      </c>
      <c r="E11" s="19">
        <f t="shared" si="0"/>
        <v>100</v>
      </c>
      <c r="F11" s="25">
        <v>2160</v>
      </c>
      <c r="G11" s="89">
        <f t="shared" si="1"/>
        <v>100</v>
      </c>
      <c r="H11" s="43"/>
    </row>
    <row r="12" spans="1:8" s="44" customFormat="1" ht="18.75" customHeight="1">
      <c r="A12" s="4" t="s">
        <v>48</v>
      </c>
      <c r="B12" s="88">
        <f>3000-276</f>
        <v>2724</v>
      </c>
      <c r="C12" s="13">
        <f>3000-276</f>
        <v>2724</v>
      </c>
      <c r="D12" s="13">
        <f>3000-276</f>
        <v>2724</v>
      </c>
      <c r="E12" s="19">
        <f t="shared" si="0"/>
        <v>100</v>
      </c>
      <c r="F12" s="25">
        <v>2724</v>
      </c>
      <c r="G12" s="89">
        <f t="shared" si="1"/>
        <v>100</v>
      </c>
      <c r="H12" s="43"/>
    </row>
    <row r="13" spans="1:8" s="44" customFormat="1" ht="18.75" customHeight="1">
      <c r="A13" s="4" t="s">
        <v>146</v>
      </c>
      <c r="B13" s="88">
        <v>96</v>
      </c>
      <c r="C13" s="13">
        <v>96</v>
      </c>
      <c r="D13" s="13">
        <v>96</v>
      </c>
      <c r="E13" s="19">
        <f t="shared" si="0"/>
        <v>100</v>
      </c>
      <c r="F13" s="25">
        <v>96</v>
      </c>
      <c r="G13" s="89">
        <f t="shared" si="1"/>
        <v>100</v>
      </c>
      <c r="H13" s="66"/>
    </row>
    <row r="14" spans="1:8" s="44" customFormat="1" ht="18.75" customHeight="1">
      <c r="A14" s="4" t="s">
        <v>66</v>
      </c>
      <c r="B14" s="88">
        <v>96</v>
      </c>
      <c r="C14" s="13">
        <v>96</v>
      </c>
      <c r="D14" s="13">
        <v>96</v>
      </c>
      <c r="E14" s="19">
        <f t="shared" si="0"/>
        <v>100</v>
      </c>
      <c r="F14" s="25">
        <v>96</v>
      </c>
      <c r="G14" s="89">
        <f t="shared" si="1"/>
        <v>100</v>
      </c>
      <c r="H14" s="66"/>
    </row>
    <row r="15" spans="1:8" s="44" customFormat="1" ht="18.75" customHeight="1">
      <c r="A15" s="4" t="s">
        <v>67</v>
      </c>
      <c r="B15" s="88">
        <v>38</v>
      </c>
      <c r="C15" s="13">
        <v>38</v>
      </c>
      <c r="D15" s="13">
        <v>38</v>
      </c>
      <c r="E15" s="19">
        <f t="shared" si="0"/>
        <v>100</v>
      </c>
      <c r="F15" s="25">
        <v>38</v>
      </c>
      <c r="G15" s="89">
        <f t="shared" si="1"/>
        <v>100</v>
      </c>
      <c r="H15" s="66"/>
    </row>
    <row r="16" spans="1:8" s="44" customFormat="1" ht="18.75" customHeight="1">
      <c r="A16" s="3" t="s">
        <v>50</v>
      </c>
      <c r="B16" s="88">
        <v>764</v>
      </c>
      <c r="C16" s="13">
        <v>764</v>
      </c>
      <c r="D16" s="13">
        <v>764</v>
      </c>
      <c r="E16" s="19">
        <f t="shared" si="0"/>
        <v>100</v>
      </c>
      <c r="F16" s="25">
        <v>764</v>
      </c>
      <c r="G16" s="89">
        <f t="shared" si="1"/>
        <v>100</v>
      </c>
      <c r="H16" s="43"/>
    </row>
    <row r="17" spans="1:8" s="45" customFormat="1" ht="18.75" customHeight="1">
      <c r="A17" s="7" t="s">
        <v>165</v>
      </c>
      <c r="B17" s="88">
        <v>50</v>
      </c>
      <c r="C17" s="13">
        <v>0</v>
      </c>
      <c r="D17" s="38" t="s">
        <v>33</v>
      </c>
      <c r="E17" s="38" t="s">
        <v>33</v>
      </c>
      <c r="F17" s="38" t="s">
        <v>33</v>
      </c>
      <c r="G17" s="90" t="s">
        <v>33</v>
      </c>
      <c r="H17" s="67"/>
    </row>
    <row r="18" spans="1:8" s="44" customFormat="1" ht="18.75" customHeight="1">
      <c r="A18" s="41" t="s">
        <v>38</v>
      </c>
      <c r="B18" s="88">
        <v>38400</v>
      </c>
      <c r="C18" s="39">
        <v>0</v>
      </c>
      <c r="D18" s="38" t="s">
        <v>33</v>
      </c>
      <c r="E18" s="38" t="s">
        <v>33</v>
      </c>
      <c r="F18" s="38" t="s">
        <v>33</v>
      </c>
      <c r="G18" s="90" t="s">
        <v>33</v>
      </c>
      <c r="H18" s="68"/>
    </row>
    <row r="19" spans="1:8" s="44" customFormat="1" ht="18.75" customHeight="1">
      <c r="A19" s="4" t="s">
        <v>193</v>
      </c>
      <c r="B19" s="91" t="s">
        <v>39</v>
      </c>
      <c r="C19" s="39">
        <v>11124</v>
      </c>
      <c r="D19" s="13">
        <v>11124</v>
      </c>
      <c r="E19" s="19">
        <f aca="true" t="shared" si="2" ref="E19:E29">+D19/C19*100</f>
        <v>100</v>
      </c>
      <c r="F19" s="25"/>
      <c r="G19" s="89">
        <f aca="true" t="shared" si="3" ref="G19:G24">+F19/C19*100</f>
        <v>0</v>
      </c>
      <c r="H19" s="68"/>
    </row>
    <row r="20" spans="1:8" s="44" customFormat="1" ht="18.75" customHeight="1">
      <c r="A20" s="4" t="s">
        <v>194</v>
      </c>
      <c r="B20" s="91" t="s">
        <v>39</v>
      </c>
      <c r="C20" s="39">
        <f>13284+540</f>
        <v>13824</v>
      </c>
      <c r="D20" s="13">
        <f>540+13284</f>
        <v>13824</v>
      </c>
      <c r="E20" s="19">
        <f t="shared" si="2"/>
        <v>100</v>
      </c>
      <c r="F20" s="25">
        <v>432</v>
      </c>
      <c r="G20" s="89">
        <f t="shared" si="3"/>
        <v>3.125</v>
      </c>
      <c r="H20" s="68"/>
    </row>
    <row r="21" spans="1:8" s="44" customFormat="1" ht="18.75" customHeight="1">
      <c r="A21" s="4" t="s">
        <v>195</v>
      </c>
      <c r="B21" s="91" t="s">
        <v>39</v>
      </c>
      <c r="C21" s="39">
        <f>8784+720</f>
        <v>9504</v>
      </c>
      <c r="D21" s="13">
        <f>720+8784</f>
        <v>9504</v>
      </c>
      <c r="E21" s="19">
        <f t="shared" si="2"/>
        <v>100</v>
      </c>
      <c r="F21" s="25">
        <v>576</v>
      </c>
      <c r="G21" s="89">
        <f t="shared" si="3"/>
        <v>6.0606060606060606</v>
      </c>
      <c r="H21" s="68"/>
    </row>
    <row r="22" spans="1:8" s="44" customFormat="1" ht="18.75" customHeight="1">
      <c r="A22" s="4" t="s">
        <v>196</v>
      </c>
      <c r="B22" s="91" t="s">
        <v>39</v>
      </c>
      <c r="C22" s="39">
        <f>8976+720</f>
        <v>9696</v>
      </c>
      <c r="D22" s="13">
        <f>720+8976</f>
        <v>9696</v>
      </c>
      <c r="E22" s="19">
        <f t="shared" si="2"/>
        <v>100</v>
      </c>
      <c r="F22" s="25">
        <v>576</v>
      </c>
      <c r="G22" s="89">
        <f t="shared" si="3"/>
        <v>5.9405940594059405</v>
      </c>
      <c r="H22" s="68"/>
    </row>
    <row r="23" spans="1:8" s="44" customFormat="1" ht="18.75" customHeight="1">
      <c r="A23" s="4" t="s">
        <v>197</v>
      </c>
      <c r="B23" s="91" t="s">
        <v>39</v>
      </c>
      <c r="C23" s="39">
        <f>14424+660</f>
        <v>15084</v>
      </c>
      <c r="D23" s="13">
        <f>660+14424</f>
        <v>15084</v>
      </c>
      <c r="E23" s="19">
        <f t="shared" si="2"/>
        <v>100</v>
      </c>
      <c r="F23" s="25">
        <v>528</v>
      </c>
      <c r="G23" s="89">
        <f t="shared" si="3"/>
        <v>3.5003977724741446</v>
      </c>
      <c r="H23" s="68"/>
    </row>
    <row r="24" spans="1:8" s="44" customFormat="1" ht="18.75" customHeight="1">
      <c r="A24" s="4" t="s">
        <v>198</v>
      </c>
      <c r="B24" s="91" t="s">
        <v>39</v>
      </c>
      <c r="C24" s="39">
        <v>264</v>
      </c>
      <c r="D24" s="13">
        <v>264</v>
      </c>
      <c r="E24" s="19">
        <f t="shared" si="2"/>
        <v>100</v>
      </c>
      <c r="F24" s="25">
        <v>264</v>
      </c>
      <c r="G24" s="89">
        <f t="shared" si="3"/>
        <v>100</v>
      </c>
      <c r="H24" s="68"/>
    </row>
    <row r="25" spans="1:8" s="45" customFormat="1" ht="18.75" customHeight="1">
      <c r="A25" s="4" t="s">
        <v>118</v>
      </c>
      <c r="B25" s="88">
        <v>7600</v>
      </c>
      <c r="C25" s="13">
        <v>7600</v>
      </c>
      <c r="D25" s="15">
        <v>7600</v>
      </c>
      <c r="E25" s="19">
        <f t="shared" si="2"/>
        <v>100</v>
      </c>
      <c r="F25" s="38" t="s">
        <v>33</v>
      </c>
      <c r="G25" s="90" t="s">
        <v>33</v>
      </c>
      <c r="H25" s="67"/>
    </row>
    <row r="26" spans="1:8" s="44" customFormat="1" ht="18.75" customHeight="1">
      <c r="A26" s="7" t="s">
        <v>25</v>
      </c>
      <c r="B26" s="88">
        <v>3000</v>
      </c>
      <c r="C26" s="13">
        <f>3000+508</f>
        <v>3508</v>
      </c>
      <c r="D26" s="13">
        <v>3000</v>
      </c>
      <c r="E26" s="19">
        <f t="shared" si="2"/>
        <v>85.5188141391106</v>
      </c>
      <c r="F26" s="25"/>
      <c r="G26" s="89">
        <f>+F26/C26*100</f>
        <v>0</v>
      </c>
      <c r="H26" s="68"/>
    </row>
    <row r="27" spans="1:8" s="44" customFormat="1" ht="18.75" customHeight="1">
      <c r="A27" s="4" t="s">
        <v>114</v>
      </c>
      <c r="B27" s="88">
        <v>2000</v>
      </c>
      <c r="C27" s="13">
        <v>2000</v>
      </c>
      <c r="D27" s="38" t="s">
        <v>33</v>
      </c>
      <c r="E27" s="38" t="s">
        <v>33</v>
      </c>
      <c r="F27" s="38" t="s">
        <v>33</v>
      </c>
      <c r="G27" s="90" t="s">
        <v>33</v>
      </c>
      <c r="H27" s="67"/>
    </row>
    <row r="28" spans="1:8" ht="18.75" customHeight="1">
      <c r="A28" s="3" t="s">
        <v>113</v>
      </c>
      <c r="B28" s="88">
        <v>40000</v>
      </c>
      <c r="C28" s="13">
        <f>40000+11000</f>
        <v>51000</v>
      </c>
      <c r="D28" s="13">
        <v>2736</v>
      </c>
      <c r="E28" s="19">
        <f t="shared" si="2"/>
        <v>5.364705882352941</v>
      </c>
      <c r="F28" s="25">
        <f>2491</f>
        <v>2491</v>
      </c>
      <c r="G28" s="89">
        <f>+F28/C28*100</f>
        <v>4.8843137254901965</v>
      </c>
      <c r="H28" s="42"/>
    </row>
    <row r="29" spans="1:8" s="47" customFormat="1" ht="18.75" customHeight="1">
      <c r="A29" s="7" t="s">
        <v>158</v>
      </c>
      <c r="B29" s="88">
        <v>1000</v>
      </c>
      <c r="C29" s="13">
        <v>1320</v>
      </c>
      <c r="D29" s="13">
        <v>1320</v>
      </c>
      <c r="E29" s="19">
        <f t="shared" si="2"/>
        <v>100</v>
      </c>
      <c r="F29" s="25"/>
      <c r="G29" s="89">
        <f>+F29/C29*100</f>
        <v>0</v>
      </c>
      <c r="H29" s="67"/>
    </row>
    <row r="30" spans="1:8" s="47" customFormat="1" ht="18.75" customHeight="1">
      <c r="A30" s="57" t="s">
        <v>175</v>
      </c>
      <c r="B30" s="88">
        <v>0</v>
      </c>
      <c r="C30" s="39">
        <f>600-600</f>
        <v>0</v>
      </c>
      <c r="D30" s="38" t="s">
        <v>33</v>
      </c>
      <c r="E30" s="38" t="s">
        <v>33</v>
      </c>
      <c r="F30" s="38" t="s">
        <v>33</v>
      </c>
      <c r="G30" s="90" t="s">
        <v>33</v>
      </c>
      <c r="H30" s="67"/>
    </row>
    <row r="31" spans="1:8" s="47" customFormat="1" ht="18.75" customHeight="1">
      <c r="A31" s="57" t="s">
        <v>176</v>
      </c>
      <c r="B31" s="88">
        <v>0</v>
      </c>
      <c r="C31" s="39">
        <v>6600</v>
      </c>
      <c r="D31" s="13">
        <v>6600</v>
      </c>
      <c r="E31" s="19">
        <f>+D31/C31*100</f>
        <v>100</v>
      </c>
      <c r="F31" s="25">
        <v>6600</v>
      </c>
      <c r="G31" s="89">
        <f>+F31/C31*100</f>
        <v>100</v>
      </c>
      <c r="H31" s="67"/>
    </row>
    <row r="32" spans="1:8" s="47" customFormat="1" ht="18.75" customHeight="1">
      <c r="A32" s="57" t="s">
        <v>177</v>
      </c>
      <c r="B32" s="88">
        <v>0</v>
      </c>
      <c r="C32" s="39">
        <v>360</v>
      </c>
      <c r="D32" s="13">
        <v>360</v>
      </c>
      <c r="E32" s="19">
        <f>+D32/C32*100</f>
        <v>100</v>
      </c>
      <c r="F32" s="25">
        <v>360</v>
      </c>
      <c r="G32" s="89">
        <f>+F32/C32*100</f>
        <v>100</v>
      </c>
      <c r="H32" s="67"/>
    </row>
    <row r="33" spans="1:8" s="47" customFormat="1" ht="18.75" customHeight="1">
      <c r="A33" s="57" t="s">
        <v>214</v>
      </c>
      <c r="B33" s="88">
        <v>0</v>
      </c>
      <c r="C33" s="39"/>
      <c r="D33" s="13">
        <v>300</v>
      </c>
      <c r="E33" s="19">
        <v>100</v>
      </c>
      <c r="F33" s="25"/>
      <c r="G33" s="89"/>
      <c r="H33" s="67" t="s">
        <v>241</v>
      </c>
    </row>
    <row r="34" spans="1:8" s="47" customFormat="1" ht="18.75" customHeight="1">
      <c r="A34" s="57" t="s">
        <v>240</v>
      </c>
      <c r="B34" s="88">
        <v>0</v>
      </c>
      <c r="C34" s="39"/>
      <c r="D34" s="13">
        <v>5508</v>
      </c>
      <c r="E34" s="19">
        <v>100</v>
      </c>
      <c r="F34" s="25"/>
      <c r="G34" s="89"/>
      <c r="H34" s="67" t="s">
        <v>241</v>
      </c>
    </row>
    <row r="35" spans="1:8" s="44" customFormat="1" ht="18.75" customHeight="1">
      <c r="A35" s="33" t="s">
        <v>3</v>
      </c>
      <c r="B35" s="92">
        <f>SUM(B4:B34)</f>
        <v>123339</v>
      </c>
      <c r="C35" s="14">
        <f>SUM(C4:C34)</f>
        <v>163173</v>
      </c>
      <c r="D35" s="14">
        <f>SUM(D4:D34)</f>
        <v>118209</v>
      </c>
      <c r="E35" s="20">
        <f>+D35/C35*100</f>
        <v>72.443970509827</v>
      </c>
      <c r="F35" s="14">
        <f>SUM(F4:F34)</f>
        <v>42612</v>
      </c>
      <c r="G35" s="93">
        <f>+F35/C35*100</f>
        <v>26.11461455020132</v>
      </c>
      <c r="H35" s="69"/>
    </row>
    <row r="36" spans="1:8" s="45" customFormat="1" ht="22.5" customHeight="1">
      <c r="A36" s="2" t="s">
        <v>4</v>
      </c>
      <c r="B36" s="88"/>
      <c r="C36" s="13"/>
      <c r="D36" s="13"/>
      <c r="E36" s="19"/>
      <c r="F36" s="25"/>
      <c r="G36" s="89"/>
      <c r="H36" s="43"/>
    </row>
    <row r="37" spans="1:8" s="45" customFormat="1" ht="18.75" customHeight="1">
      <c r="A37" s="7" t="s">
        <v>170</v>
      </c>
      <c r="B37" s="94">
        <f>507360+2880+3618+606</f>
        <v>514464</v>
      </c>
      <c r="C37" s="24">
        <f>507360+2880+3618+606+1000</f>
        <v>515464</v>
      </c>
      <c r="D37" s="24">
        <v>515462</v>
      </c>
      <c r="E37" s="19">
        <f>+D37/C37*100</f>
        <v>99.99961200006207</v>
      </c>
      <c r="F37" s="25">
        <v>515462</v>
      </c>
      <c r="G37" s="89">
        <f>+F37/C37*100</f>
        <v>99.99961200006207</v>
      </c>
      <c r="H37" s="70"/>
    </row>
    <row r="38" spans="1:8" s="44" customFormat="1" ht="18.75" customHeight="1">
      <c r="A38" s="7" t="s">
        <v>225</v>
      </c>
      <c r="B38" s="95">
        <f>275534+2304+576</f>
        <v>278414</v>
      </c>
      <c r="C38" s="26">
        <f>275534+2304+576</f>
        <v>278414</v>
      </c>
      <c r="D38" s="26">
        <v>278414</v>
      </c>
      <c r="E38" s="21">
        <f>+D38/C38*100</f>
        <v>100</v>
      </c>
      <c r="F38" s="25">
        <v>185993</v>
      </c>
      <c r="G38" s="89">
        <f>+F38/C38*100</f>
        <v>66.80447103953105</v>
      </c>
      <c r="H38" s="70"/>
    </row>
    <row r="39" spans="1:8" s="44" customFormat="1" ht="18.75" customHeight="1">
      <c r="A39" s="8" t="s">
        <v>57</v>
      </c>
      <c r="B39" s="88">
        <v>5971</v>
      </c>
      <c r="C39" s="13">
        <v>5971</v>
      </c>
      <c r="D39" s="13">
        <v>5971</v>
      </c>
      <c r="E39" s="19">
        <f>+D39/C39*100</f>
        <v>100</v>
      </c>
      <c r="F39" s="25">
        <v>5971</v>
      </c>
      <c r="G39" s="89">
        <f>+F39/C39*100</f>
        <v>100</v>
      </c>
      <c r="H39" s="43"/>
    </row>
    <row r="40" spans="1:8" ht="18.75" customHeight="1">
      <c r="A40" s="57" t="s">
        <v>60</v>
      </c>
      <c r="B40" s="88">
        <v>5000</v>
      </c>
      <c r="C40" s="13">
        <v>0</v>
      </c>
      <c r="D40" s="38" t="s">
        <v>33</v>
      </c>
      <c r="E40" s="38" t="s">
        <v>33</v>
      </c>
      <c r="F40" s="38" t="s">
        <v>33</v>
      </c>
      <c r="G40" s="90" t="s">
        <v>33</v>
      </c>
      <c r="H40" s="43"/>
    </row>
    <row r="41" spans="1:8" ht="18.75" customHeight="1">
      <c r="A41" s="4" t="s">
        <v>72</v>
      </c>
      <c r="B41" s="91">
        <v>4500</v>
      </c>
      <c r="C41" s="15">
        <f>4500+3856</f>
        <v>8356</v>
      </c>
      <c r="D41" s="15">
        <f>576+7780</f>
        <v>8356</v>
      </c>
      <c r="E41" s="21">
        <f aca="true" t="shared" si="4" ref="E41:E50">+D41/C41*100</f>
        <v>100</v>
      </c>
      <c r="F41" s="25">
        <v>576</v>
      </c>
      <c r="G41" s="89">
        <f aca="true" t="shared" si="5" ref="G41:G50">+F41/C41*100</f>
        <v>6.893250359023456</v>
      </c>
      <c r="H41" s="42"/>
    </row>
    <row r="42" spans="1:8" ht="18.75" customHeight="1">
      <c r="A42" s="4" t="s">
        <v>169</v>
      </c>
      <c r="B42" s="91">
        <v>1000</v>
      </c>
      <c r="C42" s="15">
        <v>1000</v>
      </c>
      <c r="D42" s="15">
        <v>948</v>
      </c>
      <c r="E42" s="21">
        <f t="shared" si="4"/>
        <v>94.8</v>
      </c>
      <c r="G42" s="89">
        <f t="shared" si="5"/>
        <v>0</v>
      </c>
      <c r="H42" s="67"/>
    </row>
    <row r="43" spans="1:8" s="44" customFormat="1" ht="18.75" customHeight="1">
      <c r="A43" s="4" t="s">
        <v>73</v>
      </c>
      <c r="B43" s="91">
        <v>2000</v>
      </c>
      <c r="C43" s="15">
        <v>2000</v>
      </c>
      <c r="D43" s="15">
        <v>1990</v>
      </c>
      <c r="E43" s="21">
        <f t="shared" si="4"/>
        <v>99.5</v>
      </c>
      <c r="F43" s="38" t="s">
        <v>33</v>
      </c>
      <c r="G43" s="90" t="s">
        <v>33</v>
      </c>
      <c r="H43" s="42"/>
    </row>
    <row r="44" spans="1:8" ht="18.75" customHeight="1">
      <c r="A44" s="57" t="s">
        <v>61</v>
      </c>
      <c r="B44" s="88">
        <v>480</v>
      </c>
      <c r="C44" s="13">
        <v>480</v>
      </c>
      <c r="D44" s="13">
        <v>480</v>
      </c>
      <c r="E44" s="19">
        <f t="shared" si="4"/>
        <v>100</v>
      </c>
      <c r="F44" s="25">
        <v>480</v>
      </c>
      <c r="G44" s="89">
        <f t="shared" si="5"/>
        <v>100</v>
      </c>
      <c r="H44" s="43"/>
    </row>
    <row r="45" spans="1:8" s="44" customFormat="1" ht="18.75" customHeight="1">
      <c r="A45" s="4" t="s">
        <v>115</v>
      </c>
      <c r="B45" s="91">
        <v>5000</v>
      </c>
      <c r="C45" s="15">
        <v>5000</v>
      </c>
      <c r="D45" s="38" t="s">
        <v>33</v>
      </c>
      <c r="E45" s="38" t="s">
        <v>33</v>
      </c>
      <c r="F45" s="38" t="s">
        <v>33</v>
      </c>
      <c r="G45" s="90" t="s">
        <v>33</v>
      </c>
      <c r="H45" s="42"/>
    </row>
    <row r="46" spans="1:8" s="47" customFormat="1" ht="18.75" customHeight="1">
      <c r="A46" s="2" t="s">
        <v>52</v>
      </c>
      <c r="B46" s="96">
        <v>341</v>
      </c>
      <c r="C46" s="16">
        <v>341</v>
      </c>
      <c r="D46" s="16">
        <v>341</v>
      </c>
      <c r="E46" s="22">
        <f t="shared" si="4"/>
        <v>100</v>
      </c>
      <c r="F46" s="40">
        <v>341</v>
      </c>
      <c r="G46" s="97">
        <f t="shared" si="5"/>
        <v>100</v>
      </c>
      <c r="H46" s="48"/>
    </row>
    <row r="47" spans="1:8" s="47" customFormat="1" ht="18.75" customHeight="1">
      <c r="A47" s="2" t="s">
        <v>125</v>
      </c>
      <c r="B47" s="96">
        <v>15000</v>
      </c>
      <c r="C47" s="16">
        <v>15000</v>
      </c>
      <c r="D47" s="16">
        <v>720</v>
      </c>
      <c r="E47" s="22">
        <f t="shared" si="4"/>
        <v>4.8</v>
      </c>
      <c r="F47" s="40">
        <v>720</v>
      </c>
      <c r="G47" s="97">
        <f t="shared" si="5"/>
        <v>4.8</v>
      </c>
      <c r="H47" s="48"/>
    </row>
    <row r="48" spans="1:8" s="47" customFormat="1" ht="18.75" customHeight="1">
      <c r="A48" s="2" t="s">
        <v>137</v>
      </c>
      <c r="B48" s="96">
        <v>4000</v>
      </c>
      <c r="C48" s="16">
        <f>4000+13880</f>
        <v>17880</v>
      </c>
      <c r="D48" s="16">
        <v>17880</v>
      </c>
      <c r="E48" s="22">
        <f t="shared" si="4"/>
        <v>100</v>
      </c>
      <c r="F48" s="40"/>
      <c r="G48" s="97">
        <f t="shared" si="5"/>
        <v>0</v>
      </c>
      <c r="H48" s="48"/>
    </row>
    <row r="49" spans="1:8" ht="18.75" customHeight="1">
      <c r="A49" s="4" t="s">
        <v>74</v>
      </c>
      <c r="B49" s="91">
        <v>400</v>
      </c>
      <c r="C49" s="15">
        <v>400</v>
      </c>
      <c r="D49" s="15">
        <v>360</v>
      </c>
      <c r="E49" s="21">
        <f t="shared" si="4"/>
        <v>90</v>
      </c>
      <c r="F49" s="25">
        <v>360</v>
      </c>
      <c r="G49" s="89">
        <f t="shared" si="5"/>
        <v>90</v>
      </c>
      <c r="H49" s="42"/>
    </row>
    <row r="50" spans="1:8" s="44" customFormat="1" ht="18.75" customHeight="1">
      <c r="A50" s="4" t="s">
        <v>75</v>
      </c>
      <c r="B50" s="91">
        <v>3600</v>
      </c>
      <c r="C50" s="15">
        <v>3600</v>
      </c>
      <c r="D50" s="15">
        <v>2400</v>
      </c>
      <c r="E50" s="21">
        <f t="shared" si="4"/>
        <v>66.66666666666666</v>
      </c>
      <c r="F50" s="25"/>
      <c r="G50" s="89">
        <f t="shared" si="5"/>
        <v>0</v>
      </c>
      <c r="H50" s="67"/>
    </row>
    <row r="51" spans="1:8" s="44" customFormat="1" ht="18.75" customHeight="1">
      <c r="A51" s="4" t="s">
        <v>58</v>
      </c>
      <c r="B51" s="88">
        <v>50</v>
      </c>
      <c r="C51" s="13">
        <v>50</v>
      </c>
      <c r="D51" s="13">
        <v>50</v>
      </c>
      <c r="E51" s="19">
        <f aca="true" t="shared" si="6" ref="E51:E60">+D51/C51*100</f>
        <v>100</v>
      </c>
      <c r="F51" s="25"/>
      <c r="G51" s="89">
        <f aca="true" t="shared" si="7" ref="G51:G60">+F51/C51*100</f>
        <v>0</v>
      </c>
      <c r="H51" s="43" t="s">
        <v>45</v>
      </c>
    </row>
    <row r="52" spans="1:8" s="44" customFormat="1" ht="18.75" customHeight="1">
      <c r="A52" s="9" t="s">
        <v>59</v>
      </c>
      <c r="B52" s="88">
        <v>924</v>
      </c>
      <c r="C52" s="13">
        <v>924</v>
      </c>
      <c r="D52" s="13">
        <v>924</v>
      </c>
      <c r="E52" s="19">
        <f t="shared" si="6"/>
        <v>100</v>
      </c>
      <c r="F52" s="25"/>
      <c r="G52" s="89">
        <f t="shared" si="7"/>
        <v>0</v>
      </c>
      <c r="H52" s="43" t="s">
        <v>45</v>
      </c>
    </row>
    <row r="53" spans="1:8" s="44" customFormat="1" ht="18.75" customHeight="1">
      <c r="A53" s="7" t="s">
        <v>51</v>
      </c>
      <c r="B53" s="88">
        <v>34</v>
      </c>
      <c r="C53" s="13">
        <v>34</v>
      </c>
      <c r="D53" s="13">
        <v>34</v>
      </c>
      <c r="E53" s="19">
        <f t="shared" si="6"/>
        <v>100</v>
      </c>
      <c r="F53" s="25">
        <v>34</v>
      </c>
      <c r="G53" s="89">
        <f t="shared" si="7"/>
        <v>100</v>
      </c>
      <c r="H53" s="43"/>
    </row>
    <row r="54" spans="1:8" s="47" customFormat="1" ht="18.75" customHeight="1">
      <c r="A54" s="57" t="s">
        <v>62</v>
      </c>
      <c r="B54" s="88">
        <v>38</v>
      </c>
      <c r="C54" s="13">
        <v>38</v>
      </c>
      <c r="D54" s="13">
        <v>38</v>
      </c>
      <c r="E54" s="19">
        <f t="shared" si="6"/>
        <v>100</v>
      </c>
      <c r="F54" s="25">
        <v>38</v>
      </c>
      <c r="G54" s="89">
        <f t="shared" si="7"/>
        <v>100</v>
      </c>
      <c r="H54" s="43"/>
    </row>
    <row r="55" spans="1:8" s="47" customFormat="1" ht="18.75" customHeight="1">
      <c r="A55" s="49" t="s">
        <v>188</v>
      </c>
      <c r="B55" s="96">
        <v>0</v>
      </c>
      <c r="C55" s="16">
        <v>25000</v>
      </c>
      <c r="D55" s="110" t="s">
        <v>33</v>
      </c>
      <c r="E55" s="110" t="s">
        <v>33</v>
      </c>
      <c r="F55" s="110" t="s">
        <v>33</v>
      </c>
      <c r="G55" s="111" t="s">
        <v>33</v>
      </c>
      <c r="H55" s="76"/>
    </row>
    <row r="56" spans="1:8" s="47" customFormat="1" ht="18.75" customHeight="1">
      <c r="A56" s="4" t="s">
        <v>187</v>
      </c>
      <c r="B56" s="88">
        <v>0</v>
      </c>
      <c r="C56" s="13">
        <v>200</v>
      </c>
      <c r="D56" s="13">
        <v>199</v>
      </c>
      <c r="E56" s="19">
        <f t="shared" si="6"/>
        <v>99.5</v>
      </c>
      <c r="F56" s="25">
        <v>199</v>
      </c>
      <c r="G56" s="89">
        <f t="shared" si="7"/>
        <v>99.5</v>
      </c>
      <c r="H56" s="43"/>
    </row>
    <row r="57" spans="1:8" s="47" customFormat="1" ht="18.75" customHeight="1">
      <c r="A57" s="4" t="s">
        <v>189</v>
      </c>
      <c r="B57" s="88">
        <v>0</v>
      </c>
      <c r="C57" s="39">
        <f>2*697</f>
        <v>1394</v>
      </c>
      <c r="D57" s="13">
        <v>110</v>
      </c>
      <c r="E57" s="19">
        <f t="shared" si="6"/>
        <v>7.890961262553802</v>
      </c>
      <c r="F57" s="25">
        <v>110</v>
      </c>
      <c r="G57" s="89">
        <f t="shared" si="7"/>
        <v>7.890961262553802</v>
      </c>
      <c r="H57" s="43"/>
    </row>
    <row r="58" spans="1:8" s="47" customFormat="1" ht="18.75" customHeight="1">
      <c r="A58" s="4" t="s">
        <v>199</v>
      </c>
      <c r="B58" s="88">
        <v>0</v>
      </c>
      <c r="C58" s="39">
        <v>3823</v>
      </c>
      <c r="D58" s="13">
        <v>3823</v>
      </c>
      <c r="E58" s="19">
        <f t="shared" si="6"/>
        <v>100</v>
      </c>
      <c r="F58" s="25"/>
      <c r="G58" s="89">
        <f t="shared" si="7"/>
        <v>0</v>
      </c>
      <c r="H58" s="43"/>
    </row>
    <row r="59" spans="1:8" s="47" customFormat="1" ht="18.75" customHeight="1">
      <c r="A59" s="4" t="s">
        <v>200</v>
      </c>
      <c r="B59" s="88">
        <v>0</v>
      </c>
      <c r="C59" s="39">
        <v>348</v>
      </c>
      <c r="D59" s="13">
        <v>348</v>
      </c>
      <c r="E59" s="19">
        <f t="shared" si="6"/>
        <v>100</v>
      </c>
      <c r="F59" s="25"/>
      <c r="G59" s="89">
        <f t="shared" si="7"/>
        <v>0</v>
      </c>
      <c r="H59" s="43"/>
    </row>
    <row r="60" spans="1:8" s="47" customFormat="1" ht="18.75" customHeight="1">
      <c r="A60" s="4" t="s">
        <v>201</v>
      </c>
      <c r="B60" s="88">
        <v>0</v>
      </c>
      <c r="C60" s="39">
        <v>450</v>
      </c>
      <c r="D60" s="13">
        <v>450</v>
      </c>
      <c r="E60" s="19">
        <f t="shared" si="6"/>
        <v>100</v>
      </c>
      <c r="F60" s="25"/>
      <c r="G60" s="89">
        <f t="shared" si="7"/>
        <v>0</v>
      </c>
      <c r="H60" s="43"/>
    </row>
    <row r="61" spans="1:8" s="47" customFormat="1" ht="18.75" customHeight="1">
      <c r="A61" s="4" t="s">
        <v>217</v>
      </c>
      <c r="B61" s="88">
        <v>0</v>
      </c>
      <c r="C61" s="39">
        <v>1500</v>
      </c>
      <c r="D61" s="38" t="s">
        <v>33</v>
      </c>
      <c r="E61" s="38" t="s">
        <v>33</v>
      </c>
      <c r="F61" s="38" t="s">
        <v>33</v>
      </c>
      <c r="G61" s="90" t="s">
        <v>33</v>
      </c>
      <c r="H61" s="43"/>
    </row>
    <row r="62" spans="1:8" s="47" customFormat="1" ht="28.5" customHeight="1">
      <c r="A62" s="4" t="s">
        <v>218</v>
      </c>
      <c r="B62" s="88">
        <v>0</v>
      </c>
      <c r="C62" s="39">
        <v>4500</v>
      </c>
      <c r="D62" s="38" t="s">
        <v>33</v>
      </c>
      <c r="E62" s="38" t="s">
        <v>33</v>
      </c>
      <c r="F62" s="38" t="s">
        <v>33</v>
      </c>
      <c r="G62" s="90" t="s">
        <v>33</v>
      </c>
      <c r="H62" s="43"/>
    </row>
    <row r="63" spans="1:8" s="47" customFormat="1" ht="18.75" customHeight="1">
      <c r="A63" s="7" t="s">
        <v>219</v>
      </c>
      <c r="B63" s="88">
        <v>0</v>
      </c>
      <c r="C63" s="39">
        <v>1700</v>
      </c>
      <c r="D63" s="38" t="s">
        <v>33</v>
      </c>
      <c r="E63" s="38" t="s">
        <v>33</v>
      </c>
      <c r="F63" s="38" t="s">
        <v>33</v>
      </c>
      <c r="G63" s="90" t="s">
        <v>33</v>
      </c>
      <c r="H63" s="43"/>
    </row>
    <row r="64" spans="1:8" s="47" customFormat="1" ht="18.75" customHeight="1">
      <c r="A64" s="7" t="s">
        <v>220</v>
      </c>
      <c r="B64" s="88">
        <v>0</v>
      </c>
      <c r="C64" s="39">
        <v>8000</v>
      </c>
      <c r="D64" s="15">
        <v>4150</v>
      </c>
      <c r="E64" s="19">
        <f>+D64/C64*100</f>
        <v>51.87500000000001</v>
      </c>
      <c r="F64" s="38" t="s">
        <v>33</v>
      </c>
      <c r="G64" s="90" t="s">
        <v>33</v>
      </c>
      <c r="H64" s="43"/>
    </row>
    <row r="65" spans="1:8" s="47" customFormat="1" ht="18.75" customHeight="1">
      <c r="A65" s="64" t="s">
        <v>223</v>
      </c>
      <c r="B65" s="88">
        <v>0</v>
      </c>
      <c r="C65" s="15" t="s">
        <v>39</v>
      </c>
      <c r="D65" s="13">
        <v>1990</v>
      </c>
      <c r="E65" s="38" t="s">
        <v>33</v>
      </c>
      <c r="F65" s="38" t="s">
        <v>33</v>
      </c>
      <c r="G65" s="90" t="s">
        <v>33</v>
      </c>
      <c r="H65" s="107" t="s">
        <v>239</v>
      </c>
    </row>
    <row r="66" spans="1:8" s="47" customFormat="1" ht="18.75" customHeight="1">
      <c r="A66" s="7" t="s">
        <v>224</v>
      </c>
      <c r="B66" s="88">
        <v>0</v>
      </c>
      <c r="C66" s="15" t="s">
        <v>39</v>
      </c>
      <c r="D66" s="13">
        <v>341</v>
      </c>
      <c r="E66" s="38" t="s">
        <v>33</v>
      </c>
      <c r="F66" s="38" t="s">
        <v>33</v>
      </c>
      <c r="G66" s="90" t="s">
        <v>33</v>
      </c>
      <c r="H66" s="43" t="s">
        <v>238</v>
      </c>
    </row>
    <row r="67" spans="1:8" s="44" customFormat="1" ht="18.75" customHeight="1">
      <c r="A67" s="33" t="s">
        <v>5</v>
      </c>
      <c r="B67" s="92">
        <f>SUM(B37:B66)</f>
        <v>841216</v>
      </c>
      <c r="C67" s="14">
        <f>SUM(C37:C66)</f>
        <v>901867</v>
      </c>
      <c r="D67" s="14">
        <f>SUM(D37:D66)</f>
        <v>845779</v>
      </c>
      <c r="E67" s="20">
        <f>+D67/C67*100</f>
        <v>93.78090117500696</v>
      </c>
      <c r="F67" s="14">
        <f>SUM(F37:F66)</f>
        <v>710284</v>
      </c>
      <c r="G67" s="93">
        <f>+F67/C67*100</f>
        <v>78.75706728375692</v>
      </c>
      <c r="H67" s="69"/>
    </row>
    <row r="68" spans="1:8" s="44" customFormat="1" ht="21.75" customHeight="1">
      <c r="A68" s="2" t="s">
        <v>6</v>
      </c>
      <c r="B68" s="88"/>
      <c r="C68" s="13"/>
      <c r="D68" s="13"/>
      <c r="E68" s="19"/>
      <c r="F68" s="25"/>
      <c r="G68" s="89"/>
      <c r="H68" s="43"/>
    </row>
    <row r="69" spans="1:8" s="44" customFormat="1" ht="19.5" customHeight="1">
      <c r="A69" s="57" t="s">
        <v>63</v>
      </c>
      <c r="B69" s="88">
        <v>4229</v>
      </c>
      <c r="C69" s="13">
        <v>4229</v>
      </c>
      <c r="D69" s="13">
        <v>4229</v>
      </c>
      <c r="E69" s="19">
        <f>+D69/C69*100</f>
        <v>100</v>
      </c>
      <c r="F69" s="25">
        <v>4229</v>
      </c>
      <c r="G69" s="89">
        <f>+F69/C69*100</f>
        <v>100</v>
      </c>
      <c r="H69" s="43"/>
    </row>
    <row r="70" spans="1:8" s="45" customFormat="1" ht="19.5" customHeight="1">
      <c r="A70" s="4" t="s">
        <v>64</v>
      </c>
      <c r="B70" s="88">
        <f>879+2537+1</f>
        <v>3417</v>
      </c>
      <c r="C70" s="13">
        <f>879+2537+1</f>
        <v>3417</v>
      </c>
      <c r="D70" s="13">
        <v>3417</v>
      </c>
      <c r="E70" s="19">
        <f>+D70/C70*100</f>
        <v>100</v>
      </c>
      <c r="F70" s="25">
        <v>3417</v>
      </c>
      <c r="G70" s="89">
        <f>+F70/C70*100</f>
        <v>100</v>
      </c>
      <c r="H70" s="43"/>
    </row>
    <row r="71" spans="1:8" s="47" customFormat="1" ht="19.5" customHeight="1">
      <c r="A71" s="7" t="s">
        <v>26</v>
      </c>
      <c r="B71" s="95">
        <v>2000</v>
      </c>
      <c r="C71" s="26">
        <f>2000+3706+2294</f>
        <v>8000</v>
      </c>
      <c r="D71" s="26">
        <v>5706</v>
      </c>
      <c r="E71" s="21">
        <f>+D71/C71*100</f>
        <v>71.325</v>
      </c>
      <c r="F71" s="25"/>
      <c r="G71" s="89">
        <f>+F71/C71*100</f>
        <v>0</v>
      </c>
      <c r="H71" s="71"/>
    </row>
    <row r="72" spans="1:8" s="44" customFormat="1" ht="19.5" customHeight="1">
      <c r="A72" s="33" t="s">
        <v>7</v>
      </c>
      <c r="B72" s="92">
        <f>SUM(B69:B71)</f>
        <v>9646</v>
      </c>
      <c r="C72" s="14">
        <f>SUM(C69:C71)</f>
        <v>15646</v>
      </c>
      <c r="D72" s="14">
        <f>SUM(D69:D71)</f>
        <v>13352</v>
      </c>
      <c r="E72" s="20">
        <f>+D72/C72*100</f>
        <v>85.3381055860923</v>
      </c>
      <c r="F72" s="14">
        <f>SUM(F69:F71)</f>
        <v>7646</v>
      </c>
      <c r="G72" s="93">
        <f>+F72/C72*100</f>
        <v>48.868720439729</v>
      </c>
      <c r="H72" s="69"/>
    </row>
    <row r="73" spans="1:8" s="44" customFormat="1" ht="20.25" customHeight="1">
      <c r="A73" s="34" t="s">
        <v>8</v>
      </c>
      <c r="B73" s="98"/>
      <c r="C73" s="35"/>
      <c r="D73" s="35"/>
      <c r="E73" s="36"/>
      <c r="F73" s="37"/>
      <c r="G73" s="99"/>
      <c r="H73" s="43"/>
    </row>
    <row r="74" spans="1:8" s="44" customFormat="1" ht="19.5" customHeight="1">
      <c r="A74" s="2" t="s">
        <v>76</v>
      </c>
      <c r="B74" s="96">
        <v>82783</v>
      </c>
      <c r="C74" s="16">
        <f>82783+96000</f>
        <v>178783</v>
      </c>
      <c r="D74" s="16">
        <f>7290+57600+240+1440+83764</f>
        <v>150334</v>
      </c>
      <c r="E74" s="22">
        <f aca="true" t="shared" si="8" ref="E74:E80">+D74/C74*100</f>
        <v>84.08741323280178</v>
      </c>
      <c r="F74" s="40">
        <v>52902</v>
      </c>
      <c r="G74" s="97">
        <f aca="true" t="shared" si="9" ref="G74:G80">+F74/C74*100</f>
        <v>29.59006169490388</v>
      </c>
      <c r="H74" s="67"/>
    </row>
    <row r="75" spans="1:8" s="44" customFormat="1" ht="19.5" customHeight="1">
      <c r="A75" s="5" t="s">
        <v>186</v>
      </c>
      <c r="B75" s="96">
        <v>74400</v>
      </c>
      <c r="C75" s="16">
        <v>71840</v>
      </c>
      <c r="D75" s="16">
        <f>42000+24000+1440</f>
        <v>67440</v>
      </c>
      <c r="E75" s="22">
        <f t="shared" si="8"/>
        <v>93.87527839643653</v>
      </c>
      <c r="F75" s="38" t="s">
        <v>33</v>
      </c>
      <c r="G75" s="90" t="s">
        <v>33</v>
      </c>
      <c r="H75" s="48"/>
    </row>
    <row r="76" spans="1:8" s="44" customFormat="1" ht="19.5" customHeight="1">
      <c r="A76" s="5" t="s">
        <v>185</v>
      </c>
      <c r="B76" s="96">
        <v>0</v>
      </c>
      <c r="C76" s="16">
        <f>3832+2556</f>
        <v>6388</v>
      </c>
      <c r="D76" s="38" t="s">
        <v>33</v>
      </c>
      <c r="E76" s="38" t="s">
        <v>33</v>
      </c>
      <c r="F76" s="38" t="s">
        <v>33</v>
      </c>
      <c r="G76" s="90" t="s">
        <v>33</v>
      </c>
      <c r="H76" s="48"/>
    </row>
    <row r="77" spans="1:8" s="44" customFormat="1" ht="19.5" customHeight="1">
      <c r="A77" s="2" t="s">
        <v>131</v>
      </c>
      <c r="B77" s="96">
        <v>8000</v>
      </c>
      <c r="C77" s="16">
        <v>0</v>
      </c>
      <c r="D77" s="38" t="s">
        <v>33</v>
      </c>
      <c r="E77" s="38" t="s">
        <v>33</v>
      </c>
      <c r="F77" s="38" t="s">
        <v>33</v>
      </c>
      <c r="G77" s="90" t="s">
        <v>33</v>
      </c>
      <c r="H77" s="48"/>
    </row>
    <row r="78" spans="1:8" s="45" customFormat="1" ht="19.5" customHeight="1">
      <c r="A78" s="2" t="s">
        <v>132</v>
      </c>
      <c r="B78" s="96">
        <f>291300+2862</f>
        <v>294162</v>
      </c>
      <c r="C78" s="16">
        <f>291300+2862</f>
        <v>294162</v>
      </c>
      <c r="D78" s="16">
        <f>(4770-318)+83+1200+1680+1200+65+54000</f>
        <v>62680</v>
      </c>
      <c r="E78" s="22">
        <f t="shared" si="8"/>
        <v>21.307986755597256</v>
      </c>
      <c r="F78" s="40">
        <v>6520</v>
      </c>
      <c r="G78" s="97">
        <f t="shared" si="9"/>
        <v>2.2164657569638497</v>
      </c>
      <c r="H78" s="48"/>
    </row>
    <row r="79" spans="1:8" s="44" customFormat="1" ht="17.25" customHeight="1">
      <c r="A79" s="7" t="s">
        <v>226</v>
      </c>
      <c r="B79" s="95">
        <f>159401-134</f>
        <v>159267</v>
      </c>
      <c r="C79" s="26">
        <f>159401-134</f>
        <v>159267</v>
      </c>
      <c r="D79" s="26">
        <f>374-134+420+13961+77971+6836+55748+1+780</f>
        <v>155957</v>
      </c>
      <c r="E79" s="21">
        <f t="shared" si="8"/>
        <v>97.92172892061758</v>
      </c>
      <c r="F79" s="25">
        <v>21053</v>
      </c>
      <c r="G79" s="89">
        <f t="shared" si="9"/>
        <v>13.218683091914835</v>
      </c>
      <c r="H79" s="72"/>
    </row>
    <row r="80" spans="1:8" s="44" customFormat="1" ht="17.25" customHeight="1">
      <c r="A80" s="7" t="s">
        <v>81</v>
      </c>
      <c r="B80" s="88">
        <v>3480</v>
      </c>
      <c r="C80" s="13">
        <v>3480</v>
      </c>
      <c r="D80" s="13">
        <v>3480</v>
      </c>
      <c r="E80" s="19">
        <f t="shared" si="8"/>
        <v>100</v>
      </c>
      <c r="F80" s="25">
        <v>3480</v>
      </c>
      <c r="G80" s="89">
        <f t="shared" si="9"/>
        <v>100</v>
      </c>
      <c r="H80" s="43"/>
    </row>
    <row r="81" spans="1:8" s="45" customFormat="1" ht="17.25" customHeight="1">
      <c r="A81" s="10" t="s">
        <v>68</v>
      </c>
      <c r="B81" s="88">
        <v>18862</v>
      </c>
      <c r="C81" s="13">
        <v>18862</v>
      </c>
      <c r="D81" s="13">
        <v>18862</v>
      </c>
      <c r="E81" s="19">
        <f>+D81/C81*100</f>
        <v>100</v>
      </c>
      <c r="F81" s="25">
        <v>18862</v>
      </c>
      <c r="G81" s="89">
        <f>+F81/C81*100</f>
        <v>100</v>
      </c>
      <c r="H81" s="43"/>
    </row>
    <row r="82" spans="1:8" s="44" customFormat="1" ht="17.25" customHeight="1">
      <c r="A82" s="50" t="s">
        <v>120</v>
      </c>
      <c r="B82" s="95">
        <v>240000</v>
      </c>
      <c r="C82" s="26">
        <f>240000+74400+150+210</f>
        <v>314760</v>
      </c>
      <c r="D82" s="26">
        <f>210+150+314400</f>
        <v>314760</v>
      </c>
      <c r="E82" s="21">
        <f>+D82/C82*100</f>
        <v>100</v>
      </c>
      <c r="F82" s="26">
        <v>210</v>
      </c>
      <c r="G82" s="89">
        <f>+F82/C82*100</f>
        <v>0.06671749904689288</v>
      </c>
      <c r="H82" s="72"/>
    </row>
    <row r="83" spans="1:8" s="44" customFormat="1" ht="17.25" customHeight="1">
      <c r="A83" s="9" t="s">
        <v>82</v>
      </c>
      <c r="B83" s="88">
        <v>12352</v>
      </c>
      <c r="C83" s="13">
        <f>12352+1300+260</f>
        <v>13912</v>
      </c>
      <c r="D83" s="13">
        <f>12352+1560</f>
        <v>13912</v>
      </c>
      <c r="E83" s="19">
        <f>+D83/C83*100</f>
        <v>100</v>
      </c>
      <c r="F83" s="25">
        <f>12352+1560</f>
        <v>13912</v>
      </c>
      <c r="G83" s="89">
        <f>+F83/C83*100</f>
        <v>100</v>
      </c>
      <c r="H83" s="43"/>
    </row>
    <row r="84" spans="1:8" s="44" customFormat="1" ht="17.25" customHeight="1">
      <c r="A84" s="9" t="s">
        <v>83</v>
      </c>
      <c r="B84" s="88">
        <v>798</v>
      </c>
      <c r="C84" s="13">
        <f>798+120</f>
        <v>918</v>
      </c>
      <c r="D84" s="13">
        <f>798+120</f>
        <v>918</v>
      </c>
      <c r="E84" s="19">
        <f>+D84/C84*100</f>
        <v>100</v>
      </c>
      <c r="F84" s="25">
        <v>918</v>
      </c>
      <c r="G84" s="89">
        <f>+F84/C84*100</f>
        <v>100</v>
      </c>
      <c r="H84" s="43"/>
    </row>
    <row r="85" spans="1:8" s="44" customFormat="1" ht="17.25" customHeight="1">
      <c r="A85" s="9" t="s">
        <v>233</v>
      </c>
      <c r="B85" s="88">
        <v>3500</v>
      </c>
      <c r="C85" s="13">
        <f>3500+639+420</f>
        <v>4559</v>
      </c>
      <c r="D85" s="13">
        <f>3500+639+420</f>
        <v>4559</v>
      </c>
      <c r="E85" s="19">
        <f>+D85/C85*100</f>
        <v>100</v>
      </c>
      <c r="F85" s="25">
        <v>2571</v>
      </c>
      <c r="G85" s="89">
        <f>+F85/C85*100</f>
        <v>56.393946040798426</v>
      </c>
      <c r="H85" s="42"/>
    </row>
    <row r="86" spans="1:8" s="44" customFormat="1" ht="17.25" customHeight="1">
      <c r="A86" s="10" t="s">
        <v>84</v>
      </c>
      <c r="B86" s="88">
        <v>2000</v>
      </c>
      <c r="C86" s="13">
        <v>0</v>
      </c>
      <c r="D86" s="38" t="s">
        <v>33</v>
      </c>
      <c r="E86" s="38" t="s">
        <v>33</v>
      </c>
      <c r="F86" s="38" t="s">
        <v>33</v>
      </c>
      <c r="G86" s="90" t="s">
        <v>33</v>
      </c>
      <c r="H86" s="43"/>
    </row>
    <row r="87" spans="1:8" s="44" customFormat="1" ht="17.25" customHeight="1">
      <c r="A87" s="10" t="s">
        <v>202</v>
      </c>
      <c r="B87" s="88">
        <v>5250</v>
      </c>
      <c r="C87" s="13">
        <v>5250</v>
      </c>
      <c r="D87" s="13">
        <v>5250</v>
      </c>
      <c r="E87" s="19">
        <f aca="true" t="shared" si="10" ref="E87:E94">+D87/C87*100</f>
        <v>100</v>
      </c>
      <c r="F87" s="38" t="s">
        <v>33</v>
      </c>
      <c r="G87" s="90" t="s">
        <v>33</v>
      </c>
      <c r="H87" s="43"/>
    </row>
    <row r="88" spans="1:8" s="45" customFormat="1" ht="17.25" customHeight="1">
      <c r="A88" s="9" t="s">
        <v>109</v>
      </c>
      <c r="B88" s="88">
        <v>18020</v>
      </c>
      <c r="C88" s="13">
        <v>18020</v>
      </c>
      <c r="D88" s="13">
        <f>16911+1</f>
        <v>16912</v>
      </c>
      <c r="E88" s="19">
        <f t="shared" si="10"/>
        <v>93.85127635960045</v>
      </c>
      <c r="F88" s="25">
        <f>16071+840+1</f>
        <v>16912</v>
      </c>
      <c r="G88" s="89">
        <f aca="true" t="shared" si="11" ref="G88:G94">+F88/C88*100</f>
        <v>93.85127635960045</v>
      </c>
      <c r="H88" s="43"/>
    </row>
    <row r="89" spans="1:8" s="44" customFormat="1" ht="17.25" customHeight="1">
      <c r="A89" s="7" t="s">
        <v>162</v>
      </c>
      <c r="B89" s="95">
        <v>66852</v>
      </c>
      <c r="C89" s="26">
        <v>66852</v>
      </c>
      <c r="D89" s="26">
        <v>66852</v>
      </c>
      <c r="E89" s="21">
        <f t="shared" si="10"/>
        <v>100</v>
      </c>
      <c r="F89" s="26">
        <f>58852+8000</f>
        <v>66852</v>
      </c>
      <c r="G89" s="89">
        <f t="shared" si="11"/>
        <v>100</v>
      </c>
      <c r="H89" s="72"/>
    </row>
    <row r="90" spans="1:8" s="44" customFormat="1" ht="17.25" customHeight="1">
      <c r="A90" s="9" t="s">
        <v>77</v>
      </c>
      <c r="B90" s="88">
        <v>10000</v>
      </c>
      <c r="C90" s="13">
        <v>13500</v>
      </c>
      <c r="D90" s="13">
        <v>10000</v>
      </c>
      <c r="E90" s="19">
        <f t="shared" si="10"/>
        <v>74.07407407407408</v>
      </c>
      <c r="F90" s="25">
        <v>10000</v>
      </c>
      <c r="G90" s="89">
        <f t="shared" si="11"/>
        <v>74.07407407407408</v>
      </c>
      <c r="H90" s="42"/>
    </row>
    <row r="91" spans="1:8" s="44" customFormat="1" ht="17.25" customHeight="1">
      <c r="A91" s="7" t="s">
        <v>110</v>
      </c>
      <c r="B91" s="88">
        <f>12074+1500</f>
        <v>13574</v>
      </c>
      <c r="C91" s="13">
        <f>12074+1500</f>
        <v>13574</v>
      </c>
      <c r="D91" s="13">
        <v>13574</v>
      </c>
      <c r="E91" s="19">
        <f t="shared" si="10"/>
        <v>100</v>
      </c>
      <c r="F91" s="25">
        <v>4646</v>
      </c>
      <c r="G91" s="89">
        <f t="shared" si="11"/>
        <v>34.227199057020776</v>
      </c>
      <c r="H91" s="73"/>
    </row>
    <row r="92" spans="1:8" s="44" customFormat="1" ht="17.25" customHeight="1">
      <c r="A92" s="7" t="s">
        <v>85</v>
      </c>
      <c r="B92" s="88">
        <v>6600</v>
      </c>
      <c r="C92" s="13">
        <v>6600</v>
      </c>
      <c r="D92" s="13">
        <v>6600</v>
      </c>
      <c r="E92" s="19">
        <f t="shared" si="10"/>
        <v>100</v>
      </c>
      <c r="F92" s="38" t="s">
        <v>33</v>
      </c>
      <c r="G92" s="90" t="s">
        <v>33</v>
      </c>
      <c r="H92" s="43"/>
    </row>
    <row r="93" spans="1:8" s="44" customFormat="1" ht="17.25" customHeight="1">
      <c r="A93" s="8" t="s">
        <v>183</v>
      </c>
      <c r="B93" s="88">
        <v>900</v>
      </c>
      <c r="C93" s="13">
        <v>900</v>
      </c>
      <c r="D93" s="13">
        <f>650+250</f>
        <v>900</v>
      </c>
      <c r="E93" s="19">
        <f t="shared" si="10"/>
        <v>100</v>
      </c>
      <c r="F93" s="25">
        <v>899</v>
      </c>
      <c r="G93" s="89">
        <f t="shared" si="11"/>
        <v>99.8888888888889</v>
      </c>
      <c r="H93" s="43"/>
    </row>
    <row r="94" spans="1:8" s="44" customFormat="1" ht="17.25" customHeight="1">
      <c r="A94" s="8" t="s">
        <v>184</v>
      </c>
      <c r="B94" s="88">
        <v>0</v>
      </c>
      <c r="C94" s="13">
        <v>350</v>
      </c>
      <c r="D94" s="13">
        <f>198+150</f>
        <v>348</v>
      </c>
      <c r="E94" s="19">
        <f t="shared" si="10"/>
        <v>99.42857142857143</v>
      </c>
      <c r="F94" s="25">
        <v>348</v>
      </c>
      <c r="G94" s="89">
        <f t="shared" si="11"/>
        <v>99.42857142857143</v>
      </c>
      <c r="H94" s="43"/>
    </row>
    <row r="95" spans="1:8" s="45" customFormat="1" ht="17.25" customHeight="1">
      <c r="A95" s="10" t="s">
        <v>94</v>
      </c>
      <c r="B95" s="88">
        <v>8750</v>
      </c>
      <c r="C95" s="13">
        <v>0</v>
      </c>
      <c r="D95" s="38" t="s">
        <v>33</v>
      </c>
      <c r="E95" s="38" t="s">
        <v>33</v>
      </c>
      <c r="F95" s="38" t="s">
        <v>33</v>
      </c>
      <c r="G95" s="90" t="s">
        <v>33</v>
      </c>
      <c r="H95" s="74" t="s">
        <v>150</v>
      </c>
    </row>
    <row r="96" spans="1:8" s="45" customFormat="1" ht="17.25" customHeight="1">
      <c r="A96" s="50" t="s">
        <v>43</v>
      </c>
      <c r="B96" s="95">
        <v>77400</v>
      </c>
      <c r="C96" s="26">
        <v>77400</v>
      </c>
      <c r="D96" s="38" t="s">
        <v>33</v>
      </c>
      <c r="E96" s="38" t="s">
        <v>33</v>
      </c>
      <c r="F96" s="38" t="s">
        <v>33</v>
      </c>
      <c r="G96" s="90" t="s">
        <v>33</v>
      </c>
      <c r="H96" s="72"/>
    </row>
    <row r="97" spans="1:8" s="45" customFormat="1" ht="17.25" customHeight="1">
      <c r="A97" s="50" t="s">
        <v>164</v>
      </c>
      <c r="B97" s="95">
        <v>18000</v>
      </c>
      <c r="C97" s="26">
        <v>18000</v>
      </c>
      <c r="D97" s="15">
        <v>23000</v>
      </c>
      <c r="E97" s="19">
        <f>+D97/C97*100</f>
        <v>127.77777777777777</v>
      </c>
      <c r="F97" s="38" t="s">
        <v>33</v>
      </c>
      <c r="G97" s="90" t="s">
        <v>33</v>
      </c>
      <c r="H97" s="72" t="s">
        <v>242</v>
      </c>
    </row>
    <row r="98" spans="1:8" s="45" customFormat="1" ht="17.25" customHeight="1">
      <c r="A98" s="50" t="s">
        <v>163</v>
      </c>
      <c r="B98" s="95">
        <v>16000</v>
      </c>
      <c r="C98" s="26">
        <v>16000</v>
      </c>
      <c r="D98" s="38" t="s">
        <v>33</v>
      </c>
      <c r="E98" s="38" t="s">
        <v>33</v>
      </c>
      <c r="F98" s="38" t="s">
        <v>33</v>
      </c>
      <c r="G98" s="90" t="s">
        <v>33</v>
      </c>
      <c r="H98" s="72"/>
    </row>
    <row r="99" spans="1:8" s="45" customFormat="1" ht="17.25" customHeight="1">
      <c r="A99" s="50" t="s">
        <v>227</v>
      </c>
      <c r="B99" s="95">
        <v>2800</v>
      </c>
      <c r="C99" s="26">
        <v>2800</v>
      </c>
      <c r="D99" s="38" t="s">
        <v>33</v>
      </c>
      <c r="E99" s="38" t="s">
        <v>33</v>
      </c>
      <c r="F99" s="38" t="s">
        <v>33</v>
      </c>
      <c r="G99" s="90" t="s">
        <v>33</v>
      </c>
      <c r="H99" s="72"/>
    </row>
    <row r="100" spans="1:8" s="44" customFormat="1" ht="17.25" customHeight="1">
      <c r="A100" s="59" t="s">
        <v>24</v>
      </c>
      <c r="B100" s="100">
        <v>3000</v>
      </c>
      <c r="C100" s="60">
        <v>3000</v>
      </c>
      <c r="D100" s="60">
        <v>1765</v>
      </c>
      <c r="E100" s="61">
        <f aca="true" t="shared" si="12" ref="E100:E109">+D100/C100*100</f>
        <v>58.833333333333336</v>
      </c>
      <c r="F100" s="32">
        <v>1765</v>
      </c>
      <c r="G100" s="101">
        <f>+F100/C100*100</f>
        <v>58.833333333333336</v>
      </c>
      <c r="H100" s="75"/>
    </row>
    <row r="101" spans="1:8" s="44" customFormat="1" ht="19.5" customHeight="1">
      <c r="A101" s="9" t="s">
        <v>228</v>
      </c>
      <c r="B101" s="95">
        <v>7000</v>
      </c>
      <c r="C101" s="26">
        <f>7000+3063+1706</f>
        <v>11769</v>
      </c>
      <c r="D101" s="26">
        <f>714+11055</f>
        <v>11769</v>
      </c>
      <c r="E101" s="21">
        <f t="shared" si="12"/>
        <v>100</v>
      </c>
      <c r="F101" s="25">
        <v>714</v>
      </c>
      <c r="G101" s="89">
        <f>+F101/C101*100</f>
        <v>6.066785623247515</v>
      </c>
      <c r="H101" s="72"/>
    </row>
    <row r="102" spans="1:8" s="44" customFormat="1" ht="17.25" customHeight="1">
      <c r="A102" s="9" t="s">
        <v>157</v>
      </c>
      <c r="B102" s="88">
        <v>12000</v>
      </c>
      <c r="C102" s="13">
        <f>12000+12349</f>
        <v>24349</v>
      </c>
      <c r="D102" s="13">
        <v>24349</v>
      </c>
      <c r="E102" s="19">
        <f t="shared" si="12"/>
        <v>100</v>
      </c>
      <c r="F102" s="38" t="s">
        <v>33</v>
      </c>
      <c r="G102" s="90" t="s">
        <v>33</v>
      </c>
      <c r="H102" s="42"/>
    </row>
    <row r="103" spans="1:8" s="44" customFormat="1" ht="17.25" customHeight="1">
      <c r="A103" s="62" t="s">
        <v>235</v>
      </c>
      <c r="B103" s="88">
        <v>0</v>
      </c>
      <c r="C103" s="13">
        <v>1380</v>
      </c>
      <c r="D103" s="38" t="s">
        <v>33</v>
      </c>
      <c r="E103" s="38" t="s">
        <v>33</v>
      </c>
      <c r="F103" s="38" t="s">
        <v>33</v>
      </c>
      <c r="G103" s="90" t="s">
        <v>33</v>
      </c>
      <c r="H103" s="42"/>
    </row>
    <row r="104" spans="1:8" ht="17.25" customHeight="1">
      <c r="A104" s="4" t="s">
        <v>78</v>
      </c>
      <c r="B104" s="88">
        <v>3500</v>
      </c>
      <c r="C104" s="13">
        <f>3500-1754</f>
        <v>1746</v>
      </c>
      <c r="D104" s="13">
        <v>1746</v>
      </c>
      <c r="E104" s="19">
        <f t="shared" si="12"/>
        <v>100</v>
      </c>
      <c r="F104" s="38" t="s">
        <v>33</v>
      </c>
      <c r="G104" s="90" t="s">
        <v>33</v>
      </c>
      <c r="H104" s="42"/>
    </row>
    <row r="105" spans="1:8" ht="17.25" customHeight="1">
      <c r="A105" s="117" t="s">
        <v>243</v>
      </c>
      <c r="B105" s="88">
        <v>0</v>
      </c>
      <c r="C105" s="15" t="s">
        <v>39</v>
      </c>
      <c r="D105" s="13">
        <v>84</v>
      </c>
      <c r="E105" s="38" t="s">
        <v>33</v>
      </c>
      <c r="F105" s="38" t="s">
        <v>33</v>
      </c>
      <c r="G105" s="90" t="s">
        <v>33</v>
      </c>
      <c r="H105" s="43" t="s">
        <v>238</v>
      </c>
    </row>
    <row r="106" spans="1:8" ht="17.25" customHeight="1">
      <c r="A106" s="4" t="s">
        <v>106</v>
      </c>
      <c r="B106" s="88">
        <v>7800</v>
      </c>
      <c r="C106" s="13">
        <v>7800</v>
      </c>
      <c r="D106" s="38" t="s">
        <v>33</v>
      </c>
      <c r="E106" s="38" t="s">
        <v>33</v>
      </c>
      <c r="F106" s="38" t="s">
        <v>33</v>
      </c>
      <c r="G106" s="90" t="s">
        <v>33</v>
      </c>
      <c r="H106" s="42"/>
    </row>
    <row r="107" spans="1:8" s="44" customFormat="1" ht="17.25" customHeight="1">
      <c r="A107" s="4" t="s">
        <v>215</v>
      </c>
      <c r="B107" s="88">
        <v>3000</v>
      </c>
      <c r="C107" s="13">
        <f>3000+11640</f>
        <v>14640</v>
      </c>
      <c r="D107" s="13">
        <f>3000+11640</f>
        <v>14640</v>
      </c>
      <c r="E107" s="19">
        <f t="shared" si="12"/>
        <v>100</v>
      </c>
      <c r="F107" s="38" t="s">
        <v>33</v>
      </c>
      <c r="G107" s="90" t="s">
        <v>33</v>
      </c>
      <c r="H107" s="42"/>
    </row>
    <row r="108" spans="1:8" s="44" customFormat="1" ht="17.25" customHeight="1">
      <c r="A108" s="4" t="s">
        <v>105</v>
      </c>
      <c r="B108" s="88">
        <v>5000</v>
      </c>
      <c r="C108" s="13">
        <v>5000</v>
      </c>
      <c r="D108" s="13">
        <v>4980</v>
      </c>
      <c r="E108" s="19">
        <f t="shared" si="12"/>
        <v>99.6</v>
      </c>
      <c r="F108" s="38" t="s">
        <v>33</v>
      </c>
      <c r="G108" s="90" t="s">
        <v>33</v>
      </c>
      <c r="H108" s="42"/>
    </row>
    <row r="109" spans="1:8" s="44" customFormat="1" ht="17.25" customHeight="1">
      <c r="A109" s="4" t="s">
        <v>104</v>
      </c>
      <c r="B109" s="88">
        <v>10000</v>
      </c>
      <c r="C109" s="13">
        <f>10000-3213</f>
        <v>6787</v>
      </c>
      <c r="D109" s="13">
        <v>6787</v>
      </c>
      <c r="E109" s="19">
        <f t="shared" si="12"/>
        <v>100</v>
      </c>
      <c r="F109" s="25">
        <v>6787</v>
      </c>
      <c r="G109" s="89">
        <f>+F109/C109*100</f>
        <v>100</v>
      </c>
      <c r="H109" s="42"/>
    </row>
    <row r="110" spans="1:8" s="47" customFormat="1" ht="17.25" customHeight="1">
      <c r="A110" s="2" t="s">
        <v>139</v>
      </c>
      <c r="B110" s="96">
        <v>40500</v>
      </c>
      <c r="C110" s="16">
        <f>40500-20500</f>
        <v>20000</v>
      </c>
      <c r="D110" s="16">
        <f>3600+9360+400+114</f>
        <v>13474</v>
      </c>
      <c r="E110" s="22">
        <f aca="true" t="shared" si="13" ref="E110:E116">+D110/C110*100</f>
        <v>67.36999999999999</v>
      </c>
      <c r="F110" s="40">
        <v>2160</v>
      </c>
      <c r="G110" s="97">
        <f aca="true" t="shared" si="14" ref="G110:G116">+F110/C110*100</f>
        <v>10.8</v>
      </c>
      <c r="H110" s="76"/>
    </row>
    <row r="111" spans="1:8" s="58" customFormat="1" ht="17.25" customHeight="1">
      <c r="A111" s="2" t="s">
        <v>138</v>
      </c>
      <c r="B111" s="96">
        <v>200000</v>
      </c>
      <c r="C111" s="16">
        <v>200000</v>
      </c>
      <c r="D111" s="16">
        <f>98+499+109751+90</f>
        <v>110438</v>
      </c>
      <c r="E111" s="22">
        <f t="shared" si="13"/>
        <v>55.218999999999994</v>
      </c>
      <c r="F111" s="40">
        <v>110438</v>
      </c>
      <c r="G111" s="97">
        <f t="shared" si="14"/>
        <v>55.218999999999994</v>
      </c>
      <c r="H111" s="76"/>
    </row>
    <row r="112" spans="1:8" ht="17.25" customHeight="1">
      <c r="A112" s="4" t="s">
        <v>121</v>
      </c>
      <c r="B112" s="91">
        <v>5000</v>
      </c>
      <c r="C112" s="15">
        <v>5000</v>
      </c>
      <c r="D112" s="15">
        <f>446+404+1560+1200+402</f>
        <v>4012</v>
      </c>
      <c r="E112" s="21">
        <f t="shared" si="13"/>
        <v>80.24</v>
      </c>
      <c r="F112" s="25">
        <v>3710</v>
      </c>
      <c r="G112" s="89">
        <f t="shared" si="14"/>
        <v>74.2</v>
      </c>
      <c r="H112" s="67"/>
    </row>
    <row r="113" spans="1:8" s="44" customFormat="1" ht="17.25" customHeight="1">
      <c r="A113" s="4" t="s">
        <v>122</v>
      </c>
      <c r="B113" s="91">
        <v>50000</v>
      </c>
      <c r="C113" s="15">
        <v>50000</v>
      </c>
      <c r="D113" s="15">
        <v>40436</v>
      </c>
      <c r="E113" s="21">
        <f t="shared" si="13"/>
        <v>80.872</v>
      </c>
      <c r="F113" s="38" t="s">
        <v>33</v>
      </c>
      <c r="G113" s="90" t="s">
        <v>33</v>
      </c>
      <c r="H113" s="67"/>
    </row>
    <row r="114" spans="1:8" ht="17.25" customHeight="1">
      <c r="A114" s="9" t="s">
        <v>27</v>
      </c>
      <c r="B114" s="88">
        <v>1000</v>
      </c>
      <c r="C114" s="13">
        <v>1000</v>
      </c>
      <c r="D114" s="13">
        <f>699+213</f>
        <v>912</v>
      </c>
      <c r="E114" s="19">
        <f>+D114/C114*100</f>
        <v>91.2</v>
      </c>
      <c r="F114" s="25">
        <v>213</v>
      </c>
      <c r="G114" s="89">
        <f>+F114/C114*100</f>
        <v>21.3</v>
      </c>
      <c r="H114" s="42"/>
    </row>
    <row r="115" spans="1:8" ht="17.25" customHeight="1">
      <c r="A115" s="4" t="s">
        <v>130</v>
      </c>
      <c r="B115" s="88">
        <v>2220</v>
      </c>
      <c r="C115" s="13">
        <v>2220</v>
      </c>
      <c r="D115" s="13">
        <v>2220</v>
      </c>
      <c r="E115" s="19">
        <f>+D115/C115*100</f>
        <v>100</v>
      </c>
      <c r="F115" s="25">
        <v>2220</v>
      </c>
      <c r="G115" s="89">
        <f>+F115/C115*100</f>
        <v>100</v>
      </c>
      <c r="H115" s="42"/>
    </row>
    <row r="116" spans="1:8" s="44" customFormat="1" ht="17.25" customHeight="1">
      <c r="A116" s="4" t="s">
        <v>95</v>
      </c>
      <c r="B116" s="88">
        <v>1500</v>
      </c>
      <c r="C116" s="13">
        <v>1500</v>
      </c>
      <c r="D116" s="13">
        <f>248+466+351</f>
        <v>1065</v>
      </c>
      <c r="E116" s="19">
        <f t="shared" si="13"/>
        <v>71</v>
      </c>
      <c r="F116" s="25">
        <f>248+466</f>
        <v>714</v>
      </c>
      <c r="G116" s="89">
        <f t="shared" si="14"/>
        <v>47.599999999999994</v>
      </c>
      <c r="H116" s="42"/>
    </row>
    <row r="117" spans="1:8" s="44" customFormat="1" ht="17.25" customHeight="1">
      <c r="A117" s="3" t="s">
        <v>86</v>
      </c>
      <c r="B117" s="88">
        <v>3600</v>
      </c>
      <c r="C117" s="13">
        <v>3600</v>
      </c>
      <c r="D117" s="13">
        <v>3600</v>
      </c>
      <c r="E117" s="19">
        <f aca="true" t="shared" si="15" ref="E117:E125">+D117/C117*100</f>
        <v>100</v>
      </c>
      <c r="F117" s="25">
        <v>3600</v>
      </c>
      <c r="G117" s="89">
        <f aca="true" t="shared" si="16" ref="G117:G125">+F117/C117*100</f>
        <v>100</v>
      </c>
      <c r="H117" s="43"/>
    </row>
    <row r="118" spans="1:8" s="44" customFormat="1" ht="17.25" customHeight="1">
      <c r="A118" s="3" t="s">
        <v>86</v>
      </c>
      <c r="B118" s="88">
        <v>1224</v>
      </c>
      <c r="C118" s="13">
        <v>1224</v>
      </c>
      <c r="D118" s="13">
        <v>1224</v>
      </c>
      <c r="E118" s="19">
        <f t="shared" si="15"/>
        <v>100</v>
      </c>
      <c r="F118" s="25">
        <f>816+408</f>
        <v>1224</v>
      </c>
      <c r="G118" s="89">
        <f t="shared" si="16"/>
        <v>100</v>
      </c>
      <c r="H118" s="43"/>
    </row>
    <row r="119" spans="1:8" ht="17.25" customHeight="1">
      <c r="A119" s="3" t="s">
        <v>123</v>
      </c>
      <c r="B119" s="88">
        <v>2400</v>
      </c>
      <c r="C119" s="13">
        <f>2400+400+400+600</f>
        <v>3800</v>
      </c>
      <c r="D119" s="13">
        <f>400+400+600</f>
        <v>1400</v>
      </c>
      <c r="E119" s="19">
        <f t="shared" si="15"/>
        <v>36.84210526315789</v>
      </c>
      <c r="F119" s="25">
        <v>800</v>
      </c>
      <c r="G119" s="89">
        <f t="shared" si="16"/>
        <v>21.052631578947366</v>
      </c>
      <c r="H119" s="43"/>
    </row>
    <row r="120" spans="1:8" s="44" customFormat="1" ht="17.25" customHeight="1">
      <c r="A120" s="4" t="s">
        <v>119</v>
      </c>
      <c r="B120" s="88">
        <v>2500</v>
      </c>
      <c r="C120" s="13">
        <v>2500</v>
      </c>
      <c r="D120" s="38" t="s">
        <v>33</v>
      </c>
      <c r="E120" s="38" t="s">
        <v>33</v>
      </c>
      <c r="F120" s="38" t="s">
        <v>33</v>
      </c>
      <c r="G120" s="90" t="s">
        <v>33</v>
      </c>
      <c r="H120" s="42"/>
    </row>
    <row r="121" spans="1:8" s="45" customFormat="1" ht="17.25" customHeight="1">
      <c r="A121" s="9" t="s">
        <v>149</v>
      </c>
      <c r="B121" s="88">
        <v>4000</v>
      </c>
      <c r="C121" s="13">
        <v>4000</v>
      </c>
      <c r="D121" s="13">
        <v>4000</v>
      </c>
      <c r="E121" s="19">
        <f t="shared" si="15"/>
        <v>100</v>
      </c>
      <c r="F121" s="25">
        <v>4000</v>
      </c>
      <c r="G121" s="89">
        <f t="shared" si="16"/>
        <v>100</v>
      </c>
      <c r="H121" s="42"/>
    </row>
    <row r="122" spans="1:8" s="44" customFormat="1" ht="17.25" customHeight="1">
      <c r="A122" s="7" t="s">
        <v>34</v>
      </c>
      <c r="B122" s="94">
        <v>120000</v>
      </c>
      <c r="C122" s="24">
        <v>120000</v>
      </c>
      <c r="D122" s="24">
        <v>120000</v>
      </c>
      <c r="E122" s="19">
        <f t="shared" si="15"/>
        <v>100</v>
      </c>
      <c r="F122" s="38" t="s">
        <v>33</v>
      </c>
      <c r="G122" s="90" t="s">
        <v>33</v>
      </c>
      <c r="H122" s="70"/>
    </row>
    <row r="123" spans="1:8" s="44" customFormat="1" ht="17.25" customHeight="1">
      <c r="A123" s="7" t="s">
        <v>166</v>
      </c>
      <c r="B123" s="88">
        <v>7000</v>
      </c>
      <c r="C123" s="24">
        <v>7000</v>
      </c>
      <c r="D123" s="38" t="s">
        <v>33</v>
      </c>
      <c r="E123" s="38" t="s">
        <v>33</v>
      </c>
      <c r="F123" s="38" t="s">
        <v>33</v>
      </c>
      <c r="G123" s="90" t="s">
        <v>33</v>
      </c>
      <c r="H123" s="43"/>
    </row>
    <row r="124" spans="1:8" s="44" customFormat="1" ht="17.25" customHeight="1">
      <c r="A124" s="7" t="s">
        <v>167</v>
      </c>
      <c r="B124" s="88">
        <v>3000</v>
      </c>
      <c r="C124" s="24">
        <v>3000</v>
      </c>
      <c r="D124" s="38" t="s">
        <v>33</v>
      </c>
      <c r="E124" s="38" t="s">
        <v>33</v>
      </c>
      <c r="F124" s="38" t="s">
        <v>33</v>
      </c>
      <c r="G124" s="90" t="s">
        <v>33</v>
      </c>
      <c r="H124" s="43"/>
    </row>
    <row r="125" spans="1:8" s="44" customFormat="1" ht="17.25" customHeight="1">
      <c r="A125" s="7" t="s">
        <v>216</v>
      </c>
      <c r="B125" s="88">
        <v>0</v>
      </c>
      <c r="C125" s="24">
        <v>21552</v>
      </c>
      <c r="D125" s="24">
        <v>21552</v>
      </c>
      <c r="E125" s="19">
        <f t="shared" si="15"/>
        <v>100</v>
      </c>
      <c r="F125" s="25">
        <v>21552</v>
      </c>
      <c r="G125" s="89">
        <f t="shared" si="16"/>
        <v>100</v>
      </c>
      <c r="H125" s="43"/>
    </row>
    <row r="126" spans="1:8" s="44" customFormat="1" ht="17.25" customHeight="1">
      <c r="A126" s="3" t="s">
        <v>49</v>
      </c>
      <c r="B126" s="88">
        <v>5444</v>
      </c>
      <c r="C126" s="13">
        <v>5444</v>
      </c>
      <c r="D126" s="38" t="s">
        <v>33</v>
      </c>
      <c r="E126" s="38" t="s">
        <v>33</v>
      </c>
      <c r="F126" s="38" t="s">
        <v>33</v>
      </c>
      <c r="G126" s="90" t="s">
        <v>33</v>
      </c>
      <c r="H126" s="43"/>
    </row>
    <row r="127" spans="1:8" s="44" customFormat="1" ht="17.25" customHeight="1">
      <c r="A127" s="9" t="s">
        <v>89</v>
      </c>
      <c r="B127" s="88">
        <v>420</v>
      </c>
      <c r="C127" s="13">
        <v>420</v>
      </c>
      <c r="D127" s="38" t="s">
        <v>33</v>
      </c>
      <c r="E127" s="38" t="s">
        <v>33</v>
      </c>
      <c r="F127" s="38" t="s">
        <v>33</v>
      </c>
      <c r="G127" s="90" t="s">
        <v>33</v>
      </c>
      <c r="H127" s="43"/>
    </row>
    <row r="128" spans="1:8" s="44" customFormat="1" ht="17.25" customHeight="1">
      <c r="A128" s="9" t="s">
        <v>90</v>
      </c>
      <c r="B128" s="88">
        <v>300</v>
      </c>
      <c r="C128" s="13">
        <v>300</v>
      </c>
      <c r="D128" s="38" t="s">
        <v>33</v>
      </c>
      <c r="E128" s="38" t="s">
        <v>33</v>
      </c>
      <c r="F128" s="38" t="s">
        <v>33</v>
      </c>
      <c r="G128" s="90" t="s">
        <v>33</v>
      </c>
      <c r="H128" s="43"/>
    </row>
    <row r="129" spans="1:8" s="44" customFormat="1" ht="17.25" customHeight="1">
      <c r="A129" s="9" t="s">
        <v>91</v>
      </c>
      <c r="B129" s="88">
        <v>985</v>
      </c>
      <c r="C129" s="13">
        <v>0</v>
      </c>
      <c r="D129" s="38" t="s">
        <v>33</v>
      </c>
      <c r="E129" s="38" t="s">
        <v>33</v>
      </c>
      <c r="F129" s="38" t="s">
        <v>33</v>
      </c>
      <c r="G129" s="90" t="s">
        <v>33</v>
      </c>
      <c r="H129" s="43"/>
    </row>
    <row r="130" spans="1:8" s="44" customFormat="1" ht="17.25" customHeight="1">
      <c r="A130" s="12" t="s">
        <v>92</v>
      </c>
      <c r="B130" s="88">
        <v>50</v>
      </c>
      <c r="C130" s="13">
        <v>50</v>
      </c>
      <c r="D130" s="38" t="s">
        <v>33</v>
      </c>
      <c r="E130" s="38" t="s">
        <v>33</v>
      </c>
      <c r="F130" s="38" t="s">
        <v>33</v>
      </c>
      <c r="G130" s="90" t="s">
        <v>33</v>
      </c>
      <c r="H130" s="43"/>
    </row>
    <row r="131" spans="1:8" s="44" customFormat="1" ht="17.25" customHeight="1">
      <c r="A131" s="12" t="s">
        <v>93</v>
      </c>
      <c r="B131" s="88">
        <v>96000</v>
      </c>
      <c r="C131" s="13">
        <v>96000</v>
      </c>
      <c r="D131" s="13">
        <v>96000</v>
      </c>
      <c r="E131" s="19">
        <f>+D131/C131*100</f>
        <v>100</v>
      </c>
      <c r="F131" s="25">
        <v>96000</v>
      </c>
      <c r="G131" s="89">
        <f>+F131/C131*100</f>
        <v>100</v>
      </c>
      <c r="H131" s="43"/>
    </row>
    <row r="132" spans="1:8" s="44" customFormat="1" ht="17.25" customHeight="1">
      <c r="A132" s="12" t="s">
        <v>229</v>
      </c>
      <c r="B132" s="88">
        <v>0</v>
      </c>
      <c r="C132" s="13">
        <v>1100</v>
      </c>
      <c r="D132" s="38" t="s">
        <v>33</v>
      </c>
      <c r="E132" s="38" t="s">
        <v>33</v>
      </c>
      <c r="F132" s="38" t="s">
        <v>33</v>
      </c>
      <c r="G132" s="90" t="s">
        <v>33</v>
      </c>
      <c r="H132" s="43"/>
    </row>
    <row r="133" spans="1:8" ht="17.25" customHeight="1">
      <c r="A133" s="4" t="s">
        <v>116</v>
      </c>
      <c r="B133" s="88">
        <v>2400</v>
      </c>
      <c r="C133" s="13">
        <f>2400+600</f>
        <v>3000</v>
      </c>
      <c r="D133" s="38" t="s">
        <v>33</v>
      </c>
      <c r="E133" s="38" t="s">
        <v>33</v>
      </c>
      <c r="F133" s="38" t="s">
        <v>33</v>
      </c>
      <c r="G133" s="90" t="s">
        <v>33</v>
      </c>
      <c r="H133" s="67"/>
    </row>
    <row r="134" spans="1:8" s="44" customFormat="1" ht="17.25" customHeight="1">
      <c r="A134" s="51" t="s">
        <v>178</v>
      </c>
      <c r="B134" s="102">
        <v>0</v>
      </c>
      <c r="C134" s="17">
        <v>120</v>
      </c>
      <c r="D134" s="108">
        <v>100</v>
      </c>
      <c r="E134" s="109">
        <f>+D134/C134*100</f>
        <v>83.33333333333334</v>
      </c>
      <c r="F134" s="63" t="s">
        <v>33</v>
      </c>
      <c r="G134" s="103" t="s">
        <v>33</v>
      </c>
      <c r="H134" s="77"/>
    </row>
    <row r="135" spans="1:8" s="44" customFormat="1" ht="19.5" customHeight="1">
      <c r="A135" s="7" t="s">
        <v>190</v>
      </c>
      <c r="B135" s="88">
        <v>0</v>
      </c>
      <c r="C135" s="13">
        <v>8680</v>
      </c>
      <c r="D135" s="13">
        <v>8680</v>
      </c>
      <c r="E135" s="19">
        <f>+D135/C135*100</f>
        <v>100</v>
      </c>
      <c r="F135" s="25">
        <v>8680</v>
      </c>
      <c r="G135" s="89">
        <f>+F135/C135*100</f>
        <v>100</v>
      </c>
      <c r="H135" s="43"/>
    </row>
    <row r="136" spans="1:8" s="44" customFormat="1" ht="19.5" customHeight="1">
      <c r="A136" s="7" t="s">
        <v>222</v>
      </c>
      <c r="B136" s="88">
        <v>0</v>
      </c>
      <c r="C136" s="13">
        <v>13000</v>
      </c>
      <c r="D136" s="13">
        <v>13000</v>
      </c>
      <c r="E136" s="19">
        <f>+D136/C136*100</f>
        <v>100</v>
      </c>
      <c r="F136" s="38" t="s">
        <v>33</v>
      </c>
      <c r="G136" s="90" t="s">
        <v>33</v>
      </c>
      <c r="H136" s="43"/>
    </row>
    <row r="137" spans="1:8" s="44" customFormat="1" ht="19.5" customHeight="1">
      <c r="A137" s="7" t="s">
        <v>191</v>
      </c>
      <c r="B137" s="88">
        <v>0</v>
      </c>
      <c r="C137" s="13">
        <v>2550</v>
      </c>
      <c r="D137" s="38" t="s">
        <v>33</v>
      </c>
      <c r="E137" s="38" t="s">
        <v>33</v>
      </c>
      <c r="F137" s="38" t="s">
        <v>33</v>
      </c>
      <c r="G137" s="90" t="s">
        <v>33</v>
      </c>
      <c r="H137" s="43"/>
    </row>
    <row r="138" spans="1:8" s="44" customFormat="1" ht="19.5" customHeight="1">
      <c r="A138" s="7" t="s">
        <v>230</v>
      </c>
      <c r="B138" s="88">
        <v>0</v>
      </c>
      <c r="C138" s="13">
        <v>863</v>
      </c>
      <c r="D138" s="13">
        <v>1036</v>
      </c>
      <c r="E138" s="19">
        <f>+D138/C138*100</f>
        <v>120.04634994206258</v>
      </c>
      <c r="F138" s="25">
        <v>43</v>
      </c>
      <c r="G138" s="89">
        <f>+F138/C138*100</f>
        <v>4.9826187717265356</v>
      </c>
      <c r="H138" s="43" t="s">
        <v>236</v>
      </c>
    </row>
    <row r="139" spans="1:8" s="44" customFormat="1" ht="19.5" customHeight="1">
      <c r="A139" s="7" t="s">
        <v>221</v>
      </c>
      <c r="B139" s="88">
        <v>0</v>
      </c>
      <c r="C139" s="13">
        <v>10700</v>
      </c>
      <c r="D139" s="38" t="s">
        <v>33</v>
      </c>
      <c r="E139" s="38" t="s">
        <v>33</v>
      </c>
      <c r="F139" s="38" t="s">
        <v>33</v>
      </c>
      <c r="G139" s="90" t="s">
        <v>33</v>
      </c>
      <c r="H139" s="43"/>
    </row>
    <row r="140" spans="1:8" ht="19.5" customHeight="1">
      <c r="A140" s="33" t="s">
        <v>9</v>
      </c>
      <c r="B140" s="92">
        <f>SUM(B74:B139)</f>
        <v>1744593</v>
      </c>
      <c r="C140" s="14">
        <f>SUM(C74:C139)</f>
        <v>1971271</v>
      </c>
      <c r="D140" s="14">
        <f>SUM(D74:D139)</f>
        <v>1445607</v>
      </c>
      <c r="E140" s="20">
        <f>+D140/C140*100</f>
        <v>73.33375269052301</v>
      </c>
      <c r="F140" s="14">
        <f>SUM(F74:F139)</f>
        <v>484705</v>
      </c>
      <c r="G140" s="104">
        <f>+F140/C140*100</f>
        <v>24.588450801538702</v>
      </c>
      <c r="H140" s="69"/>
    </row>
    <row r="141" spans="1:8" s="44" customFormat="1" ht="21" customHeight="1">
      <c r="A141" s="2" t="s">
        <v>10</v>
      </c>
      <c r="B141" s="88"/>
      <c r="C141" s="13"/>
      <c r="D141" s="13"/>
      <c r="E141" s="19"/>
      <c r="F141" s="25"/>
      <c r="G141" s="89"/>
      <c r="H141" s="43"/>
    </row>
    <row r="142" spans="1:8" s="44" customFormat="1" ht="21" customHeight="1">
      <c r="A142" s="4" t="s">
        <v>44</v>
      </c>
      <c r="B142" s="88">
        <v>1438</v>
      </c>
      <c r="C142" s="13">
        <v>0</v>
      </c>
      <c r="D142" s="38" t="s">
        <v>33</v>
      </c>
      <c r="E142" s="38" t="s">
        <v>33</v>
      </c>
      <c r="F142" s="38" t="s">
        <v>33</v>
      </c>
      <c r="G142" s="90" t="s">
        <v>33</v>
      </c>
      <c r="H142" s="43"/>
    </row>
    <row r="143" spans="1:8" s="44" customFormat="1" ht="21" customHeight="1">
      <c r="A143" s="4" t="s">
        <v>248</v>
      </c>
      <c r="B143" s="91">
        <v>10000</v>
      </c>
      <c r="C143" s="15">
        <v>10000</v>
      </c>
      <c r="D143" s="15">
        <v>15803</v>
      </c>
      <c r="E143" s="21">
        <f>+D143/C143*100</f>
        <v>158.03</v>
      </c>
      <c r="F143" s="38" t="s">
        <v>33</v>
      </c>
      <c r="G143" s="90" t="s">
        <v>33</v>
      </c>
      <c r="H143" s="42" t="s">
        <v>247</v>
      </c>
    </row>
    <row r="144" spans="1:8" s="44" customFormat="1" ht="21" customHeight="1">
      <c r="A144" s="4" t="s">
        <v>203</v>
      </c>
      <c r="B144" s="91">
        <v>0</v>
      </c>
      <c r="C144" s="39">
        <v>100000</v>
      </c>
      <c r="D144" s="15">
        <v>64349</v>
      </c>
      <c r="E144" s="21">
        <f>+D144/C144*100</f>
        <v>64.349</v>
      </c>
      <c r="F144" s="38" t="s">
        <v>33</v>
      </c>
      <c r="G144" s="90" t="s">
        <v>33</v>
      </c>
      <c r="H144" s="42"/>
    </row>
    <row r="145" spans="1:8" s="47" customFormat="1" ht="29.25" customHeight="1">
      <c r="A145" s="5" t="s">
        <v>204</v>
      </c>
      <c r="B145" s="105">
        <v>0</v>
      </c>
      <c r="C145" s="116">
        <v>21941</v>
      </c>
      <c r="D145" s="18">
        <v>29000</v>
      </c>
      <c r="E145" s="22">
        <f>+D145/C145*100</f>
        <v>132.17264482019965</v>
      </c>
      <c r="F145" s="110" t="s">
        <v>33</v>
      </c>
      <c r="G145" s="111" t="s">
        <v>33</v>
      </c>
      <c r="H145" s="113" t="s">
        <v>244</v>
      </c>
    </row>
    <row r="146" spans="1:8" s="47" customFormat="1" ht="21" customHeight="1">
      <c r="A146" s="5" t="s">
        <v>205</v>
      </c>
      <c r="B146" s="105">
        <v>0</v>
      </c>
      <c r="C146" s="116">
        <v>2980</v>
      </c>
      <c r="D146" s="110" t="s">
        <v>33</v>
      </c>
      <c r="E146" s="110" t="s">
        <v>33</v>
      </c>
      <c r="F146" s="110" t="s">
        <v>33</v>
      </c>
      <c r="G146" s="111" t="s">
        <v>33</v>
      </c>
      <c r="H146" s="112"/>
    </row>
    <row r="147" spans="1:8" s="44" customFormat="1" ht="21" customHeight="1">
      <c r="A147" s="33" t="s">
        <v>11</v>
      </c>
      <c r="B147" s="92">
        <f>SUM(B142:B146)</f>
        <v>11438</v>
      </c>
      <c r="C147" s="14">
        <f>SUM(C142:C146)</f>
        <v>134921</v>
      </c>
      <c r="D147" s="14">
        <f>SUM(D142:D146)</f>
        <v>109152</v>
      </c>
      <c r="E147" s="20">
        <f>+D147/C147*100</f>
        <v>80.90067520993767</v>
      </c>
      <c r="F147" s="14">
        <f>SUM(F142:F146)</f>
        <v>0</v>
      </c>
      <c r="G147" s="104">
        <f>+F147/C147*100</f>
        <v>0</v>
      </c>
      <c r="H147" s="69"/>
    </row>
    <row r="148" spans="1:8" s="44" customFormat="1" ht="21" customHeight="1">
      <c r="A148" s="2" t="s">
        <v>107</v>
      </c>
      <c r="B148" s="88"/>
      <c r="C148" s="13"/>
      <c r="D148" s="13"/>
      <c r="E148" s="19"/>
      <c r="F148" s="25"/>
      <c r="G148" s="89"/>
      <c r="H148" s="43"/>
    </row>
    <row r="149" spans="1:8" ht="21" customHeight="1">
      <c r="A149" s="10" t="s">
        <v>69</v>
      </c>
      <c r="B149" s="88">
        <v>2000</v>
      </c>
      <c r="C149" s="13">
        <v>0</v>
      </c>
      <c r="D149" s="38" t="s">
        <v>33</v>
      </c>
      <c r="E149" s="38" t="s">
        <v>33</v>
      </c>
      <c r="F149" s="38" t="s">
        <v>33</v>
      </c>
      <c r="G149" s="90" t="s">
        <v>33</v>
      </c>
      <c r="H149" s="43"/>
    </row>
    <row r="150" spans="1:8" ht="21" customHeight="1">
      <c r="A150" s="10" t="s">
        <v>96</v>
      </c>
      <c r="B150" s="88">
        <v>478</v>
      </c>
      <c r="C150" s="13">
        <v>478</v>
      </c>
      <c r="D150" s="38" t="s">
        <v>33</v>
      </c>
      <c r="E150" s="38" t="s">
        <v>33</v>
      </c>
      <c r="F150" s="38" t="s">
        <v>33</v>
      </c>
      <c r="G150" s="90" t="s">
        <v>33</v>
      </c>
      <c r="H150" s="43"/>
    </row>
    <row r="151" spans="1:8" s="47" customFormat="1" ht="21" customHeight="1">
      <c r="A151" s="7" t="s">
        <v>111</v>
      </c>
      <c r="B151" s="88">
        <v>1389</v>
      </c>
      <c r="C151" s="13">
        <v>1389</v>
      </c>
      <c r="D151" s="13">
        <v>1389</v>
      </c>
      <c r="E151" s="19">
        <f>+D151/C151*100</f>
        <v>100</v>
      </c>
      <c r="F151" s="25">
        <v>1389</v>
      </c>
      <c r="G151" s="89">
        <f>+F151/C151*100</f>
        <v>100</v>
      </c>
      <c r="H151" s="43"/>
    </row>
    <row r="152" spans="1:8" s="44" customFormat="1" ht="21" customHeight="1">
      <c r="A152" s="5" t="s">
        <v>140</v>
      </c>
      <c r="B152" s="105">
        <v>5000</v>
      </c>
      <c r="C152" s="18">
        <v>5000</v>
      </c>
      <c r="D152" s="15">
        <v>5000</v>
      </c>
      <c r="E152" s="19">
        <f>+D152/C152*100</f>
        <v>100</v>
      </c>
      <c r="F152" s="38" t="s">
        <v>33</v>
      </c>
      <c r="G152" s="90" t="s">
        <v>33</v>
      </c>
      <c r="H152" s="48"/>
    </row>
    <row r="153" spans="1:8" s="47" customFormat="1" ht="21" customHeight="1">
      <c r="A153" s="4" t="s">
        <v>80</v>
      </c>
      <c r="B153" s="91">
        <v>1000</v>
      </c>
      <c r="C153" s="15">
        <v>1000</v>
      </c>
      <c r="D153" s="15">
        <v>360</v>
      </c>
      <c r="E153" s="21">
        <f>+D153/C153*100</f>
        <v>36</v>
      </c>
      <c r="F153" s="25">
        <v>360</v>
      </c>
      <c r="G153" s="89">
        <f>+F153/C153*100</f>
        <v>36</v>
      </c>
      <c r="H153" s="52"/>
    </row>
    <row r="154" spans="1:8" s="44" customFormat="1" ht="21" customHeight="1">
      <c r="A154" s="33" t="s">
        <v>171</v>
      </c>
      <c r="B154" s="92">
        <f>SUM(B149:B153)</f>
        <v>9867</v>
      </c>
      <c r="C154" s="14">
        <f>SUM(C149:C153)</f>
        <v>7867</v>
      </c>
      <c r="D154" s="14">
        <f>SUM(D149:D153)</f>
        <v>6749</v>
      </c>
      <c r="E154" s="20">
        <f>+D154/C154*100</f>
        <v>85.78873776534893</v>
      </c>
      <c r="F154" s="14">
        <f>SUM(F149:F153)</f>
        <v>1749</v>
      </c>
      <c r="G154" s="93">
        <f>+F154/C154*100</f>
        <v>22.232108808948773</v>
      </c>
      <c r="H154" s="69"/>
    </row>
    <row r="155" spans="1:8" s="45" customFormat="1" ht="21" customHeight="1">
      <c r="A155" s="2" t="s">
        <v>12</v>
      </c>
      <c r="B155" s="88"/>
      <c r="C155" s="13"/>
      <c r="D155" s="13"/>
      <c r="E155" s="19"/>
      <c r="F155" s="25"/>
      <c r="G155" s="89"/>
      <c r="H155" s="43"/>
    </row>
    <row r="156" spans="1:8" s="44" customFormat="1" ht="21" customHeight="1">
      <c r="A156" s="11" t="s">
        <v>70</v>
      </c>
      <c r="B156" s="88">
        <v>1800</v>
      </c>
      <c r="C156" s="13">
        <v>1800</v>
      </c>
      <c r="D156" s="13">
        <v>1800</v>
      </c>
      <c r="E156" s="19">
        <f>+D156/C156*100</f>
        <v>100</v>
      </c>
      <c r="F156" s="25">
        <v>1800</v>
      </c>
      <c r="G156" s="89">
        <f>+F156/C156*100</f>
        <v>100</v>
      </c>
      <c r="H156" s="43"/>
    </row>
    <row r="157" spans="1:8" s="44" customFormat="1" ht="21" customHeight="1">
      <c r="A157" s="4" t="s">
        <v>117</v>
      </c>
      <c r="B157" s="91">
        <v>20000</v>
      </c>
      <c r="C157" s="15">
        <v>20000</v>
      </c>
      <c r="D157" s="15">
        <v>24326</v>
      </c>
      <c r="E157" s="19">
        <f>+D157/C157*100</f>
        <v>121.63</v>
      </c>
      <c r="F157" s="38" t="s">
        <v>33</v>
      </c>
      <c r="G157" s="90" t="s">
        <v>33</v>
      </c>
      <c r="H157" s="118" t="s">
        <v>246</v>
      </c>
    </row>
    <row r="158" spans="1:8" s="44" customFormat="1" ht="21" customHeight="1">
      <c r="A158" s="11" t="s">
        <v>112</v>
      </c>
      <c r="B158" s="95">
        <f>11991+12455</f>
        <v>24446</v>
      </c>
      <c r="C158" s="26">
        <f>11991+12455+970</f>
        <v>25416</v>
      </c>
      <c r="D158" s="26">
        <f>11991+12455+619+351</f>
        <v>25416</v>
      </c>
      <c r="E158" s="21">
        <f>+D158/C158*100</f>
        <v>100</v>
      </c>
      <c r="F158" s="26">
        <v>24446</v>
      </c>
      <c r="G158" s="89">
        <f>+F158/C158*100</f>
        <v>96.18350645262827</v>
      </c>
      <c r="H158" s="72"/>
    </row>
    <row r="159" spans="1:8" s="44" customFormat="1" ht="21" customHeight="1">
      <c r="A159" s="7" t="s">
        <v>206</v>
      </c>
      <c r="B159" s="95">
        <v>0</v>
      </c>
      <c r="C159" s="26">
        <v>2770</v>
      </c>
      <c r="D159" s="38" t="s">
        <v>33</v>
      </c>
      <c r="E159" s="38" t="s">
        <v>33</v>
      </c>
      <c r="F159" s="38" t="s">
        <v>33</v>
      </c>
      <c r="G159" s="90" t="s">
        <v>33</v>
      </c>
      <c r="H159" s="72"/>
    </row>
    <row r="160" spans="1:8" s="44" customFormat="1" ht="21" customHeight="1">
      <c r="A160" s="33" t="s">
        <v>13</v>
      </c>
      <c r="B160" s="92">
        <f>SUM(B156:B159)</f>
        <v>46246</v>
      </c>
      <c r="C160" s="14">
        <f>SUM(C156:C159)</f>
        <v>49986</v>
      </c>
      <c r="D160" s="14">
        <f>SUM(D156:D159)</f>
        <v>51542</v>
      </c>
      <c r="E160" s="20">
        <f>+D160/C160*100</f>
        <v>103.11287160404913</v>
      </c>
      <c r="F160" s="14">
        <f>SUM(F156:F159)</f>
        <v>26246</v>
      </c>
      <c r="G160" s="104">
        <f>+F160/C160*100</f>
        <v>52.50670187652543</v>
      </c>
      <c r="H160" s="69"/>
    </row>
    <row r="161" spans="1:8" s="45" customFormat="1" ht="20.25" customHeight="1">
      <c r="A161" s="2" t="s">
        <v>14</v>
      </c>
      <c r="B161" s="88"/>
      <c r="C161" s="13"/>
      <c r="D161" s="13"/>
      <c r="E161" s="19"/>
      <c r="F161" s="25"/>
      <c r="G161" s="89"/>
      <c r="H161" s="43"/>
    </row>
    <row r="162" spans="1:8" s="44" customFormat="1" ht="18.75" customHeight="1">
      <c r="A162" s="9" t="s">
        <v>97</v>
      </c>
      <c r="B162" s="88">
        <v>5400</v>
      </c>
      <c r="C162" s="13">
        <v>5400</v>
      </c>
      <c r="D162" s="13">
        <v>5400</v>
      </c>
      <c r="E162" s="19">
        <f>+D162/C162*100</f>
        <v>100</v>
      </c>
      <c r="F162" s="25">
        <v>5400</v>
      </c>
      <c r="G162" s="89">
        <f>+F162/C162*100</f>
        <v>100</v>
      </c>
      <c r="H162" s="43"/>
    </row>
    <row r="163" spans="1:8" s="47" customFormat="1" ht="18.75" customHeight="1">
      <c r="A163" s="10" t="s">
        <v>98</v>
      </c>
      <c r="B163" s="88">
        <v>5928</v>
      </c>
      <c r="C163" s="13">
        <v>5928</v>
      </c>
      <c r="D163" s="13">
        <v>5928</v>
      </c>
      <c r="E163" s="19">
        <f>+D163/C163*100</f>
        <v>100</v>
      </c>
      <c r="F163" s="25">
        <v>5928</v>
      </c>
      <c r="G163" s="89">
        <f>+F163/C163*100</f>
        <v>100</v>
      </c>
      <c r="H163" s="43"/>
    </row>
    <row r="164" spans="1:8" ht="18.75" customHeight="1">
      <c r="A164" s="7" t="s">
        <v>174</v>
      </c>
      <c r="B164" s="88">
        <v>1666</v>
      </c>
      <c r="C164" s="13">
        <f>1666+9148</f>
        <v>10814</v>
      </c>
      <c r="D164" s="13">
        <v>8513</v>
      </c>
      <c r="E164" s="19">
        <f>+D164/C164*100</f>
        <v>78.7220270020344</v>
      </c>
      <c r="F164" s="25">
        <v>8513</v>
      </c>
      <c r="G164" s="89">
        <f>+F164/C164*100</f>
        <v>78.7220270020344</v>
      </c>
      <c r="H164" s="78"/>
    </row>
    <row r="165" spans="1:8" ht="18.75" customHeight="1">
      <c r="A165" s="4" t="s">
        <v>160</v>
      </c>
      <c r="B165" s="88">
        <f>1866+20732</f>
        <v>22598</v>
      </c>
      <c r="C165" s="13">
        <f>1866+20732+2000</f>
        <v>24598</v>
      </c>
      <c r="D165" s="13">
        <f>1187+4788+4409+369+14+248+379+1860</f>
        <v>13254</v>
      </c>
      <c r="E165" s="19">
        <f>+D165/C165*100</f>
        <v>53.88242946581023</v>
      </c>
      <c r="F165" s="25">
        <v>10766</v>
      </c>
      <c r="G165" s="89">
        <f>+F165/C165*100</f>
        <v>43.7677859988617</v>
      </c>
      <c r="H165" s="43"/>
    </row>
    <row r="166" spans="1:8" s="44" customFormat="1" ht="18.75" customHeight="1">
      <c r="A166" s="4" t="s">
        <v>161</v>
      </c>
      <c r="B166" s="88">
        <f>3692+4000</f>
        <v>7692</v>
      </c>
      <c r="C166" s="13">
        <f>3692+4000</f>
        <v>7692</v>
      </c>
      <c r="D166" s="13">
        <f>1571+888+105+93</f>
        <v>2657</v>
      </c>
      <c r="E166" s="19">
        <f>+D166/C166*100</f>
        <v>34.54238169526781</v>
      </c>
      <c r="F166" s="25">
        <f>2459+105+93</f>
        <v>2657</v>
      </c>
      <c r="G166" s="89">
        <f>+F166/C166*100</f>
        <v>34.54238169526781</v>
      </c>
      <c r="H166" s="43"/>
    </row>
    <row r="167" spans="1:8" s="44" customFormat="1" ht="18.75" customHeight="1">
      <c r="A167" s="4" t="s">
        <v>213</v>
      </c>
      <c r="B167" s="91">
        <v>20900</v>
      </c>
      <c r="C167" s="15">
        <v>20900</v>
      </c>
      <c r="D167" s="38" t="s">
        <v>33</v>
      </c>
      <c r="E167" s="38" t="s">
        <v>33</v>
      </c>
      <c r="F167" s="38" t="s">
        <v>33</v>
      </c>
      <c r="G167" s="90" t="s">
        <v>33</v>
      </c>
      <c r="H167" s="79"/>
    </row>
    <row r="168" spans="1:8" s="44" customFormat="1" ht="18.75" customHeight="1">
      <c r="A168" s="4" t="s">
        <v>133</v>
      </c>
      <c r="B168" s="91">
        <v>10200</v>
      </c>
      <c r="C168" s="15">
        <v>10200</v>
      </c>
      <c r="D168" s="38" t="s">
        <v>33</v>
      </c>
      <c r="E168" s="38" t="s">
        <v>33</v>
      </c>
      <c r="F168" s="38" t="s">
        <v>33</v>
      </c>
      <c r="G168" s="90" t="s">
        <v>33</v>
      </c>
      <c r="H168" s="79"/>
    </row>
    <row r="169" spans="1:8" s="44" customFormat="1" ht="18.75" customHeight="1">
      <c r="A169" s="4" t="s">
        <v>156</v>
      </c>
      <c r="B169" s="91">
        <v>8000</v>
      </c>
      <c r="C169" s="15">
        <v>8000</v>
      </c>
      <c r="D169" s="38" t="s">
        <v>33</v>
      </c>
      <c r="E169" s="38" t="s">
        <v>33</v>
      </c>
      <c r="F169" s="38" t="s">
        <v>33</v>
      </c>
      <c r="G169" s="90" t="s">
        <v>33</v>
      </c>
      <c r="H169" s="79"/>
    </row>
    <row r="170" spans="1:8" s="44" customFormat="1" ht="18.75" customHeight="1">
      <c r="A170" s="4" t="s">
        <v>168</v>
      </c>
      <c r="B170" s="91">
        <v>684</v>
      </c>
      <c r="C170" s="15">
        <v>0</v>
      </c>
      <c r="D170" s="38" t="s">
        <v>33</v>
      </c>
      <c r="E170" s="38" t="s">
        <v>33</v>
      </c>
      <c r="F170" s="38" t="s">
        <v>33</v>
      </c>
      <c r="G170" s="90" t="s">
        <v>33</v>
      </c>
      <c r="H170" s="79"/>
    </row>
    <row r="171" spans="1:8" s="44" customFormat="1" ht="18.75" customHeight="1">
      <c r="A171" s="9" t="s">
        <v>134</v>
      </c>
      <c r="B171" s="91">
        <v>25000</v>
      </c>
      <c r="C171" s="15">
        <f>25000+1735</f>
        <v>26735</v>
      </c>
      <c r="D171" s="15">
        <v>26735</v>
      </c>
      <c r="E171" s="21">
        <f>+D171/C171*100</f>
        <v>100</v>
      </c>
      <c r="F171" s="25">
        <v>26735</v>
      </c>
      <c r="G171" s="89">
        <f>+F171/C171*100</f>
        <v>100</v>
      </c>
      <c r="H171" s="42"/>
    </row>
    <row r="172" spans="1:8" s="47" customFormat="1" ht="18.75" customHeight="1">
      <c r="A172" s="5" t="s">
        <v>181</v>
      </c>
      <c r="B172" s="105">
        <v>0</v>
      </c>
      <c r="C172" s="16">
        <f>207000+40000</f>
        <v>247000</v>
      </c>
      <c r="D172" s="110" t="s">
        <v>33</v>
      </c>
      <c r="E172" s="110" t="s">
        <v>33</v>
      </c>
      <c r="F172" s="110" t="s">
        <v>33</v>
      </c>
      <c r="G172" s="111" t="s">
        <v>33</v>
      </c>
      <c r="H172" s="112"/>
    </row>
    <row r="173" spans="1:8" s="44" customFormat="1" ht="18.75" customHeight="1">
      <c r="A173" s="9" t="s">
        <v>182</v>
      </c>
      <c r="B173" s="91">
        <v>0</v>
      </c>
      <c r="C173" s="13">
        <v>1000</v>
      </c>
      <c r="D173" s="15">
        <v>1000</v>
      </c>
      <c r="E173" s="21">
        <f>+D173/C173*100</f>
        <v>100</v>
      </c>
      <c r="F173" s="25">
        <v>1000</v>
      </c>
      <c r="G173" s="89">
        <f>+F173/C173*100</f>
        <v>100</v>
      </c>
      <c r="H173" s="42"/>
    </row>
    <row r="174" spans="1:8" s="44" customFormat="1" ht="18.75" customHeight="1">
      <c r="A174" s="4" t="s">
        <v>207</v>
      </c>
      <c r="B174" s="91">
        <v>0</v>
      </c>
      <c r="C174" s="13">
        <v>1560</v>
      </c>
      <c r="D174" s="15">
        <v>1560</v>
      </c>
      <c r="E174" s="21">
        <f>+D174/C174*100</f>
        <v>100</v>
      </c>
      <c r="F174" s="25">
        <v>0</v>
      </c>
      <c r="G174" s="89">
        <f>+F174/C174*100</f>
        <v>0</v>
      </c>
      <c r="H174" s="42"/>
    </row>
    <row r="175" spans="1:8" s="44" customFormat="1" ht="20.25" customHeight="1">
      <c r="A175" s="33" t="s">
        <v>15</v>
      </c>
      <c r="B175" s="92">
        <f>SUM(B162:B174)</f>
        <v>108068</v>
      </c>
      <c r="C175" s="14">
        <f>SUM(C162:C174)</f>
        <v>369827</v>
      </c>
      <c r="D175" s="14">
        <f>SUM(D162:D174)</f>
        <v>65047</v>
      </c>
      <c r="E175" s="20">
        <f>+D175/C175*100</f>
        <v>17.588494079664272</v>
      </c>
      <c r="F175" s="14">
        <f>SUM(F162:F174)</f>
        <v>60999</v>
      </c>
      <c r="G175" s="104">
        <f>+F175/C175*100</f>
        <v>16.49392824212402</v>
      </c>
      <c r="H175" s="69"/>
    </row>
    <row r="176" spans="1:8" s="44" customFormat="1" ht="22.5" customHeight="1">
      <c r="A176" s="2" t="s">
        <v>16</v>
      </c>
      <c r="B176" s="88"/>
      <c r="C176" s="13"/>
      <c r="D176" s="13"/>
      <c r="E176" s="19"/>
      <c r="F176" s="13"/>
      <c r="G176" s="89"/>
      <c r="H176" s="43"/>
    </row>
    <row r="177" spans="1:8" s="44" customFormat="1" ht="18.75" customHeight="1">
      <c r="A177" s="5" t="s">
        <v>142</v>
      </c>
      <c r="B177" s="105">
        <v>8350</v>
      </c>
      <c r="C177" s="18">
        <v>8350</v>
      </c>
      <c r="D177" s="18">
        <v>8350</v>
      </c>
      <c r="E177" s="23">
        <f>+D177/C177*100</f>
        <v>100</v>
      </c>
      <c r="F177" s="25">
        <v>8350</v>
      </c>
      <c r="G177" s="89">
        <f aca="true" t="shared" si="17" ref="G177:G183">+F177/C177*100</f>
        <v>100</v>
      </c>
      <c r="H177" s="53"/>
    </row>
    <row r="178" spans="1:8" s="47" customFormat="1" ht="18.75" customHeight="1">
      <c r="A178" s="5" t="s">
        <v>143</v>
      </c>
      <c r="B178" s="105">
        <v>100000</v>
      </c>
      <c r="C178" s="18">
        <v>100000</v>
      </c>
      <c r="D178" s="18">
        <f>2880+48+283204-186132</f>
        <v>100000</v>
      </c>
      <c r="E178" s="23">
        <f>+D178/C178*100</f>
        <v>100</v>
      </c>
      <c r="F178" s="38" t="s">
        <v>33</v>
      </c>
      <c r="G178" s="90" t="s">
        <v>33</v>
      </c>
      <c r="H178" s="53"/>
    </row>
    <row r="179" spans="1:8" s="44" customFormat="1" ht="18.75" customHeight="1">
      <c r="A179" s="5" t="s">
        <v>144</v>
      </c>
      <c r="B179" s="105">
        <v>12000</v>
      </c>
      <c r="C179" s="18">
        <v>12000</v>
      </c>
      <c r="D179" s="18">
        <v>5970</v>
      </c>
      <c r="E179" s="23">
        <f>+D179/C179*100</f>
        <v>49.75</v>
      </c>
      <c r="F179" s="38" t="s">
        <v>33</v>
      </c>
      <c r="G179" s="90" t="s">
        <v>33</v>
      </c>
      <c r="H179" s="48"/>
    </row>
    <row r="180" spans="1:8" s="44" customFormat="1" ht="18.75" customHeight="1">
      <c r="A180" s="5" t="s">
        <v>145</v>
      </c>
      <c r="B180" s="105">
        <v>11000</v>
      </c>
      <c r="C180" s="18">
        <v>11000</v>
      </c>
      <c r="D180" s="18">
        <v>8940</v>
      </c>
      <c r="E180" s="23">
        <f>+D180/C180*100</f>
        <v>81.27272727272728</v>
      </c>
      <c r="F180" s="25"/>
      <c r="G180" s="89">
        <f t="shared" si="17"/>
        <v>0</v>
      </c>
      <c r="H180" s="42" t="s">
        <v>141</v>
      </c>
    </row>
    <row r="181" spans="1:8" s="44" customFormat="1" ht="18.75" customHeight="1">
      <c r="A181" s="7" t="s">
        <v>71</v>
      </c>
      <c r="B181" s="88">
        <v>891</v>
      </c>
      <c r="C181" s="13">
        <v>891</v>
      </c>
      <c r="D181" s="38" t="s">
        <v>33</v>
      </c>
      <c r="E181" s="38" t="s">
        <v>33</v>
      </c>
      <c r="F181" s="38" t="s">
        <v>33</v>
      </c>
      <c r="G181" s="90" t="s">
        <v>33</v>
      </c>
      <c r="H181" s="43"/>
    </row>
    <row r="182" spans="1:8" s="44" customFormat="1" ht="18.75" customHeight="1">
      <c r="A182" s="7" t="s">
        <v>172</v>
      </c>
      <c r="B182" s="88">
        <v>22000</v>
      </c>
      <c r="C182" s="13">
        <v>22000</v>
      </c>
      <c r="D182" s="13">
        <v>8300</v>
      </c>
      <c r="E182" s="19">
        <f>+D182/C182*100</f>
        <v>37.72727272727273</v>
      </c>
      <c r="F182" s="13">
        <v>8300</v>
      </c>
      <c r="G182" s="89">
        <f t="shared" si="17"/>
        <v>37.72727272727273</v>
      </c>
      <c r="H182" s="43"/>
    </row>
    <row r="183" spans="1:8" ht="22.5" customHeight="1">
      <c r="A183" s="33" t="s">
        <v>17</v>
      </c>
      <c r="B183" s="92">
        <f>SUM(B177:B182)</f>
        <v>154241</v>
      </c>
      <c r="C183" s="14">
        <f>SUM(C177:C182)</f>
        <v>154241</v>
      </c>
      <c r="D183" s="14">
        <f>SUM(D177:D182)</f>
        <v>131560</v>
      </c>
      <c r="E183" s="20">
        <f>+D183/C183*100</f>
        <v>85.29509015112713</v>
      </c>
      <c r="F183" s="14">
        <f>SUM(F177:F182)</f>
        <v>16650</v>
      </c>
      <c r="G183" s="104">
        <f t="shared" si="17"/>
        <v>10.79479515822641</v>
      </c>
      <c r="H183" s="69"/>
    </row>
    <row r="184" spans="1:8" ht="22.5" customHeight="1">
      <c r="A184" s="2" t="s">
        <v>18</v>
      </c>
      <c r="B184" s="88"/>
      <c r="C184" s="13"/>
      <c r="D184" s="13"/>
      <c r="E184" s="19"/>
      <c r="G184" s="89"/>
      <c r="H184" s="43"/>
    </row>
    <row r="185" spans="1:8" s="44" customFormat="1" ht="18.75" customHeight="1">
      <c r="A185" s="9" t="s">
        <v>231</v>
      </c>
      <c r="B185" s="88">
        <v>100</v>
      </c>
      <c r="C185" s="13">
        <v>100</v>
      </c>
      <c r="D185" s="38" t="s">
        <v>33</v>
      </c>
      <c r="E185" s="38" t="s">
        <v>33</v>
      </c>
      <c r="F185" s="38" t="s">
        <v>33</v>
      </c>
      <c r="G185" s="90" t="s">
        <v>33</v>
      </c>
      <c r="H185" s="43"/>
    </row>
    <row r="186" spans="1:8" s="44" customFormat="1" ht="18.75" customHeight="1">
      <c r="A186" s="4" t="s">
        <v>159</v>
      </c>
      <c r="B186" s="88">
        <f>60+880</f>
        <v>940</v>
      </c>
      <c r="C186" s="13">
        <f>60+880-256</f>
        <v>684</v>
      </c>
      <c r="D186" s="13">
        <v>60</v>
      </c>
      <c r="E186" s="19">
        <f>+D186/C186*100</f>
        <v>8.771929824561402</v>
      </c>
      <c r="F186" s="25">
        <v>60</v>
      </c>
      <c r="G186" s="89">
        <f aca="true" t="shared" si="18" ref="G186:G192">+F186/C186*100</f>
        <v>8.771929824561402</v>
      </c>
      <c r="H186" s="43"/>
    </row>
    <row r="187" spans="1:8" s="44" customFormat="1" ht="18.75" customHeight="1">
      <c r="A187" s="4" t="s">
        <v>79</v>
      </c>
      <c r="B187" s="91">
        <v>2500</v>
      </c>
      <c r="C187" s="15">
        <v>2500</v>
      </c>
      <c r="D187" s="15">
        <v>2493</v>
      </c>
      <c r="E187" s="21">
        <f>+D187/C187*100</f>
        <v>99.72</v>
      </c>
      <c r="F187" s="25">
        <v>2493</v>
      </c>
      <c r="G187" s="89">
        <f t="shared" si="18"/>
        <v>99.72</v>
      </c>
      <c r="H187" s="42"/>
    </row>
    <row r="188" spans="1:8" s="44" customFormat="1" ht="18.75" customHeight="1">
      <c r="A188" s="4" t="s">
        <v>135</v>
      </c>
      <c r="B188" s="91">
        <v>2000</v>
      </c>
      <c r="C188" s="15">
        <f>2000+2000</f>
        <v>4000</v>
      </c>
      <c r="D188" s="38" t="s">
        <v>33</v>
      </c>
      <c r="E188" s="38" t="s">
        <v>33</v>
      </c>
      <c r="F188" s="38" t="s">
        <v>33</v>
      </c>
      <c r="G188" s="90" t="s">
        <v>33</v>
      </c>
      <c r="H188" s="42"/>
    </row>
    <row r="189" spans="1:8" s="44" customFormat="1" ht="18.75" customHeight="1">
      <c r="A189" s="4" t="s">
        <v>180</v>
      </c>
      <c r="B189" s="91">
        <v>0</v>
      </c>
      <c r="C189" s="15">
        <f>3020+152</f>
        <v>3172</v>
      </c>
      <c r="D189" s="15">
        <f>156+2394+330+42+180</f>
        <v>3102</v>
      </c>
      <c r="E189" s="21">
        <f>+D189/C189*100</f>
        <v>97.79319041614124</v>
      </c>
      <c r="F189" s="25">
        <v>2922</v>
      </c>
      <c r="G189" s="89">
        <f t="shared" si="18"/>
        <v>92.11853720050442</v>
      </c>
      <c r="H189" s="42"/>
    </row>
    <row r="190" spans="1:8" s="47" customFormat="1" ht="18.75" customHeight="1">
      <c r="A190" s="5" t="s">
        <v>173</v>
      </c>
      <c r="B190" s="105">
        <v>0</v>
      </c>
      <c r="C190" s="18">
        <f>6216+180+15000</f>
        <v>21396</v>
      </c>
      <c r="D190" s="18">
        <f>5040+1176+9120+2640+84</f>
        <v>18060</v>
      </c>
      <c r="E190" s="23">
        <f>+D190/C190*100</f>
        <v>84.40830061693775</v>
      </c>
      <c r="F190" s="40">
        <v>6216</v>
      </c>
      <c r="G190" s="97">
        <f>+F190/C190*100</f>
        <v>29.052159282108807</v>
      </c>
      <c r="H190" s="112"/>
    </row>
    <row r="191" spans="1:8" s="1" customFormat="1" ht="18" customHeight="1">
      <c r="A191" s="4" t="s">
        <v>234</v>
      </c>
      <c r="B191" s="106">
        <v>0</v>
      </c>
      <c r="C191" s="15">
        <v>500</v>
      </c>
      <c r="D191" s="38" t="s">
        <v>33</v>
      </c>
      <c r="E191" s="38" t="s">
        <v>33</v>
      </c>
      <c r="F191" s="38" t="s">
        <v>33</v>
      </c>
      <c r="G191" s="90" t="s">
        <v>33</v>
      </c>
      <c r="H191" s="119"/>
    </row>
    <row r="192" spans="1:8" s="44" customFormat="1" ht="22.5" customHeight="1">
      <c r="A192" s="33" t="s">
        <v>19</v>
      </c>
      <c r="B192" s="92">
        <f>SUM(B185:B191)</f>
        <v>5540</v>
      </c>
      <c r="C192" s="14">
        <f>SUM(C185:C191)</f>
        <v>32352</v>
      </c>
      <c r="D192" s="14">
        <f>SUM(D185:D191)</f>
        <v>23715</v>
      </c>
      <c r="E192" s="20">
        <f>+D192/C192*100</f>
        <v>73.30304154302671</v>
      </c>
      <c r="F192" s="14">
        <f>SUM(F185:F191)</f>
        <v>11691</v>
      </c>
      <c r="G192" s="104">
        <f t="shared" si="18"/>
        <v>36.13686943620178</v>
      </c>
      <c r="H192" s="69"/>
    </row>
    <row r="193" spans="1:8" s="44" customFormat="1" ht="20.25" customHeight="1">
      <c r="A193" s="2" t="s">
        <v>126</v>
      </c>
      <c r="B193" s="88"/>
      <c r="C193" s="13"/>
      <c r="D193" s="13"/>
      <c r="E193" s="19"/>
      <c r="F193" s="25"/>
      <c r="G193" s="89"/>
      <c r="H193" s="43"/>
    </row>
    <row r="194" spans="1:8" s="47" customFormat="1" ht="18" customHeight="1">
      <c r="A194" s="2" t="s">
        <v>127</v>
      </c>
      <c r="B194" s="96">
        <v>90925</v>
      </c>
      <c r="C194" s="16">
        <v>90925</v>
      </c>
      <c r="D194" s="16">
        <v>8815</v>
      </c>
      <c r="E194" s="22">
        <f aca="true" t="shared" si="19" ref="E194:E199">+D194/C194*100</f>
        <v>9.694803409403354</v>
      </c>
      <c r="F194" s="40">
        <v>7052</v>
      </c>
      <c r="G194" s="97">
        <f aca="true" t="shared" si="20" ref="G194:G201">+F194/C194*100</f>
        <v>7.755842727522684</v>
      </c>
      <c r="H194" s="112"/>
    </row>
    <row r="195" spans="1:8" s="47" customFormat="1" ht="18" customHeight="1">
      <c r="A195" s="2" t="s">
        <v>128</v>
      </c>
      <c r="B195" s="96">
        <v>14542</v>
      </c>
      <c r="C195" s="16">
        <v>14542</v>
      </c>
      <c r="D195" s="16">
        <f>3600+6000</f>
        <v>9600</v>
      </c>
      <c r="E195" s="22">
        <f t="shared" si="19"/>
        <v>66.01567872369688</v>
      </c>
      <c r="F195" s="40">
        <v>2160</v>
      </c>
      <c r="G195" s="97">
        <f t="shared" si="20"/>
        <v>14.853527712831799</v>
      </c>
      <c r="H195" s="113"/>
    </row>
    <row r="196" spans="1:8" s="47" customFormat="1" ht="18" customHeight="1">
      <c r="A196" s="2" t="s">
        <v>129</v>
      </c>
      <c r="B196" s="96">
        <v>24722</v>
      </c>
      <c r="C196" s="16">
        <v>24722</v>
      </c>
      <c r="D196" s="16">
        <v>4680</v>
      </c>
      <c r="E196" s="22">
        <f t="shared" si="19"/>
        <v>18.930507240514522</v>
      </c>
      <c r="F196" s="40"/>
      <c r="G196" s="97">
        <f t="shared" si="20"/>
        <v>0</v>
      </c>
      <c r="H196" s="113"/>
    </row>
    <row r="197" spans="1:8" s="47" customFormat="1" ht="18" customHeight="1">
      <c r="A197" s="114" t="s">
        <v>192</v>
      </c>
      <c r="B197" s="96">
        <v>1920</v>
      </c>
      <c r="C197" s="16">
        <v>1920</v>
      </c>
      <c r="D197" s="16">
        <v>1920</v>
      </c>
      <c r="E197" s="22">
        <f t="shared" si="19"/>
        <v>100</v>
      </c>
      <c r="F197" s="40">
        <v>1920</v>
      </c>
      <c r="G197" s="97">
        <f t="shared" si="20"/>
        <v>100</v>
      </c>
      <c r="H197" s="76"/>
    </row>
    <row r="198" spans="1:8" s="115" customFormat="1" ht="18" customHeight="1">
      <c r="A198" s="114" t="s">
        <v>87</v>
      </c>
      <c r="B198" s="96">
        <v>2640</v>
      </c>
      <c r="C198" s="16">
        <v>2640</v>
      </c>
      <c r="D198" s="16">
        <v>2640</v>
      </c>
      <c r="E198" s="22">
        <f t="shared" si="19"/>
        <v>100</v>
      </c>
      <c r="F198" s="40">
        <v>2640</v>
      </c>
      <c r="G198" s="97">
        <f t="shared" si="20"/>
        <v>100</v>
      </c>
      <c r="H198" s="76"/>
    </row>
    <row r="199" spans="1:8" s="115" customFormat="1" ht="18" customHeight="1">
      <c r="A199" s="114" t="s">
        <v>88</v>
      </c>
      <c r="B199" s="96">
        <v>1920</v>
      </c>
      <c r="C199" s="16">
        <v>1920</v>
      </c>
      <c r="D199" s="16">
        <v>1920</v>
      </c>
      <c r="E199" s="22">
        <f t="shared" si="19"/>
        <v>100</v>
      </c>
      <c r="F199" s="40">
        <v>1920</v>
      </c>
      <c r="G199" s="97">
        <f>+F199/C199*100</f>
        <v>100</v>
      </c>
      <c r="H199" s="76"/>
    </row>
    <row r="200" spans="1:8" s="115" customFormat="1" ht="18" customHeight="1">
      <c r="A200" s="7" t="s">
        <v>245</v>
      </c>
      <c r="B200" s="88">
        <v>0</v>
      </c>
      <c r="C200" s="15" t="s">
        <v>39</v>
      </c>
      <c r="D200" s="13">
        <v>1200</v>
      </c>
      <c r="E200" s="38" t="s">
        <v>33</v>
      </c>
      <c r="F200" s="38" t="s">
        <v>33</v>
      </c>
      <c r="G200" s="90" t="s">
        <v>33</v>
      </c>
      <c r="H200" s="43" t="s">
        <v>238</v>
      </c>
    </row>
    <row r="201" spans="1:8" s="45" customFormat="1" ht="19.5" customHeight="1">
      <c r="A201" s="33" t="s">
        <v>237</v>
      </c>
      <c r="B201" s="92">
        <f>SUM(B194:B200)</f>
        <v>136669</v>
      </c>
      <c r="C201" s="14">
        <f>SUM(C194:C200)</f>
        <v>136669</v>
      </c>
      <c r="D201" s="14">
        <f>SUM(D194:D200)</f>
        <v>30775</v>
      </c>
      <c r="E201" s="20">
        <f>+D201/C201*100</f>
        <v>22.517908230835083</v>
      </c>
      <c r="F201" s="14">
        <f>SUM(F194:F200)</f>
        <v>15692</v>
      </c>
      <c r="G201" s="104">
        <f t="shared" si="20"/>
        <v>11.481755189545545</v>
      </c>
      <c r="H201" s="69"/>
    </row>
    <row r="202" spans="1:8" s="45" customFormat="1" ht="21" customHeight="1">
      <c r="A202" s="34" t="s">
        <v>20</v>
      </c>
      <c r="B202" s="98"/>
      <c r="C202" s="35"/>
      <c r="D202" s="35"/>
      <c r="E202" s="36"/>
      <c r="F202" s="37"/>
      <c r="G202" s="99"/>
      <c r="H202" s="43"/>
    </row>
    <row r="203" spans="1:8" s="45" customFormat="1" ht="15" customHeight="1">
      <c r="A203" s="7" t="s">
        <v>28</v>
      </c>
      <c r="B203" s="94">
        <v>40000</v>
      </c>
      <c r="C203" s="54">
        <f>40000-16096+15000-24893+25989</f>
        <v>40000</v>
      </c>
      <c r="D203" s="24"/>
      <c r="E203" s="19">
        <f aca="true" t="shared" si="21" ref="E203:E210">+D203/C203*100</f>
        <v>0</v>
      </c>
      <c r="F203" s="25">
        <v>0</v>
      </c>
      <c r="G203" s="89">
        <f aca="true" t="shared" si="22" ref="G203:G217">+F203/C203*100</f>
        <v>0</v>
      </c>
      <c r="H203" s="80"/>
    </row>
    <row r="204" spans="1:8" s="45" customFormat="1" ht="15" customHeight="1">
      <c r="A204" s="7" t="s">
        <v>35</v>
      </c>
      <c r="B204" s="95">
        <v>15000</v>
      </c>
      <c r="C204" s="26">
        <v>15000</v>
      </c>
      <c r="D204" s="26">
        <v>1600</v>
      </c>
      <c r="E204" s="21">
        <f t="shared" si="21"/>
        <v>10.666666666666668</v>
      </c>
      <c r="F204" s="25">
        <v>800</v>
      </c>
      <c r="G204" s="89">
        <f t="shared" si="22"/>
        <v>5.333333333333334</v>
      </c>
      <c r="H204" s="80"/>
    </row>
    <row r="205" spans="1:8" s="44" customFormat="1" ht="15" customHeight="1">
      <c r="A205" s="7" t="s">
        <v>36</v>
      </c>
      <c r="B205" s="94">
        <v>2000</v>
      </c>
      <c r="C205" s="24">
        <f>2000+1000</f>
        <v>3000</v>
      </c>
      <c r="D205" s="26">
        <f>+F205+460</f>
        <v>2580</v>
      </c>
      <c r="E205" s="19">
        <f t="shared" si="21"/>
        <v>86</v>
      </c>
      <c r="F205" s="25">
        <f>1760+360</f>
        <v>2120</v>
      </c>
      <c r="G205" s="89">
        <f t="shared" si="22"/>
        <v>70.66666666666667</v>
      </c>
      <c r="H205" s="81"/>
    </row>
    <row r="206" spans="1:8" s="55" customFormat="1" ht="15" customHeight="1">
      <c r="A206" s="7" t="s">
        <v>37</v>
      </c>
      <c r="B206" s="94">
        <v>5000</v>
      </c>
      <c r="C206" s="24">
        <v>5000</v>
      </c>
      <c r="D206" s="24">
        <f>2610+24*75</f>
        <v>4410</v>
      </c>
      <c r="E206" s="19">
        <f t="shared" si="21"/>
        <v>88.2</v>
      </c>
      <c r="F206" s="25">
        <f>2610+441</f>
        <v>3051</v>
      </c>
      <c r="G206" s="89">
        <f t="shared" si="22"/>
        <v>61.019999999999996</v>
      </c>
      <c r="H206" s="81"/>
    </row>
    <row r="207" spans="1:8" s="55" customFormat="1" ht="15" customHeight="1">
      <c r="A207" s="7" t="s">
        <v>29</v>
      </c>
      <c r="B207" s="94">
        <v>8000</v>
      </c>
      <c r="C207" s="24">
        <v>8000</v>
      </c>
      <c r="D207" s="24">
        <f>+F207</f>
        <v>6000</v>
      </c>
      <c r="E207" s="19">
        <f t="shared" si="21"/>
        <v>75</v>
      </c>
      <c r="F207" s="25">
        <v>6000</v>
      </c>
      <c r="G207" s="89">
        <f t="shared" si="22"/>
        <v>75</v>
      </c>
      <c r="H207" s="81"/>
    </row>
    <row r="208" spans="1:8" s="47" customFormat="1" ht="15" customHeight="1">
      <c r="A208" s="7" t="s">
        <v>30</v>
      </c>
      <c r="B208" s="95">
        <v>12000</v>
      </c>
      <c r="C208" s="26">
        <v>12000</v>
      </c>
      <c r="D208" s="26">
        <f>+F208</f>
        <v>7759</v>
      </c>
      <c r="E208" s="21">
        <f t="shared" si="21"/>
        <v>64.65833333333333</v>
      </c>
      <c r="F208" s="25">
        <v>7759</v>
      </c>
      <c r="G208" s="89">
        <f t="shared" si="22"/>
        <v>64.65833333333333</v>
      </c>
      <c r="H208" s="80"/>
    </row>
    <row r="209" spans="1:8" s="44" customFormat="1" ht="15" customHeight="1">
      <c r="A209" s="4" t="s">
        <v>41</v>
      </c>
      <c r="B209" s="91">
        <v>1700</v>
      </c>
      <c r="C209" s="15">
        <v>1700</v>
      </c>
      <c r="D209" s="15">
        <f>+F209</f>
        <v>828</v>
      </c>
      <c r="E209" s="21">
        <f t="shared" si="21"/>
        <v>48.705882352941174</v>
      </c>
      <c r="F209" s="25">
        <v>828</v>
      </c>
      <c r="G209" s="89">
        <f t="shared" si="22"/>
        <v>48.705882352941174</v>
      </c>
      <c r="H209" s="43" t="s">
        <v>42</v>
      </c>
    </row>
    <row r="210" spans="1:8" s="44" customFormat="1" ht="15" customHeight="1">
      <c r="A210" s="3" t="s">
        <v>40</v>
      </c>
      <c r="B210" s="88">
        <v>3000</v>
      </c>
      <c r="C210" s="13">
        <v>3000</v>
      </c>
      <c r="D210" s="13">
        <f>+F210</f>
        <v>2731</v>
      </c>
      <c r="E210" s="19">
        <f t="shared" si="21"/>
        <v>91.03333333333333</v>
      </c>
      <c r="F210" s="25">
        <v>2731</v>
      </c>
      <c r="G210" s="89">
        <f t="shared" si="22"/>
        <v>91.03333333333333</v>
      </c>
      <c r="H210" s="43"/>
    </row>
    <row r="211" spans="1:8" s="44" customFormat="1" ht="15" customHeight="1">
      <c r="A211" s="3" t="s">
        <v>31</v>
      </c>
      <c r="B211" s="88">
        <v>500</v>
      </c>
      <c r="C211" s="13">
        <v>500</v>
      </c>
      <c r="D211" s="38" t="s">
        <v>33</v>
      </c>
      <c r="E211" s="38" t="s">
        <v>33</v>
      </c>
      <c r="F211" s="38" t="s">
        <v>33</v>
      </c>
      <c r="G211" s="90" t="s">
        <v>33</v>
      </c>
      <c r="H211" s="43"/>
    </row>
    <row r="212" spans="1:8" s="44" customFormat="1" ht="15" customHeight="1">
      <c r="A212" s="4" t="s">
        <v>100</v>
      </c>
      <c r="B212" s="88">
        <v>950</v>
      </c>
      <c r="C212" s="13">
        <v>950</v>
      </c>
      <c r="D212" s="38" t="s">
        <v>33</v>
      </c>
      <c r="E212" s="38" t="s">
        <v>33</v>
      </c>
      <c r="F212" s="38" t="s">
        <v>33</v>
      </c>
      <c r="G212" s="90" t="s">
        <v>33</v>
      </c>
      <c r="H212" s="43"/>
    </row>
    <row r="213" spans="1:8" s="44" customFormat="1" ht="15" customHeight="1">
      <c r="A213" s="8" t="s">
        <v>101</v>
      </c>
      <c r="B213" s="88">
        <v>100</v>
      </c>
      <c r="C213" s="13">
        <v>100</v>
      </c>
      <c r="D213" s="38" t="s">
        <v>33</v>
      </c>
      <c r="E213" s="38" t="s">
        <v>33</v>
      </c>
      <c r="F213" s="38" t="s">
        <v>33</v>
      </c>
      <c r="G213" s="90" t="s">
        <v>33</v>
      </c>
      <c r="H213" s="43"/>
    </row>
    <row r="214" spans="1:8" s="47" customFormat="1" ht="15" customHeight="1">
      <c r="A214" s="3" t="s">
        <v>102</v>
      </c>
      <c r="B214" s="88">
        <v>160</v>
      </c>
      <c r="C214" s="13">
        <v>160</v>
      </c>
      <c r="D214" s="13">
        <v>160</v>
      </c>
      <c r="E214" s="19">
        <f>+D214/C214*100</f>
        <v>100</v>
      </c>
      <c r="F214" s="25">
        <v>160</v>
      </c>
      <c r="G214" s="89">
        <f t="shared" si="22"/>
        <v>100</v>
      </c>
      <c r="H214" s="43"/>
    </row>
    <row r="215" spans="1:8" ht="15" customHeight="1">
      <c r="A215" s="3" t="s">
        <v>103</v>
      </c>
      <c r="B215" s="88">
        <v>60</v>
      </c>
      <c r="C215" s="13">
        <v>60</v>
      </c>
      <c r="D215" s="13">
        <v>60</v>
      </c>
      <c r="E215" s="19">
        <f>+D215/C215*100</f>
        <v>100</v>
      </c>
      <c r="F215" s="25">
        <v>60</v>
      </c>
      <c r="G215" s="89">
        <f t="shared" si="22"/>
        <v>100</v>
      </c>
      <c r="H215" s="43"/>
    </row>
    <row r="216" spans="1:8" s="47" customFormat="1" ht="15" customHeight="1">
      <c r="A216" s="3" t="s">
        <v>208</v>
      </c>
      <c r="B216" s="88">
        <v>0</v>
      </c>
      <c r="C216" s="13">
        <v>240</v>
      </c>
      <c r="D216" s="13">
        <v>240</v>
      </c>
      <c r="E216" s="19">
        <f>+D216/C216*100</f>
        <v>100</v>
      </c>
      <c r="F216" s="25">
        <v>0</v>
      </c>
      <c r="G216" s="89">
        <f t="shared" si="22"/>
        <v>0</v>
      </c>
      <c r="H216" s="43"/>
    </row>
    <row r="217" spans="1:8" ht="18" customHeight="1">
      <c r="A217" s="33" t="s">
        <v>21</v>
      </c>
      <c r="B217" s="92">
        <f>SUM(B203:B216)</f>
        <v>88470</v>
      </c>
      <c r="C217" s="14">
        <f>SUM(C203:C216)</f>
        <v>89710</v>
      </c>
      <c r="D217" s="14">
        <f>SUM(D203:D216)</f>
        <v>26368</v>
      </c>
      <c r="E217" s="20">
        <f>+D217/C217*100</f>
        <v>29.392486902240556</v>
      </c>
      <c r="F217" s="14">
        <f>SUM(F203:F216)</f>
        <v>23509</v>
      </c>
      <c r="G217" s="104">
        <f t="shared" si="22"/>
        <v>26.20555122059971</v>
      </c>
      <c r="H217" s="69"/>
    </row>
    <row r="218" spans="1:8" ht="19.5" customHeight="1">
      <c r="A218" s="5" t="s">
        <v>22</v>
      </c>
      <c r="B218" s="88"/>
      <c r="C218" s="13"/>
      <c r="D218" s="13"/>
      <c r="E218" s="19"/>
      <c r="G218" s="89"/>
      <c r="H218" s="43"/>
    </row>
    <row r="219" spans="1:8" ht="15" customHeight="1">
      <c r="A219" s="12" t="s">
        <v>99</v>
      </c>
      <c r="B219" s="88">
        <v>3116</v>
      </c>
      <c r="C219" s="13">
        <v>3116</v>
      </c>
      <c r="D219" s="13">
        <v>3116</v>
      </c>
      <c r="E219" s="19">
        <f>+D219/C219*100</f>
        <v>100</v>
      </c>
      <c r="F219" s="25">
        <f>3116-3109</f>
        <v>7</v>
      </c>
      <c r="G219" s="89">
        <f aca="true" t="shared" si="23" ref="G219:G229">+F219/C219*100</f>
        <v>0.2246469833119384</v>
      </c>
      <c r="H219" s="82"/>
    </row>
    <row r="220" spans="1:8" s="44" customFormat="1" ht="15" customHeight="1">
      <c r="A220" s="4" t="s">
        <v>136</v>
      </c>
      <c r="B220" s="91">
        <v>2594</v>
      </c>
      <c r="C220" s="15">
        <v>2594</v>
      </c>
      <c r="D220" s="38" t="s">
        <v>33</v>
      </c>
      <c r="E220" s="38" t="s">
        <v>33</v>
      </c>
      <c r="F220" s="38" t="s">
        <v>33</v>
      </c>
      <c r="G220" s="90" t="s">
        <v>33</v>
      </c>
      <c r="H220" s="42" t="s">
        <v>124</v>
      </c>
    </row>
    <row r="221" spans="1:8" s="44" customFormat="1" ht="15" customHeight="1">
      <c r="A221" s="4" t="s">
        <v>148</v>
      </c>
      <c r="B221" s="88">
        <v>2186</v>
      </c>
      <c r="C221" s="13">
        <v>2186</v>
      </c>
      <c r="D221" s="13">
        <v>2186</v>
      </c>
      <c r="E221" s="19">
        <f>+D221/C221*100</f>
        <v>100</v>
      </c>
      <c r="F221" s="25"/>
      <c r="G221" s="89">
        <f t="shared" si="23"/>
        <v>0</v>
      </c>
      <c r="H221" s="42"/>
    </row>
    <row r="222" spans="1:8" s="44" customFormat="1" ht="15" customHeight="1">
      <c r="A222" s="4" t="s">
        <v>147</v>
      </c>
      <c r="B222" s="88">
        <v>6860</v>
      </c>
      <c r="C222" s="13">
        <v>6860</v>
      </c>
      <c r="D222" s="13">
        <v>6860</v>
      </c>
      <c r="E222" s="19">
        <f>+D222/C222*100</f>
        <v>100</v>
      </c>
      <c r="F222" s="25">
        <v>6860</v>
      </c>
      <c r="G222" s="89">
        <f t="shared" si="23"/>
        <v>100</v>
      </c>
      <c r="H222" s="42"/>
    </row>
    <row r="223" spans="1:8" s="44" customFormat="1" ht="15" customHeight="1">
      <c r="A223" s="4" t="s">
        <v>212</v>
      </c>
      <c r="B223" s="88">
        <v>80040</v>
      </c>
      <c r="C223" s="13">
        <f>80040+9106</f>
        <v>89146</v>
      </c>
      <c r="D223" s="13">
        <v>9106</v>
      </c>
      <c r="E223" s="19">
        <f>+D223/C223*100</f>
        <v>10.214703968770332</v>
      </c>
      <c r="F223" s="25">
        <v>9106</v>
      </c>
      <c r="G223" s="89">
        <f t="shared" si="23"/>
        <v>10.214703968770332</v>
      </c>
      <c r="H223" s="42"/>
    </row>
    <row r="224" spans="1:8" s="44" customFormat="1" ht="15" customHeight="1">
      <c r="A224" s="4" t="s">
        <v>179</v>
      </c>
      <c r="B224" s="88">
        <v>0</v>
      </c>
      <c r="C224" s="13">
        <v>1380</v>
      </c>
      <c r="D224" s="38" t="s">
        <v>33</v>
      </c>
      <c r="E224" s="38" t="s">
        <v>33</v>
      </c>
      <c r="F224" s="38" t="s">
        <v>33</v>
      </c>
      <c r="G224" s="90" t="s">
        <v>33</v>
      </c>
      <c r="H224" s="42"/>
    </row>
    <row r="225" spans="1:8" s="44" customFormat="1" ht="15" customHeight="1">
      <c r="A225" s="4" t="s">
        <v>209</v>
      </c>
      <c r="B225" s="88">
        <v>0</v>
      </c>
      <c r="C225" s="39">
        <v>105960</v>
      </c>
      <c r="D225" s="38" t="s">
        <v>33</v>
      </c>
      <c r="E225" s="38" t="s">
        <v>33</v>
      </c>
      <c r="F225" s="38" t="s">
        <v>33</v>
      </c>
      <c r="G225" s="90" t="s">
        <v>33</v>
      </c>
      <c r="H225" s="42"/>
    </row>
    <row r="226" spans="1:8" s="44" customFormat="1" ht="15" customHeight="1">
      <c r="A226" s="4" t="s">
        <v>210</v>
      </c>
      <c r="B226" s="88">
        <v>0</v>
      </c>
      <c r="C226" s="39">
        <v>103200</v>
      </c>
      <c r="D226" s="38" t="s">
        <v>33</v>
      </c>
      <c r="E226" s="38" t="s">
        <v>33</v>
      </c>
      <c r="F226" s="38" t="s">
        <v>33</v>
      </c>
      <c r="G226" s="90" t="s">
        <v>33</v>
      </c>
      <c r="H226" s="42"/>
    </row>
    <row r="227" spans="1:8" s="44" customFormat="1" ht="15" customHeight="1">
      <c r="A227" s="4" t="s">
        <v>211</v>
      </c>
      <c r="B227" s="88">
        <v>0</v>
      </c>
      <c r="C227" s="39">
        <v>247200</v>
      </c>
      <c r="D227" s="38" t="s">
        <v>33</v>
      </c>
      <c r="E227" s="38" t="s">
        <v>33</v>
      </c>
      <c r="F227" s="38" t="s">
        <v>33</v>
      </c>
      <c r="G227" s="90" t="s">
        <v>33</v>
      </c>
      <c r="H227" s="42"/>
    </row>
    <row r="228" spans="1:8" s="47" customFormat="1" ht="24" customHeight="1">
      <c r="A228" s="33" t="s">
        <v>23</v>
      </c>
      <c r="B228" s="92">
        <f>SUM(B219:B227)</f>
        <v>94796</v>
      </c>
      <c r="C228" s="14">
        <f>SUM(C219:C227)</f>
        <v>561642</v>
      </c>
      <c r="D228" s="14">
        <f>SUM(D219:D227)</f>
        <v>21268</v>
      </c>
      <c r="E228" s="20">
        <f>+D228/C228*100</f>
        <v>3.7867538396345006</v>
      </c>
      <c r="F228" s="14">
        <f>SUM(F219:F227)</f>
        <v>15973</v>
      </c>
      <c r="G228" s="104">
        <f t="shared" si="23"/>
        <v>2.84398246569879</v>
      </c>
      <c r="H228" s="69"/>
    </row>
    <row r="229" spans="1:8" s="45" customFormat="1" ht="24" customHeight="1">
      <c r="A229" s="29" t="s">
        <v>32</v>
      </c>
      <c r="B229" s="92">
        <f>+B35+B67+B72+B140+B147+B154+B160+B175+B183+B192+B201+B217+B228</f>
        <v>3374129</v>
      </c>
      <c r="C229" s="14">
        <f>+C35+C67+C72+C140+C147+C154+C160+C175+C183+C192+C201+C217+C228</f>
        <v>4589172</v>
      </c>
      <c r="D229" s="14">
        <f>+D35+D67+D72+D140+D147+D154+D160+D175+D183+D192+D201+D217+D228</f>
        <v>2889123</v>
      </c>
      <c r="E229" s="20">
        <f>+D229/C229*100</f>
        <v>62.95521283577953</v>
      </c>
      <c r="F229" s="14">
        <f>+F35+F67+F72+F140+F147+F154+F160+F175+F183+F192+F201+F217+F228</f>
        <v>1417756</v>
      </c>
      <c r="G229" s="93">
        <f t="shared" si="23"/>
        <v>30.893503228904912</v>
      </c>
      <c r="H229" s="69"/>
    </row>
  </sheetData>
  <sheetProtection/>
  <mergeCells count="5">
    <mergeCell ref="A1:A2"/>
    <mergeCell ref="H1:H2"/>
    <mergeCell ref="B1:C1"/>
    <mergeCell ref="D1:E1"/>
    <mergeCell ref="F1:G1"/>
  </mergeCells>
  <printOptions horizontalCentered="1"/>
  <pageMargins left="0.4330708661417323" right="0.2755905511811024" top="0.8267716535433072" bottom="0.3937007874015748" header="0.4330708661417323" footer="0.2362204724409449"/>
  <pageSetup horizontalDpi="300" verticalDpi="300" orientation="landscape" paperSize="9" scale="75" r:id="rId1"/>
  <headerFooter alignWithMargins="0">
    <oddHeader>&amp;L&amp;"Times New Roman,Félkövér"&amp;12Kaposvár MJV Polgármesteri Hivatal&amp;C&amp;"Times New Roman,Félkövér"&amp;14FELHALMOZÁSI KIADÁSOK&amp;R&amp;"Times New Roman,Normál"&amp;9önk.rendelet 
 9. sz. táblázat
ezer Ft</oddHeader>
    <oddFooter>&amp;L&amp;"Times New Roman,Normál"Kaposvár, &amp;D&amp;C&amp;"Times New Roman,Normál"&amp;Z&amp;F _ &amp;A   &amp;"Times New Roman,Félkövér"  Szabó Tiborné&amp;R&amp;"Times New Roman,Normál"&amp;P/&amp;N</oddFooter>
  </headerFooter>
  <rowBreaks count="6" manualBreakCount="6">
    <brk id="35" max="255" man="1"/>
    <brk id="67" max="255" man="1"/>
    <brk id="100" max="255" man="1"/>
    <brk id="134" max="255" man="1"/>
    <brk id="160" max="255" man="1"/>
    <brk id="19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Tulajdonos</cp:lastModifiedBy>
  <cp:lastPrinted>2008-11-17T07:12:52Z</cp:lastPrinted>
  <dcterms:created xsi:type="dcterms:W3CDTF">2006-10-17T07:01:27Z</dcterms:created>
  <dcterms:modified xsi:type="dcterms:W3CDTF">2008-11-25T09:05:01Z</dcterms:modified>
  <cp:category/>
  <cp:version/>
  <cp:contentType/>
  <cp:contentStatus/>
</cp:coreProperties>
</file>