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tabRatio="601" firstSheet="21" activeTab="21"/>
  </bookViews>
  <sheets>
    <sheet name="előlap" sheetId="1" state="hidden" r:id="rId1"/>
    <sheet name="1998. évi 200 MFt (...03)" sheetId="2" state="hidden" r:id="rId2"/>
    <sheet name="1999. évi 200 MFt (...04)" sheetId="3" state="hidden" r:id="rId3"/>
    <sheet name="2000. dec-i 250 MFt (...05)" sheetId="4" state="hidden" r:id="rId4"/>
    <sheet name="2000. júl-i 200 MFt (...06)" sheetId="5" state="hidden" r:id="rId5"/>
    <sheet name="NA600-as vezeték (...07)" sheetId="6" state="hidden" r:id="rId6"/>
    <sheet name="2001.dec. - 2002.jún. (...08) " sheetId="7" state="hidden" r:id="rId7"/>
    <sheet name="2002. dec-i 305.133 eFt (...09)" sheetId="8" state="hidden" r:id="rId8"/>
    <sheet name="2003. okt. és dec. (...10)" sheetId="9" state="hidden" r:id="rId9"/>
    <sheet name="2004. szept. 718.793 eFt (..11)" sheetId="10" state="hidden" r:id="rId10"/>
    <sheet name="2005. évi 179.173 eFt (..12)" sheetId="11" state="hidden" r:id="rId11"/>
    <sheet name="2005. évi 607.314 eFt (..13)" sheetId="12" state="hidden" r:id="rId12"/>
    <sheet name="2006. évi 10.350 eFt (...14)" sheetId="13" state="hidden" r:id="rId13"/>
    <sheet name="2006. évi 11.007,9 eFt (...15)" sheetId="14" state="hidden" r:id="rId14"/>
    <sheet name="2006. évi 204.214,5 eFt (...16)" sheetId="15" state="hidden" r:id="rId15"/>
    <sheet name="2006. évi 226.086,3 eFt (...17)" sheetId="16" state="hidden" r:id="rId16"/>
    <sheet name="69 db bérlakásépítés (...11)" sheetId="17" state="hidden" r:id="rId17"/>
    <sheet name="59 db bérlakás (...12)" sheetId="18" state="hidden" r:id="rId18"/>
    <sheet name="Kecelhegyi bérlakás (...13)" sheetId="19" state="hidden" r:id="rId19"/>
    <sheet name="Panel_Plusz 633.336 eFt" sheetId="20" state="hidden" r:id="rId20"/>
    <sheet name="Panel_Plusz 494.916.480 Ft" sheetId="21" state="hidden" r:id="rId21"/>
    <sheet name="összesítő" sheetId="22" r:id="rId22"/>
  </sheets>
  <definedNames>
    <definedName name="_xlnm.Print_Titles" localSheetId="1">'1998. évi 200 MFt (...03)'!$1:$6</definedName>
    <definedName name="_xlnm.Print_Titles" localSheetId="2">'1999. évi 200 MFt (...04)'!$1:$6</definedName>
    <definedName name="_xlnm.Print_Titles" localSheetId="3">'2000. dec-i 250 MFt (...05)'!$1:$6</definedName>
    <definedName name="_xlnm.Print_Titles" localSheetId="4">'2000. júl-i 200 MFt (...06)'!$1:$6</definedName>
    <definedName name="_xlnm.Print_Titles" localSheetId="6">'2001.dec. - 2002.jún. (...08) '!$1:$7</definedName>
    <definedName name="_xlnm.Print_Titles" localSheetId="7">'2002. dec-i 305.133 eFt (...09)'!$1:$7</definedName>
    <definedName name="_xlnm.Print_Titles" localSheetId="8">'2003. okt. és dec. (...10)'!$1:$7</definedName>
    <definedName name="_xlnm.Print_Titles" localSheetId="9">'2004. szept. 718.793 eFt (..11)'!$1:$7</definedName>
    <definedName name="_xlnm.Print_Titles" localSheetId="10">'2005. évi 179.173 eFt (..12)'!$1:$6</definedName>
    <definedName name="_xlnm.Print_Titles" localSheetId="11">'2005. évi 607.314 eFt (..13)'!$2:$6</definedName>
    <definedName name="_xlnm.Print_Titles" localSheetId="12">'2006. évi 10.350 eFt (...14)'!$4:$6</definedName>
    <definedName name="_xlnm.Print_Titles" localSheetId="13">'2006. évi 11.007,9 eFt (...15)'!$4:$6</definedName>
    <definedName name="_xlnm.Print_Titles" localSheetId="14">'2006. évi 204.214,5 eFt (...16)'!$4:$6</definedName>
    <definedName name="_xlnm.Print_Titles" localSheetId="15">'2006. évi 226.086,3 eFt (...17)'!$4:$6</definedName>
    <definedName name="_xlnm.Print_Titles" localSheetId="17">'59 db bérlakás (...12)'!$1:$7</definedName>
    <definedName name="_xlnm.Print_Titles" localSheetId="16">'69 db bérlakásépítés (...11)'!$1:$7</definedName>
    <definedName name="_xlnm.Print_Titles" localSheetId="18">'Kecelhegyi bérlakás (...13)'!$1:$7</definedName>
    <definedName name="_xlnm.Print_Titles" localSheetId="5">'NA600-as vezeték (...07)'!$1:$7</definedName>
    <definedName name="_xlnm.Print_Titles" localSheetId="21">'összesítő'!$A:$A</definedName>
    <definedName name="_xlnm.Print_Titles" localSheetId="20">'Panel_Plusz 494.916.480 Ft'!$1:$5</definedName>
    <definedName name="_xlnm.Print_Titles" localSheetId="19">'Panel_Plusz 633.336 eFt'!$1:$5</definedName>
  </definedNames>
  <calcPr fullCalcOnLoad="1"/>
</workbook>
</file>

<file path=xl/sharedStrings.xml><?xml version="1.0" encoding="utf-8"?>
<sst xmlns="http://schemas.openxmlformats.org/spreadsheetml/2006/main" count="2163" uniqueCount="261">
  <si>
    <t xml:space="preserve">Kamat mértéke: 3 hónapos DKJ + 0,4 vagy 3 hónapos BUBOR + 0,2 </t>
  </si>
  <si>
    <t>Kamat mértéke: 3 hónapos BUBOR + 0,05</t>
  </si>
  <si>
    <t>(forint-ban)</t>
  </si>
  <si>
    <t>Dátum</t>
  </si>
  <si>
    <t>Napok</t>
  </si>
  <si>
    <t>Napvégi</t>
  </si>
  <si>
    <t>Éves</t>
  </si>
  <si>
    <t>száma</t>
  </si>
  <si>
    <t>egyenleg</t>
  </si>
  <si>
    <t>kamatteher</t>
  </si>
  <si>
    <t>adósság-</t>
  </si>
  <si>
    <t>tőke-</t>
  </si>
  <si>
    <t>szolgálat</t>
  </si>
  <si>
    <t>törlesztés</t>
  </si>
  <si>
    <t>Összesen:</t>
  </si>
  <si>
    <t>Kamat mértéke: 3 hónapos BUBOR + 0,1 %</t>
  </si>
  <si>
    <t>Türelmi idő: 1 év     Törlesztés: 7 év</t>
  </si>
  <si>
    <t>Türelmi idő: 1 év     Törlesztés: 9 év</t>
  </si>
  <si>
    <t>Kamatláb</t>
  </si>
  <si>
    <t>(%)</t>
  </si>
  <si>
    <t>Kamat-</t>
  </si>
  <si>
    <t>Tőke-</t>
  </si>
  <si>
    <t>Megnevezés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</si>
  <si>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</si>
  <si>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</si>
  <si>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</si>
  <si>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</si>
  <si>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</si>
  <si>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</si>
  <si>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</si>
  <si>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</si>
  <si>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</si>
  <si>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Kötelezett-</t>
  </si>
  <si>
    <t>Törlesztés</t>
  </si>
  <si>
    <t>ség I. 1-jén</t>
  </si>
  <si>
    <t>-</t>
  </si>
  <si>
    <t>NA 600-as vezeték kiváltásához szükséges hitel</t>
  </si>
  <si>
    <t>Hiteltartozás összesen</t>
  </si>
  <si>
    <t>Kamat</t>
  </si>
  <si>
    <t>Adósságszolgálat mindösszesen</t>
  </si>
  <si>
    <t>Türelmi idő: 1 év   Törlesztés: 10 év</t>
  </si>
  <si>
    <t>%</t>
  </si>
  <si>
    <t>Türelmi idő: 1 év   Törlesztés: 20 év</t>
  </si>
  <si>
    <t>Kamat mértéke: 3,69 %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</si>
  <si>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</si>
  <si>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</si>
  <si>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</si>
  <si>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</si>
  <si>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</si>
  <si>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</si>
  <si>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</si>
  <si>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</si>
  <si>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</si>
  <si>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</si>
  <si>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</si>
  <si>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Bérlakás építésre felvett hitel   2002. évi (59 db)</t>
  </si>
  <si>
    <t>Bérlakás építésre felvett hitel   2001. évi (69 db)</t>
  </si>
  <si>
    <t>láb</t>
  </si>
  <si>
    <t xml:space="preserve">Türelmi idő: 1 év </t>
  </si>
  <si>
    <t>Törlesztés: 7 év</t>
  </si>
  <si>
    <t>Türelmi idő: 1 év    Törlesztés: 5 év</t>
  </si>
  <si>
    <t>Kezelési költség: évi 1 %</t>
  </si>
  <si>
    <t>2008-as lejárattal számítva</t>
  </si>
  <si>
    <t>2007-es lejárattal számítva</t>
  </si>
  <si>
    <t>2009-es lejárattal számítva</t>
  </si>
  <si>
    <t>2012-es lejárattal számítva</t>
  </si>
  <si>
    <t>2010-es lejárattal számítva</t>
  </si>
  <si>
    <t>2002. decemberben felvett hitel</t>
  </si>
  <si>
    <t>9 év futamidő</t>
  </si>
  <si>
    <t>2002. évi</t>
  </si>
  <si>
    <t xml:space="preserve">1998. évben felvett fejlesztési célú hitel </t>
  </si>
  <si>
    <t xml:space="preserve">1999. évben felvett fejlesztési célú hitel </t>
  </si>
  <si>
    <t xml:space="preserve">2000. júliusban felvett 3 éves lejáratú hitel </t>
  </si>
  <si>
    <t xml:space="preserve">2000. decemberben felvett 5 éves lejáratú hitel </t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</si>
  <si>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</si>
  <si>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t>Az önkormányzat fejlesztési célú</t>
  </si>
  <si>
    <t>adósságszolgálatának alakulása</t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</si>
  <si>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0 3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</si>
  <si>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0 4</t>
    </r>
  </si>
  <si>
    <r>
      <t xml:space="preserve">Számlaszám: </t>
    </r>
    <r>
      <rPr>
        <sz val="10"/>
        <rFont val="Times New Roman CE"/>
        <family val="1"/>
      </rPr>
      <t xml:space="preserve">0 1 3 2 0 3 9 8 0 0 </t>
    </r>
    <r>
      <rPr>
        <b/>
        <sz val="10"/>
        <rFont val="Times New Roman CE"/>
        <family val="1"/>
      </rPr>
      <t>0 6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</si>
  <si>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0 5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</si>
  <si>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0 8</t>
    </r>
  </si>
  <si>
    <r>
      <t xml:space="preserve">Számlaszám: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0"/>
      </rPr>
      <t xml:space="preserve"> 1 1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</si>
  <si>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0"/>
      </rPr>
      <t xml:space="preserve"> 0 7</t>
    </r>
  </si>
  <si>
    <r>
      <t xml:space="preserve">Számlaszám: </t>
    </r>
    <r>
      <rPr>
        <sz val="10"/>
        <rFont val="Times New Roman CE"/>
        <family val="1"/>
      </rPr>
      <t xml:space="preserve">0 1 3 2 3 3 9 8 0 0 </t>
    </r>
    <r>
      <rPr>
        <b/>
        <sz val="10"/>
        <rFont val="Times New Roman CE"/>
        <family val="1"/>
      </rPr>
      <t>1 3</t>
    </r>
  </si>
  <si>
    <r>
      <t xml:space="preserve">Számlaszám: 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1"/>
      </rPr>
      <t xml:space="preserve"> 1 2</t>
    </r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</si>
  <si>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0 9</t>
    </r>
  </si>
  <si>
    <t>Utolsó módosítás:</t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</si>
  <si>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1 0</t>
    </r>
  </si>
  <si>
    <t>Kamatláb*</t>
  </si>
  <si>
    <t>* Az 1 % kezelési költséggel együtt számolva!</t>
  </si>
  <si>
    <t>láb *</t>
  </si>
  <si>
    <t>láb*</t>
  </si>
  <si>
    <t>1 év türelmi idő, 9 év futamidő</t>
  </si>
  <si>
    <t xml:space="preserve">I. részletének felvétele: </t>
  </si>
  <si>
    <r>
      <t>Számlaszám:</t>
    </r>
    <r>
      <rPr>
        <sz val="10"/>
        <rFont val="Times New Roman CE"/>
        <family val="1"/>
      </rPr>
      <t xml:space="preserve"> 1 3 2 0 3 9 8 0 0 </t>
    </r>
    <r>
      <rPr>
        <b/>
        <sz val="10"/>
        <rFont val="Times New Roman CE"/>
        <family val="1"/>
      </rPr>
      <t>1 1</t>
    </r>
  </si>
  <si>
    <t>2004. szeptember 22.</t>
  </si>
  <si>
    <t>I. részletének felvétele:</t>
  </si>
  <si>
    <t>2003. október 21.</t>
  </si>
  <si>
    <t>2003. december 4.</t>
  </si>
  <si>
    <t>2003. december 31.</t>
  </si>
  <si>
    <t>2004. június 4.</t>
  </si>
  <si>
    <t>II. részletének felvétele:</t>
  </si>
  <si>
    <t>III. részletének felvétele:</t>
  </si>
  <si>
    <t>IV. részletének felvétele:</t>
  </si>
  <si>
    <t>V. részletének felvétele:</t>
  </si>
  <si>
    <t>VI. részletének felvétele:</t>
  </si>
  <si>
    <t>2004. szeptember 24.</t>
  </si>
  <si>
    <t>2004. november 2.</t>
  </si>
  <si>
    <r>
      <t>2004. szept-okt-decben felvett 718.793 eFt</t>
    </r>
    <r>
      <rPr>
        <sz val="10"/>
        <rFont val="Times New Roman CE"/>
        <family val="1"/>
      </rPr>
      <t xml:space="preserve"> hitel</t>
    </r>
  </si>
  <si>
    <t>I. részletének felvétele: 2002. december 28-án</t>
  </si>
  <si>
    <t>II. részletének felvétele: 2003. április 18-án</t>
  </si>
  <si>
    <t>III. részletének felvétele:2003. május 27-én</t>
  </si>
  <si>
    <t>IV. részletének felvétele:2003. június 11-én</t>
  </si>
  <si>
    <t>V. részletének felvétele:2003. július 09-én</t>
  </si>
  <si>
    <t>VI. részletének felvétele:2003. augusztus 08-án</t>
  </si>
  <si>
    <t>VII. részletének felvétele:2003. október 20-án</t>
  </si>
  <si>
    <t>Összesen</t>
  </si>
  <si>
    <t>I. részletének felvétele 2001.12.26-án</t>
  </si>
  <si>
    <t>II. részletének felvétele 2002.06.30-án</t>
  </si>
  <si>
    <t>I. részelének felvétele 2001.12.11-én</t>
  </si>
  <si>
    <t>II. részletének felvétele 2002.12.31-én</t>
  </si>
  <si>
    <t>III. részletének felvétele 2003. 05.30-án</t>
  </si>
  <si>
    <t>2004. december 18.</t>
  </si>
  <si>
    <t xml:space="preserve">II. részletének felvétele: </t>
  </si>
  <si>
    <t>Szerződés szerinti keretösszeg: 718.793.000 Ft</t>
  </si>
  <si>
    <t>előtörlesztés: 2004. december 14-én</t>
  </si>
  <si>
    <t>Teljes keret: 197.956.020,- Ft szerződés szerint, ebből ténylegesen felvett: 187.075.039,- Ft</t>
  </si>
  <si>
    <t>Kezelési</t>
  </si>
  <si>
    <t>költség</t>
  </si>
  <si>
    <t>Kamattörlesztésből</t>
  </si>
  <si>
    <t>Hitel-</t>
  </si>
  <si>
    <t>kamat</t>
  </si>
  <si>
    <t>(kezelési  ktg-gel)</t>
  </si>
  <si>
    <t>(kez.  ktg-gel)</t>
  </si>
  <si>
    <t xml:space="preserve">III. részletének felvétele: </t>
  </si>
  <si>
    <t>2004. december 30.</t>
  </si>
  <si>
    <t>Türelmi idő: 3 év</t>
  </si>
  <si>
    <t>Törlesztés: 17 év</t>
  </si>
  <si>
    <t>2023. évi</t>
  </si>
  <si>
    <t>2024. évi</t>
  </si>
  <si>
    <t>2025. évi</t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</si>
  <si>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1 2</t>
    </r>
  </si>
  <si>
    <t>Kamat mértéke: 3 havi EURIBOR + évi 0,73 %  + projektvizsgálati díj: évi 0,4 %</t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</si>
  <si>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1 3</t>
    </r>
  </si>
  <si>
    <t>Kamat mértéke: 3 havi EURIBOR + évi 1,33 %  + projektvizsgálati díj: évi 0,4 %</t>
  </si>
  <si>
    <t xml:space="preserve">IV. részletének felvétele: </t>
  </si>
  <si>
    <t>2005. október 28.</t>
  </si>
  <si>
    <t>2005. december 16.</t>
  </si>
  <si>
    <t>2001. dec-ben és 2002. jún-ban felvett fejlesztési hitel</t>
  </si>
  <si>
    <t>Bérlakás építésre felvett hitel 2002. évi (Kecelhegy)</t>
  </si>
  <si>
    <t>Kamat mértéke: 3 havi EURIBOR - 0,05 % = 3,011 %</t>
  </si>
  <si>
    <t>Projekt-</t>
  </si>
  <si>
    <t>vizsgálati</t>
  </si>
  <si>
    <t>díj (10 %)</t>
  </si>
  <si>
    <t xml:space="preserve"> + egyéb ktg.</t>
  </si>
  <si>
    <t>Kamat, kezelési ktg., projektvizsg. díj összesen</t>
  </si>
  <si>
    <t>Törlesztés: 12 év</t>
  </si>
  <si>
    <t>1. részlet felvétele</t>
  </si>
  <si>
    <t>2. részlet felvétele</t>
  </si>
  <si>
    <t>3. részlet felvétele</t>
  </si>
  <si>
    <t>4. részlet felvétele</t>
  </si>
  <si>
    <t>5. részlet felvétele</t>
  </si>
  <si>
    <t>6. részlet felvétele</t>
  </si>
  <si>
    <t>7. részlet felvétele</t>
  </si>
  <si>
    <t>8. részlet felvétele</t>
  </si>
  <si>
    <t>9. részlet felvétele</t>
  </si>
  <si>
    <t>folyósítás</t>
  </si>
  <si>
    <t>tőketartozás</t>
  </si>
  <si>
    <t>Fennálló</t>
  </si>
  <si>
    <t>Felhasználható</t>
  </si>
  <si>
    <t>hitelkeret</t>
  </si>
  <si>
    <t>2006. augusztus 24.</t>
  </si>
  <si>
    <t>10. részlet felvétele</t>
  </si>
  <si>
    <t>11. részlet felvétele</t>
  </si>
  <si>
    <t>12. részlet felvétele</t>
  </si>
  <si>
    <t>13. részlet felvétele</t>
  </si>
  <si>
    <t>14. részlet felvétele</t>
  </si>
  <si>
    <t>15. részlet felvétele</t>
  </si>
  <si>
    <t>16. részlet felvétele</t>
  </si>
  <si>
    <t>17. részlet felvétele</t>
  </si>
  <si>
    <t>Kamat mértéke: 3 havi EURIBOR + évi 0,89 %</t>
  </si>
  <si>
    <t>Projektvizsgálati díj: a kölcsönösszeg 1,5 %-a</t>
  </si>
  <si>
    <t>díj (1,5 %)</t>
  </si>
  <si>
    <t>Kamat mértéke: 3 havi EURIBOR + évi 1,39 %</t>
  </si>
  <si>
    <t>2026. évi</t>
  </si>
  <si>
    <r>
      <t>Számlaszám:</t>
    </r>
    <r>
      <rPr>
        <sz val="10"/>
        <rFont val="Times New Roman CE"/>
        <family val="0"/>
      </rPr>
      <t xml:space="preserve"> 0 1 3 2 0 3 9 8 0 0</t>
    </r>
    <r>
      <rPr>
        <b/>
        <sz val="10"/>
        <rFont val="Times New Roman CE"/>
        <family val="1"/>
      </rPr>
      <t xml:space="preserve"> 1 4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</si>
  <si>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1 5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</si>
  <si>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1 6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</si>
  <si>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1 7</t>
    </r>
  </si>
  <si>
    <t>18. részlet felvétele</t>
  </si>
  <si>
    <t>19. részlet felvétele</t>
  </si>
  <si>
    <t>20. részlet felvétele</t>
  </si>
  <si>
    <t>21. részlet felvétele</t>
  </si>
  <si>
    <t>22. részlet felvétele</t>
  </si>
  <si>
    <t>23. részlet felvétele</t>
  </si>
  <si>
    <t>24. részlet felvétele</t>
  </si>
  <si>
    <t>25. részlet felvétele</t>
  </si>
  <si>
    <t>26. részlet felvétele</t>
  </si>
  <si>
    <t>27. részlet felvétele</t>
  </si>
  <si>
    <t>28. részlet felvétele</t>
  </si>
  <si>
    <t>29. részlet felvétele</t>
  </si>
  <si>
    <t>30. részlet felvétele</t>
  </si>
  <si>
    <t>31. részlet felvétele</t>
  </si>
  <si>
    <t>32. részlet felvétele</t>
  </si>
  <si>
    <t>33. részlet felvétele</t>
  </si>
  <si>
    <t>.... részlet tervezett felvétele:</t>
  </si>
  <si>
    <t>1. részlet tervezett felvétele</t>
  </si>
  <si>
    <t>2. részlet tervezett felvétele</t>
  </si>
  <si>
    <t>3. részlet tervezett felvétele</t>
  </si>
  <si>
    <t>2005-2006. évben felvett  607.314 eFt hitel</t>
  </si>
  <si>
    <t>2005-2006. évben felvételre tervezett 179.173 eFt hitel</t>
  </si>
  <si>
    <r>
      <t xml:space="preserve">2006. évben felvett Panel Plusz Hitel </t>
    </r>
    <r>
      <rPr>
        <b/>
        <sz val="10"/>
        <rFont val="Times New Roman CE"/>
        <family val="1"/>
      </rPr>
      <t>/1</t>
    </r>
  </si>
  <si>
    <t xml:space="preserve">     2007.07.31-én felvételre tervezett: 164.972.160 Ft</t>
  </si>
  <si>
    <t xml:space="preserve">     2007.08.31-án felvételre tervezett: 164.972.160 Ft</t>
  </si>
  <si>
    <r>
      <t xml:space="preserve">2006. évben felvételre tervezett 226.086,3 eFt célhitel </t>
    </r>
    <r>
      <rPr>
        <b/>
        <sz val="10"/>
        <rFont val="Times New Roman CE"/>
        <family val="1"/>
      </rPr>
      <t>/3</t>
    </r>
  </si>
  <si>
    <t>Törlesz-</t>
  </si>
  <si>
    <t>tés</t>
  </si>
  <si>
    <t>OTP Bank Rt-vel kötött szerződés alapján</t>
  </si>
  <si>
    <t>K&amp;H Bank Rt-vel kötött szerződés alapján</t>
  </si>
  <si>
    <t>Hiteltartozások összesen</t>
  </si>
  <si>
    <t>Adósságszolgálat összesen</t>
  </si>
  <si>
    <t>2006. december 13.</t>
  </si>
  <si>
    <t xml:space="preserve">I. részlet felvétele: </t>
  </si>
  <si>
    <t xml:space="preserve">II. részlet felvétele: </t>
  </si>
  <si>
    <t xml:space="preserve">III. részlet felvétele: </t>
  </si>
  <si>
    <t>2006. december 19.</t>
  </si>
  <si>
    <t>2007. március 1.</t>
  </si>
  <si>
    <t xml:space="preserve">II. részlet tervezett felvétele: </t>
  </si>
  <si>
    <t>34. részlet felvétele</t>
  </si>
  <si>
    <t>35. részlet felvétele</t>
  </si>
  <si>
    <t>36. részlet felvétele</t>
  </si>
  <si>
    <t>37. részlet felvétele</t>
  </si>
  <si>
    <t>38. részlet felvétele</t>
  </si>
  <si>
    <t>39. részlet felvétele</t>
  </si>
  <si>
    <t>40. részlet felvétele</t>
  </si>
  <si>
    <t>41. részlet felvétele</t>
  </si>
  <si>
    <t>42. részlet felvétele</t>
  </si>
  <si>
    <t>43. részlet felvétele</t>
  </si>
  <si>
    <t>44. részlet felvétele</t>
  </si>
  <si>
    <t>45. részlet felvétele</t>
  </si>
  <si>
    <t>46. részlet felvétele</t>
  </si>
  <si>
    <t>47. részlet felvétele</t>
  </si>
  <si>
    <t>Még le nem szerződött, de Közgyűlés által jóváhagyott</t>
  </si>
  <si>
    <t>I. Hitelcélok szerint</t>
  </si>
  <si>
    <t>II. Hitelezők szerint</t>
  </si>
  <si>
    <t>2007. évben felvételre tervezett fejlesztési célú hitel</t>
  </si>
  <si>
    <r>
      <t xml:space="preserve">2006. évben felvételre tervezett 204.214,5 eFt célhitel </t>
    </r>
    <r>
      <rPr>
        <b/>
        <sz val="10"/>
        <rFont val="Times New Roman CE"/>
        <family val="1"/>
      </rPr>
      <t>/2</t>
    </r>
  </si>
  <si>
    <r>
      <t xml:space="preserve">2006. évben felvételre tervezett 10.350 eFt célhitel </t>
    </r>
    <r>
      <rPr>
        <b/>
        <sz val="10"/>
        <rFont val="Times New Roman CE"/>
        <family val="1"/>
      </rPr>
      <t>/4</t>
    </r>
  </si>
  <si>
    <r>
      <t xml:space="preserve">2006. évben felvételre tervezett 11.007,9 eFt célhitel </t>
    </r>
    <r>
      <rPr>
        <b/>
        <sz val="10"/>
        <rFont val="Times New Roman CE"/>
        <family val="1"/>
      </rPr>
      <t>/5</t>
    </r>
  </si>
  <si>
    <r>
      <t xml:space="preserve">2007. évben felvételre tervezett Panel Plusz Hitel </t>
    </r>
    <r>
      <rPr>
        <b/>
        <sz val="10"/>
        <rFont val="Times New Roman CE"/>
        <family val="1"/>
      </rPr>
      <t>/6</t>
    </r>
  </si>
  <si>
    <r>
      <t xml:space="preserve"> /6 </t>
    </r>
    <r>
      <rPr>
        <sz val="10"/>
        <rFont val="Times New Roman CE"/>
        <family val="1"/>
      </rPr>
      <t>2007.06.30-án felvételre tervezett: 164.972.160 Ft</t>
    </r>
  </si>
  <si>
    <r>
      <t xml:space="preserve"> /1 </t>
    </r>
    <r>
      <rPr>
        <sz val="10"/>
        <rFont val="Times New Roman CE"/>
        <family val="1"/>
      </rPr>
      <t>2006. XII. 29-ig ténylegesen felvett: 492.390.091,- Ft</t>
    </r>
  </si>
  <si>
    <r>
      <t xml:space="preserve"> </t>
    </r>
    <r>
      <rPr>
        <b/>
        <sz val="10"/>
        <rFont val="Times New Roman CE"/>
        <family val="1"/>
      </rPr>
      <t xml:space="preserve">/2 </t>
    </r>
    <r>
      <rPr>
        <sz val="10"/>
        <rFont val="Times New Roman CE"/>
        <family val="1"/>
      </rPr>
      <t>2006. december 29-ig ténylegesen felvett: 201.368.000,- Ft.</t>
    </r>
  </si>
  <si>
    <r>
      <t xml:space="preserve"> </t>
    </r>
    <r>
      <rPr>
        <b/>
        <sz val="10"/>
        <rFont val="Times New Roman CE"/>
        <family val="1"/>
      </rPr>
      <t xml:space="preserve">/3 </t>
    </r>
    <r>
      <rPr>
        <sz val="10"/>
        <rFont val="Times New Roman CE"/>
        <family val="1"/>
      </rPr>
      <t>2006. december 29-ig ténylegesen felvett: 226.086.000,- Ft.</t>
    </r>
  </si>
  <si>
    <r>
      <t xml:space="preserve"> </t>
    </r>
    <r>
      <rPr>
        <b/>
        <sz val="10"/>
        <rFont val="Times New Roman CE"/>
        <family val="1"/>
      </rPr>
      <t xml:space="preserve">/5 </t>
    </r>
    <r>
      <rPr>
        <sz val="10"/>
        <rFont val="Times New Roman CE"/>
        <family val="1"/>
      </rPr>
      <t>2006. december 29-ig ténylegesen felvett: 9.264.000,- Ft.</t>
    </r>
  </si>
  <si>
    <r>
      <t xml:space="preserve"> </t>
    </r>
    <r>
      <rPr>
        <b/>
        <sz val="10"/>
        <rFont val="Times New Roman CE"/>
        <family val="1"/>
      </rPr>
      <t xml:space="preserve">/4 </t>
    </r>
    <r>
      <rPr>
        <sz val="10"/>
        <rFont val="Times New Roman CE"/>
        <family val="1"/>
      </rPr>
      <t>2006. december 29-ig ténylegesen felvett: 8.528.000,- Ft.</t>
    </r>
  </si>
  <si>
    <t>2007. február 26.</t>
  </si>
  <si>
    <t xml:space="preserve">(2007. január 24-i szerződéskötés </t>
  </si>
  <si>
    <t>2007. évben felvételre tervezett Panel Plusz Hitel)</t>
  </si>
  <si>
    <t>Kamat mértéke: 3 havi EURIBOR + 0,937 % = szerződéskötéskor: 4,659 %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</si>
</sst>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  <numFmt numFmtId="181" formatCode="#,##0\ &quot;Ft&quot;"/>
    <numFmt numFmtId="182" formatCode="#,##0\ _F\t"/>
    <numFmt numFmtId="183" formatCode="#,##0\ \ &quot;Ft&quot;"/>
    <numFmt numFmtId="184" formatCode="#,##0_ ;[Red]\-#,##0\ "/>
  </numFmts>
  <fonts count="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2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Dashed"/>
    </border>
    <border>
      <left style="hair"/>
      <right style="hair"/>
      <top>
        <color indexed="63"/>
      </top>
      <bottom style="mediumDashed"/>
    </border>
    <border>
      <left style="hair"/>
      <right style="hair"/>
      <top style="mediumDashed"/>
      <bottom style="mediumDash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hair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hair"/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hair"/>
      <right style="thin"/>
      <top style="hair"/>
      <bottom style="mediumDashed"/>
    </border>
    <border>
      <left style="hair"/>
      <right style="thin"/>
      <top style="mediumDashed"/>
      <bottom style="mediumDashed"/>
    </border>
    <border>
      <left style="hair"/>
      <right style="hair"/>
      <top style="mediumDashed"/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thin"/>
      <right style="hair"/>
      <top style="mediumDashed"/>
      <bottom>
        <color indexed="63"/>
      </bottom>
    </border>
    <border>
      <left>
        <color indexed="63"/>
      </left>
      <right style="hair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hair"/>
      <top style="hair"/>
      <bottom style="mediumDashed"/>
    </border>
    <border>
      <left style="thin"/>
      <right style="hair"/>
      <top style="mediumDashed"/>
      <bottom style="hair"/>
    </border>
    <border>
      <left style="hair"/>
      <right style="thin"/>
      <top style="mediumDashed"/>
      <bottom>
        <color indexed="63"/>
      </bottom>
    </border>
    <border>
      <left style="thin"/>
      <right style="hair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mediumDashed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166" fontId="0" fillId="0" borderId="27" xfId="19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4" fontId="1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4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170" fontId="0" fillId="0" borderId="3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14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Fill="1" applyBorder="1" applyAlignment="1">
      <alignment/>
    </xf>
    <xf numFmtId="166" fontId="0" fillId="0" borderId="34" xfId="19" applyNumberForma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4" fontId="0" fillId="0" borderId="36" xfId="0" applyNumberFormat="1" applyFill="1" applyBorder="1" applyAlignment="1">
      <alignment/>
    </xf>
    <xf numFmtId="0" fontId="0" fillId="0" borderId="20" xfId="0" applyFill="1" applyBorder="1" applyAlignment="1">
      <alignment/>
    </xf>
    <xf numFmtId="166" fontId="0" fillId="0" borderId="20" xfId="19" applyNumberForma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10" fontId="0" fillId="0" borderId="20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4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39" xfId="0" applyNumberFormat="1" applyFill="1" applyBorder="1" applyAlignment="1">
      <alignment/>
    </xf>
    <xf numFmtId="166" fontId="0" fillId="0" borderId="39" xfId="19" applyNumberForma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4" fontId="0" fillId="0" borderId="41" xfId="0" applyNumberFormat="1" applyFill="1" applyBorder="1" applyAlignment="1">
      <alignment/>
    </xf>
    <xf numFmtId="0" fontId="0" fillId="0" borderId="21" xfId="0" applyFill="1" applyBorder="1" applyAlignment="1">
      <alignment/>
    </xf>
    <xf numFmtId="10" fontId="0" fillId="0" borderId="2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13" xfId="0" applyNumberFormat="1" applyFill="1" applyBorder="1" applyAlignment="1">
      <alignment/>
    </xf>
    <xf numFmtId="10" fontId="0" fillId="0" borderId="34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0" fillId="0" borderId="44" xfId="0" applyFill="1" applyBorder="1" applyAlignment="1">
      <alignment/>
    </xf>
    <xf numFmtId="3" fontId="0" fillId="0" borderId="11" xfId="0" applyNumberFormat="1" applyFill="1" applyBorder="1" applyAlignment="1">
      <alignment/>
    </xf>
    <xf numFmtId="14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3" fontId="0" fillId="0" borderId="46" xfId="0" applyNumberFormat="1" applyFill="1" applyBorder="1" applyAlignment="1">
      <alignment/>
    </xf>
    <xf numFmtId="166" fontId="0" fillId="0" borderId="46" xfId="19" applyNumberForma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10" fontId="1" fillId="0" borderId="48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3" fontId="1" fillId="0" borderId="49" xfId="0" applyNumberFormat="1" applyFont="1" applyFill="1" applyBorder="1" applyAlignment="1">
      <alignment/>
    </xf>
    <xf numFmtId="10" fontId="1" fillId="0" borderId="49" xfId="0" applyNumberFormat="1" applyFont="1" applyFill="1" applyBorder="1" applyAlignment="1">
      <alignment/>
    </xf>
    <xf numFmtId="0" fontId="1" fillId="0" borderId="49" xfId="0" applyFont="1" applyFill="1" applyBorder="1" applyAlignment="1">
      <alignment/>
    </xf>
    <xf numFmtId="6" fontId="1" fillId="0" borderId="4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49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14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166" fontId="0" fillId="0" borderId="21" xfId="19" applyNumberForma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0" fillId="0" borderId="57" xfId="0" applyFill="1" applyBorder="1" applyAlignment="1">
      <alignment horizontal="centerContinuous"/>
    </xf>
    <xf numFmtId="3" fontId="0" fillId="0" borderId="57" xfId="0" applyNumberFormat="1" applyFill="1" applyBorder="1" applyAlignment="1">
      <alignment horizontal="centerContinuous"/>
    </xf>
    <xf numFmtId="3" fontId="1" fillId="0" borderId="5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59" xfId="0" applyNumberFormat="1" applyFill="1" applyBorder="1" applyAlignment="1">
      <alignment horizontal="center"/>
    </xf>
    <xf numFmtId="10" fontId="0" fillId="0" borderId="44" xfId="0" applyNumberFormat="1" applyFill="1" applyBorder="1" applyAlignment="1">
      <alignment horizontal="center"/>
    </xf>
    <xf numFmtId="164" fontId="0" fillId="0" borderId="32" xfId="19" applyNumberFormat="1" applyFont="1" applyFill="1" applyBorder="1" applyAlignment="1">
      <alignment horizontal="center"/>
    </xf>
    <xf numFmtId="10" fontId="0" fillId="0" borderId="60" xfId="0" applyNumberFormat="1" applyFill="1" applyBorder="1" applyAlignment="1">
      <alignment horizontal="center"/>
    </xf>
    <xf numFmtId="10" fontId="0" fillId="0" borderId="27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59" xfId="0" applyFill="1" applyBorder="1" applyAlignment="1">
      <alignment/>
    </xf>
    <xf numFmtId="10" fontId="0" fillId="0" borderId="50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10" fontId="0" fillId="0" borderId="55" xfId="0" applyNumberFormat="1" applyFill="1" applyBorder="1" applyAlignment="1">
      <alignment/>
    </xf>
    <xf numFmtId="10" fontId="0" fillId="0" borderId="52" xfId="0" applyNumberFormat="1" applyFill="1" applyBorder="1" applyAlignment="1">
      <alignment/>
    </xf>
    <xf numFmtId="10" fontId="1" fillId="0" borderId="57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4" fontId="0" fillId="0" borderId="29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10" fontId="0" fillId="0" borderId="39" xfId="0" applyNumberForma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1" fontId="0" fillId="0" borderId="59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14" fontId="0" fillId="0" borderId="6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10" fontId="0" fillId="0" borderId="22" xfId="0" applyNumberFormat="1" applyFill="1" applyBorder="1" applyAlignment="1">
      <alignment/>
    </xf>
    <xf numFmtId="3" fontId="1" fillId="0" borderId="62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14" fontId="0" fillId="0" borderId="64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10" fontId="0" fillId="0" borderId="23" xfId="0" applyNumberForma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14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10" fontId="0" fillId="0" borderId="24" xfId="0" applyNumberFormat="1" applyFill="1" applyBorder="1" applyAlignment="1">
      <alignment/>
    </xf>
    <xf numFmtId="3" fontId="1" fillId="0" borderId="68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14" fontId="0" fillId="0" borderId="70" xfId="0" applyNumberFormat="1" applyFill="1" applyBorder="1" applyAlignment="1">
      <alignment/>
    </xf>
    <xf numFmtId="1" fontId="0" fillId="0" borderId="71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10" fontId="0" fillId="0" borderId="71" xfId="0" applyNumberForma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7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74" xfId="0" applyNumberFormat="1" applyFont="1" applyFill="1" applyBorder="1" applyAlignment="1">
      <alignment/>
    </xf>
    <xf numFmtId="1" fontId="0" fillId="0" borderId="75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4" fontId="0" fillId="0" borderId="76" xfId="0" applyNumberFormat="1" applyFill="1" applyBorder="1" applyAlignment="1">
      <alignment/>
    </xf>
    <xf numFmtId="1" fontId="0" fillId="0" borderId="44" xfId="0" applyNumberFormat="1" applyFill="1" applyBorder="1" applyAlignment="1">
      <alignment/>
    </xf>
    <xf numFmtId="14" fontId="0" fillId="0" borderId="77" xfId="0" applyNumberFormat="1" applyFill="1" applyBorder="1" applyAlignment="1">
      <alignment/>
    </xf>
    <xf numFmtId="3" fontId="0" fillId="0" borderId="75" xfId="0" applyNumberFormat="1" applyFill="1" applyBorder="1" applyAlignment="1">
      <alignment/>
    </xf>
    <xf numFmtId="3" fontId="0" fillId="0" borderId="78" xfId="0" applyNumberFormat="1" applyFill="1" applyBorder="1" applyAlignment="1">
      <alignment/>
    </xf>
    <xf numFmtId="10" fontId="0" fillId="0" borderId="75" xfId="0" applyNumberForma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3" fontId="1" fillId="0" borderId="79" xfId="0" applyNumberFormat="1" applyFont="1" applyFill="1" applyBorder="1" applyAlignment="1">
      <alignment/>
    </xf>
    <xf numFmtId="14" fontId="0" fillId="0" borderId="7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10" fontId="0" fillId="0" borderId="43" xfId="0" applyNumberForma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10" fontId="0" fillId="0" borderId="30" xfId="0" applyNumberForma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10" fontId="0" fillId="0" borderId="32" xfId="0" applyNumberFormat="1" applyFill="1" applyBorder="1" applyAlignment="1">
      <alignment/>
    </xf>
    <xf numFmtId="0" fontId="0" fillId="0" borderId="37" xfId="0" applyFill="1" applyBorder="1" applyAlignment="1">
      <alignment/>
    </xf>
    <xf numFmtId="10" fontId="0" fillId="0" borderId="46" xfId="0" applyNumberForma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0" fillId="0" borderId="5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5" xfId="0" applyFill="1" applyBorder="1" applyAlignment="1">
      <alignment/>
    </xf>
    <xf numFmtId="166" fontId="0" fillId="0" borderId="55" xfId="19" applyNumberFormat="1" applyFill="1" applyBorder="1" applyAlignment="1">
      <alignment/>
    </xf>
    <xf numFmtId="0" fontId="0" fillId="0" borderId="52" xfId="0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14" fontId="0" fillId="0" borderId="5" xfId="0" applyNumberFormat="1" applyFill="1" applyBorder="1" applyAlignment="1">
      <alignment/>
    </xf>
    <xf numFmtId="166" fontId="0" fillId="0" borderId="43" xfId="19" applyNumberForma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3" xfId="0" applyFill="1" applyBorder="1" applyAlignment="1">
      <alignment/>
    </xf>
    <xf numFmtId="10" fontId="0" fillId="0" borderId="4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6" fontId="0" fillId="0" borderId="52" xfId="19" applyNumberFormat="1" applyFill="1" applyBorder="1" applyAlignment="1">
      <alignment/>
    </xf>
    <xf numFmtId="166" fontId="0" fillId="0" borderId="50" xfId="19" applyNumberForma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30" xfId="0" applyFill="1" applyBorder="1" applyAlignment="1">
      <alignment/>
    </xf>
    <xf numFmtId="14" fontId="0" fillId="0" borderId="1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0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4" fontId="0" fillId="0" borderId="80" xfId="0" applyNumberFormat="1" applyFill="1" applyBorder="1" applyAlignment="1">
      <alignment/>
    </xf>
    <xf numFmtId="0" fontId="0" fillId="0" borderId="22" xfId="0" applyFill="1" applyBorder="1" applyAlignment="1">
      <alignment/>
    </xf>
    <xf numFmtId="166" fontId="0" fillId="0" borderId="22" xfId="19" applyNumberFormat="1" applyFill="1" applyBorder="1" applyAlignment="1">
      <alignment/>
    </xf>
    <xf numFmtId="0" fontId="0" fillId="0" borderId="73" xfId="0" applyFill="1" applyBorder="1" applyAlignment="1">
      <alignment/>
    </xf>
    <xf numFmtId="10" fontId="0" fillId="0" borderId="44" xfId="0" applyNumberFormat="1" applyFill="1" applyBorder="1" applyAlignment="1">
      <alignment/>
    </xf>
    <xf numFmtId="166" fontId="0" fillId="0" borderId="62" xfId="19" applyNumberFormat="1" applyFill="1" applyBorder="1" applyAlignment="1">
      <alignment/>
    </xf>
    <xf numFmtId="14" fontId="0" fillId="0" borderId="81" xfId="0" applyNumberFormat="1" applyFill="1" applyBorder="1" applyAlignment="1">
      <alignment/>
    </xf>
    <xf numFmtId="0" fontId="0" fillId="0" borderId="71" xfId="0" applyFill="1" applyBorder="1" applyAlignment="1">
      <alignment/>
    </xf>
    <xf numFmtId="166" fontId="0" fillId="0" borderId="71" xfId="19" applyNumberFormat="1" applyFill="1" applyBorder="1" applyAlignment="1">
      <alignment/>
    </xf>
    <xf numFmtId="10" fontId="0" fillId="0" borderId="32" xfId="19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10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75" xfId="0" applyFill="1" applyBorder="1" applyAlignment="1">
      <alignment/>
    </xf>
    <xf numFmtId="166" fontId="0" fillId="0" borderId="75" xfId="19" applyNumberForma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1" fillId="0" borderId="82" xfId="0" applyNumberFormat="1" applyFont="1" applyFill="1" applyBorder="1" applyAlignment="1">
      <alignment/>
    </xf>
    <xf numFmtId="14" fontId="0" fillId="0" borderId="83" xfId="0" applyNumberFormat="1" applyFill="1" applyBorder="1" applyAlignment="1">
      <alignment/>
    </xf>
    <xf numFmtId="0" fontId="0" fillId="0" borderId="24" xfId="0" applyFill="1" applyBorder="1" applyAlignment="1">
      <alignment/>
    </xf>
    <xf numFmtId="166" fontId="0" fillId="0" borderId="24" xfId="19" applyNumberForma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1" fillId="0" borderId="49" xfId="0" applyNumberFormat="1" applyFont="1" applyFill="1" applyBorder="1" applyAlignment="1">
      <alignment/>
    </xf>
    <xf numFmtId="0" fontId="0" fillId="0" borderId="84" xfId="0" applyFill="1" applyBorder="1" applyAlignment="1">
      <alignment/>
    </xf>
    <xf numFmtId="10" fontId="0" fillId="0" borderId="84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3" fontId="0" fillId="0" borderId="84" xfId="0" applyNumberForma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84" xfId="0" applyNumberFormat="1" applyFill="1" applyBorder="1" applyAlignment="1">
      <alignment/>
    </xf>
    <xf numFmtId="0" fontId="0" fillId="0" borderId="0" xfId="0" applyFill="1" applyAlignment="1">
      <alignment horizontal="right"/>
    </xf>
    <xf numFmtId="14" fontId="1" fillId="0" borderId="0" xfId="0" applyNumberFormat="1" applyFont="1" applyFill="1" applyBorder="1" applyAlignment="1">
      <alignment/>
    </xf>
    <xf numFmtId="14" fontId="1" fillId="0" borderId="36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 horizontal="centerContinuous"/>
    </xf>
    <xf numFmtId="3" fontId="0" fillId="0" borderId="51" xfId="0" applyNumberFormat="1" applyFont="1" applyFill="1" applyBorder="1" applyAlignment="1">
      <alignment horizontal="centerContinuous"/>
    </xf>
    <xf numFmtId="170" fontId="0" fillId="0" borderId="7" xfId="0" applyNumberFormat="1" applyFont="1" applyFill="1" applyBorder="1" applyAlignment="1">
      <alignment horizontal="center"/>
    </xf>
    <xf numFmtId="170" fontId="0" fillId="0" borderId="8" xfId="0" applyNumberFormat="1" applyFont="1" applyFill="1" applyBorder="1" applyAlignment="1">
      <alignment horizontal="center"/>
    </xf>
    <xf numFmtId="3" fontId="0" fillId="0" borderId="41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41" xfId="0" applyNumberFormat="1" applyFill="1" applyBorder="1" applyAlignment="1">
      <alignment horizontal="centerContinuous"/>
    </xf>
    <xf numFmtId="3" fontId="0" fillId="0" borderId="51" xfId="0" applyNumberFormat="1" applyFill="1" applyBorder="1" applyAlignment="1">
      <alignment horizontal="centerContinuous"/>
    </xf>
    <xf numFmtId="164" fontId="0" fillId="0" borderId="7" xfId="19" applyNumberFormat="1" applyFont="1" applyFill="1" applyBorder="1" applyAlignment="1">
      <alignment horizontal="center"/>
    </xf>
    <xf numFmtId="164" fontId="0" fillId="0" borderId="8" xfId="19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80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3" fontId="0" fillId="0" borderId="85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7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 horizontal="center"/>
    </xf>
    <xf numFmtId="3" fontId="0" fillId="0" borderId="60" xfId="0" applyNumberFormat="1" applyFill="1" applyBorder="1" applyAlignment="1">
      <alignment horizontal="center"/>
    </xf>
    <xf numFmtId="14" fontId="1" fillId="0" borderId="5" xfId="0" applyNumberFormat="1" applyFont="1" applyFill="1" applyBorder="1" applyAlignment="1">
      <alignment/>
    </xf>
    <xf numFmtId="166" fontId="0" fillId="0" borderId="21" xfId="19" applyNumberForma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70" fontId="0" fillId="0" borderId="20" xfId="19" applyNumberFormat="1" applyFill="1" applyBorder="1" applyAlignment="1">
      <alignment/>
    </xf>
    <xf numFmtId="170" fontId="0" fillId="0" borderId="39" xfId="19" applyNumberFormat="1" applyFill="1" applyBorder="1" applyAlignment="1">
      <alignment/>
    </xf>
    <xf numFmtId="170" fontId="0" fillId="0" borderId="21" xfId="19" applyNumberFormat="1" applyFill="1" applyBorder="1" applyAlignment="1">
      <alignment/>
    </xf>
    <xf numFmtId="170" fontId="0" fillId="0" borderId="43" xfId="19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0" fillId="0" borderId="59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1" fillId="0" borderId="4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Continuous"/>
    </xf>
    <xf numFmtId="3" fontId="0" fillId="0" borderId="31" xfId="0" applyNumberFormat="1" applyFont="1" applyFill="1" applyBorder="1" applyAlignment="1">
      <alignment horizontal="centerContinuous"/>
    </xf>
    <xf numFmtId="0" fontId="0" fillId="0" borderId="41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70" fontId="0" fillId="0" borderId="21" xfId="19" applyNumberFormat="1" applyFill="1" applyBorder="1" applyAlignment="1">
      <alignment horizontal="center"/>
    </xf>
    <xf numFmtId="170" fontId="0" fillId="0" borderId="20" xfId="19" applyNumberFormat="1" applyFill="1" applyBorder="1" applyAlignment="1">
      <alignment horizontal="center"/>
    </xf>
    <xf numFmtId="170" fontId="0" fillId="0" borderId="39" xfId="19" applyNumberFormat="1" applyFill="1" applyBorder="1" applyAlignment="1">
      <alignment horizontal="center"/>
    </xf>
    <xf numFmtId="10" fontId="1" fillId="0" borderId="48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50" xfId="0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0" fontId="1" fillId="0" borderId="49" xfId="0" applyFont="1" applyFill="1" applyBorder="1" applyAlignment="1">
      <alignment horizontal="center"/>
    </xf>
    <xf numFmtId="3" fontId="0" fillId="0" borderId="87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0" fillId="0" borderId="89" xfId="0" applyNumberFormat="1" applyBorder="1" applyAlignment="1">
      <alignment/>
    </xf>
    <xf numFmtId="3" fontId="1" fillId="0" borderId="54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14" fontId="1" fillId="0" borderId="4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14" fontId="0" fillId="0" borderId="36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14" fontId="0" fillId="0" borderId="7" xfId="0" applyNumberForma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44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" fillId="0" borderId="92" xfId="0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0" fillId="0" borderId="60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0" fillId="0" borderId="55" xfId="0" applyFill="1" applyBorder="1" applyAlignment="1">
      <alignment horizontal="center"/>
    </xf>
    <xf numFmtId="3" fontId="0" fillId="0" borderId="55" xfId="0" applyNumberFormat="1" applyFill="1" applyBorder="1" applyAlignment="1">
      <alignment/>
    </xf>
    <xf numFmtId="3" fontId="0" fillId="0" borderId="55" xfId="0" applyNumberForma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170" fontId="0" fillId="0" borderId="34" xfId="19" applyNumberFormat="1" applyFill="1" applyBorder="1" applyAlignment="1">
      <alignment horizontal="center"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93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94" xfId="0" applyFont="1" applyBorder="1" applyAlignment="1">
      <alignment wrapText="1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3" fontId="0" fillId="0" borderId="96" xfId="0" applyNumberFormat="1" applyFont="1" applyBorder="1" applyAlignment="1">
      <alignment/>
    </xf>
    <xf numFmtId="0" fontId="0" fillId="0" borderId="97" xfId="0" applyFont="1" applyBorder="1" applyAlignment="1">
      <alignment/>
    </xf>
    <xf numFmtId="3" fontId="0" fillId="0" borderId="8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8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93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3" fontId="0" fillId="0" borderId="96" xfId="0" applyNumberFormat="1" applyBorder="1" applyAlignment="1">
      <alignment/>
    </xf>
    <xf numFmtId="0" fontId="0" fillId="0" borderId="97" xfId="0" applyBorder="1" applyAlignment="1">
      <alignment/>
    </xf>
    <xf numFmtId="14" fontId="0" fillId="0" borderId="98" xfId="0" applyNumberForma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" fillId="0" borderId="99" xfId="0" applyNumberFormat="1" applyFont="1" applyFill="1" applyBorder="1" applyAlignment="1">
      <alignment horizontal="center"/>
    </xf>
    <xf numFmtId="14" fontId="1" fillId="0" borderId="100" xfId="0" applyNumberFormat="1" applyFont="1" applyFill="1" applyBorder="1" applyAlignment="1">
      <alignment horizontal="center"/>
    </xf>
    <xf numFmtId="14" fontId="1" fillId="0" borderId="57" xfId="0" applyNumberFormat="1" applyFont="1" applyFill="1" applyBorder="1" applyAlignment="1">
      <alignment horizontal="center"/>
    </xf>
    <xf numFmtId="14" fontId="1" fillId="0" borderId="99" xfId="0" applyNumberFormat="1" applyFont="1" applyFill="1" applyBorder="1" applyAlignment="1">
      <alignment horizontal="center"/>
    </xf>
    <xf numFmtId="14" fontId="1" fillId="0" borderId="100" xfId="0" applyNumberFormat="1" applyFont="1" applyFill="1" applyBorder="1" applyAlignment="1">
      <alignment horizontal="center"/>
    </xf>
    <xf numFmtId="14" fontId="1" fillId="0" borderId="57" xfId="0" applyNumberFormat="1" applyFont="1" applyFill="1" applyBorder="1" applyAlignment="1">
      <alignment horizontal="center"/>
    </xf>
    <xf numFmtId="183" fontId="1" fillId="0" borderId="0" xfId="0" applyNumberFormat="1" applyFont="1" applyFill="1" applyAlignment="1">
      <alignment horizontal="right"/>
    </xf>
    <xf numFmtId="0" fontId="1" fillId="0" borderId="10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3" fontId="1" fillId="0" borderId="101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102" xfId="0" applyNumberFormat="1" applyFont="1" applyBorder="1" applyAlignment="1">
      <alignment horizontal="center"/>
    </xf>
    <xf numFmtId="3" fontId="1" fillId="0" borderId="103" xfId="0" applyNumberFormat="1" applyFont="1" applyBorder="1" applyAlignment="1">
      <alignment horizontal="center"/>
    </xf>
    <xf numFmtId="0" fontId="1" fillId="0" borderId="10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5"/>
  <sheetViews>
    <sheetView workbookViewId="0" topLeftCell="A15">
      <selection activeCell="J1" sqref="J1"/>
    </sheetView>
  </sheetViews>
  <sheetFormatPr defaultColWidth="9.00390625" defaultRowHeight="12.75"/>
  <sheetData>
    <row r="15" spans="1:9" ht="30">
      <c r="A15" s="466" t="s">
        <v>75</v>
      </c>
      <c r="B15" s="466"/>
      <c r="C15" s="466"/>
      <c r="D15" s="466"/>
      <c r="E15" s="466"/>
      <c r="F15" s="466"/>
      <c r="G15" s="466"/>
      <c r="H15" s="466"/>
      <c r="I15" s="466"/>
    </row>
    <row r="16" spans="1:9" ht="30">
      <c r="A16" s="466" t="s">
        <v>76</v>
      </c>
      <c r="B16" s="466"/>
      <c r="C16" s="466"/>
      <c r="D16" s="466"/>
      <c r="E16" s="466"/>
      <c r="F16" s="466"/>
      <c r="G16" s="466"/>
      <c r="H16" s="466"/>
      <c r="I16" s="466"/>
    </row>
    <row r="19" spans="1:9" ht="18.75">
      <c r="A19" s="467" t="s">
        <v>87</v>
      </c>
      <c r="B19" s="467"/>
      <c r="C19" s="467"/>
      <c r="D19" s="467"/>
      <c r="E19" s="467"/>
      <c r="F19" s="467"/>
      <c r="G19" s="467"/>
      <c r="H19" s="467"/>
      <c r="I19" s="467"/>
    </row>
    <row r="20" spans="1:9" ht="15.75">
      <c r="A20" s="465" t="s">
        <v>257</v>
      </c>
      <c r="B20" s="465"/>
      <c r="C20" s="465"/>
      <c r="D20" s="465"/>
      <c r="E20" s="465"/>
      <c r="F20" s="465"/>
      <c r="G20" s="465"/>
      <c r="H20" s="465"/>
      <c r="I20" s="465"/>
    </row>
    <row r="24" spans="1:9" ht="15.75">
      <c r="A24" s="465" t="s">
        <v>258</v>
      </c>
      <c r="B24" s="465"/>
      <c r="C24" s="465"/>
      <c r="D24" s="465"/>
      <c r="E24" s="465"/>
      <c r="F24" s="465"/>
      <c r="G24" s="465"/>
      <c r="H24" s="465"/>
      <c r="I24" s="465"/>
    </row>
    <row r="25" spans="1:9" ht="15.75">
      <c r="A25" s="465" t="s">
        <v>259</v>
      </c>
      <c r="B25" s="465"/>
      <c r="C25" s="465"/>
      <c r="D25" s="465"/>
      <c r="E25" s="465"/>
      <c r="F25" s="465"/>
      <c r="G25" s="465"/>
      <c r="H25" s="465"/>
      <c r="I25" s="465"/>
    </row>
  </sheetData>
  <mergeCells count="6">
    <mergeCell ref="A25:I25"/>
    <mergeCell ref="A24:I24"/>
    <mergeCell ref="A15:I15"/>
    <mergeCell ref="A16:I16"/>
    <mergeCell ref="A19:I19"/>
    <mergeCell ref="A20:I20"/>
  </mergeCells>
  <printOptions horizontalCentered="1"/>
  <pageMargins left="0.7874015748031497" right="0.7874015748031497" top="0.984251968503937" bottom="0.984251968503937" header="0.5118110236220472" footer="0.5118110236220472"/>
  <pageSetup horizontalDpi="150" verticalDpi="15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J1" sqref="J1"/>
    </sheetView>
  </sheetViews>
  <sheetFormatPr defaultColWidth="9.00390625" defaultRowHeight="12.75"/>
  <cols>
    <col min="1" max="1" width="11.375" style="58" customWidth="1"/>
    <col min="2" max="2" width="6.875" style="124" customWidth="1"/>
    <col min="3" max="3" width="11.375" style="124" customWidth="1"/>
    <col min="4" max="4" width="12.625" style="124" customWidth="1"/>
    <col min="5" max="5" width="8.00390625" style="125" customWidth="1"/>
    <col min="6" max="6" width="12.625" style="58" customWidth="1"/>
    <col min="7" max="7" width="15.00390625" style="124" bestFit="1" customWidth="1"/>
    <col min="8" max="8" width="12.625" style="58" customWidth="1"/>
    <col min="9" max="9" width="14.375" style="124" customWidth="1"/>
    <col min="10" max="10" width="9.375" style="58" customWidth="1"/>
    <col min="11" max="11" width="11.125" style="58" customWidth="1"/>
    <col min="12" max="16384" width="9.375" style="58" customWidth="1"/>
  </cols>
  <sheetData>
    <row r="1" spans="1:9" ht="12.75">
      <c r="A1" s="54" t="s">
        <v>95</v>
      </c>
      <c r="B1" s="131"/>
      <c r="C1" s="131"/>
      <c r="D1" s="54"/>
      <c r="E1" s="312" t="s">
        <v>125</v>
      </c>
      <c r="F1" s="56"/>
      <c r="G1" s="54"/>
      <c r="H1" s="57"/>
      <c r="I1" s="57"/>
    </row>
    <row r="2" spans="1:9" ht="12.75">
      <c r="A2" s="59" t="s">
        <v>15</v>
      </c>
      <c r="B2" s="60"/>
      <c r="C2" s="60"/>
      <c r="D2" s="60"/>
      <c r="E2" s="61"/>
      <c r="F2" s="60"/>
      <c r="G2" s="60"/>
      <c r="H2" s="60"/>
      <c r="I2" s="60"/>
    </row>
    <row r="3" spans="1:9" ht="12.75">
      <c r="A3" s="59" t="s">
        <v>93</v>
      </c>
      <c r="B3" s="60"/>
      <c r="C3" s="60"/>
      <c r="D3" s="60"/>
      <c r="E3" s="61"/>
      <c r="F3" s="60"/>
      <c r="G3" s="60"/>
      <c r="H3" s="60"/>
      <c r="I3" s="60"/>
    </row>
    <row r="4" spans="2:9" ht="12.75">
      <c r="B4" s="63"/>
      <c r="C4" s="63"/>
      <c r="D4" s="64"/>
      <c r="E4" s="65"/>
      <c r="F4" s="64"/>
      <c r="G4" s="64"/>
      <c r="H4" s="64"/>
      <c r="I4" s="64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313">
        <v>38252</v>
      </c>
      <c r="B8" s="91"/>
      <c r="C8" s="41">
        <v>212164432</v>
      </c>
      <c r="D8" s="41"/>
      <c r="E8" s="92"/>
      <c r="F8" s="41"/>
      <c r="G8" s="93"/>
      <c r="H8" s="93"/>
      <c r="I8" s="94"/>
    </row>
    <row r="9" spans="1:9" ht="12.75">
      <c r="A9" s="90">
        <v>38260</v>
      </c>
      <c r="B9" s="91">
        <f aca="true" t="shared" si="0" ref="B9:B66">A9-A8</f>
        <v>8</v>
      </c>
      <c r="C9" s="41">
        <v>212164432</v>
      </c>
      <c r="D9" s="41"/>
      <c r="E9" s="92">
        <v>0.1117</v>
      </c>
      <c r="F9" s="41">
        <v>526639</v>
      </c>
      <c r="G9" s="93"/>
      <c r="H9" s="93"/>
      <c r="I9" s="94"/>
    </row>
    <row r="10" spans="1:9" ht="12.75">
      <c r="A10" s="313">
        <v>38339</v>
      </c>
      <c r="B10" s="91">
        <f t="shared" si="0"/>
        <v>79</v>
      </c>
      <c r="C10" s="41">
        <f>C9+243593559</f>
        <v>455757991</v>
      </c>
      <c r="D10" s="41"/>
      <c r="E10" s="92"/>
      <c r="F10" s="91"/>
      <c r="G10" s="41"/>
      <c r="H10" s="91"/>
      <c r="I10" s="96"/>
    </row>
    <row r="11" spans="1:9" ht="12.75">
      <c r="A11" s="357">
        <v>38351</v>
      </c>
      <c r="B11" s="91">
        <f t="shared" si="0"/>
        <v>12</v>
      </c>
      <c r="C11" s="107">
        <f>455757991+10240292</f>
        <v>465998283</v>
      </c>
      <c r="D11" s="107"/>
      <c r="E11" s="255"/>
      <c r="F11" s="108"/>
      <c r="G11" s="107"/>
      <c r="H11" s="108"/>
      <c r="I11" s="109"/>
    </row>
    <row r="12" spans="1:9" ht="12.75">
      <c r="A12" s="97">
        <v>38352</v>
      </c>
      <c r="B12" s="98">
        <f t="shared" si="0"/>
        <v>1</v>
      </c>
      <c r="C12" s="99">
        <f>C11-D12</f>
        <v>465998283</v>
      </c>
      <c r="D12" s="99"/>
      <c r="E12" s="100">
        <v>0.111</v>
      </c>
      <c r="F12" s="99">
        <v>6998372</v>
      </c>
      <c r="G12" s="101">
        <f>SUM(F8:F12)</f>
        <v>7525011</v>
      </c>
      <c r="H12" s="101">
        <f>SUM(D8:D12)</f>
        <v>0</v>
      </c>
      <c r="I12" s="102">
        <f>SUM(G12:H12)</f>
        <v>7525011</v>
      </c>
    </row>
    <row r="13" spans="1:9" ht="12.75">
      <c r="A13" s="84">
        <v>38442</v>
      </c>
      <c r="B13" s="85">
        <f t="shared" si="0"/>
        <v>90</v>
      </c>
      <c r="C13" s="86">
        <f aca="true" t="shared" si="1" ref="C13:C58">C12-D13</f>
        <v>465998283</v>
      </c>
      <c r="D13" s="86"/>
      <c r="E13" s="87">
        <v>0.0946</v>
      </c>
      <c r="F13" s="86">
        <v>11042088</v>
      </c>
      <c r="G13" s="88"/>
      <c r="H13" s="88"/>
      <c r="I13" s="89"/>
    </row>
    <row r="14" spans="1:9" ht="12.75">
      <c r="A14" s="90">
        <v>38533</v>
      </c>
      <c r="B14" s="85">
        <f t="shared" si="0"/>
        <v>91</v>
      </c>
      <c r="C14" s="86">
        <f t="shared" si="1"/>
        <v>465998283</v>
      </c>
      <c r="D14" s="41"/>
      <c r="E14" s="92">
        <v>0.0784</v>
      </c>
      <c r="F14" s="41">
        <v>9256020</v>
      </c>
      <c r="G14" s="93"/>
      <c r="H14" s="93"/>
      <c r="I14" s="94"/>
    </row>
    <row r="15" spans="1:9" ht="12.75">
      <c r="A15" s="90">
        <v>38623</v>
      </c>
      <c r="B15" s="85">
        <f t="shared" si="0"/>
        <v>90</v>
      </c>
      <c r="C15" s="86">
        <f t="shared" si="1"/>
        <v>446015283</v>
      </c>
      <c r="D15" s="41">
        <v>19983000</v>
      </c>
      <c r="E15" s="92"/>
      <c r="F15" s="41"/>
      <c r="G15" s="93"/>
      <c r="H15" s="93"/>
      <c r="I15" s="94"/>
    </row>
    <row r="16" spans="1:9" ht="12.75">
      <c r="A16" s="90">
        <v>38625</v>
      </c>
      <c r="B16" s="85">
        <f t="shared" si="0"/>
        <v>2</v>
      </c>
      <c r="C16" s="41">
        <f>C15-D16</f>
        <v>446015283</v>
      </c>
      <c r="D16" s="41"/>
      <c r="E16" s="92">
        <v>0.0702</v>
      </c>
      <c r="F16" s="41">
        <v>8362830</v>
      </c>
      <c r="G16" s="93"/>
      <c r="H16" s="93"/>
      <c r="I16" s="94"/>
    </row>
    <row r="17" spans="1:9" ht="12.75">
      <c r="A17" s="313">
        <v>38653</v>
      </c>
      <c r="B17" s="85">
        <f t="shared" si="0"/>
        <v>28</v>
      </c>
      <c r="C17" s="86">
        <f>C16-D17+252794717</f>
        <v>698810000</v>
      </c>
      <c r="D17" s="41"/>
      <c r="E17" s="92"/>
      <c r="F17" s="41"/>
      <c r="G17" s="93"/>
      <c r="H17" s="93"/>
      <c r="I17" s="94"/>
    </row>
    <row r="18" spans="1:9" ht="12.75">
      <c r="A18" s="90">
        <v>38714</v>
      </c>
      <c r="B18" s="85">
        <f t="shared" si="0"/>
        <v>61</v>
      </c>
      <c r="C18" s="41">
        <f>C17-D18</f>
        <v>678844000</v>
      </c>
      <c r="D18" s="41">
        <v>19966000</v>
      </c>
      <c r="E18" s="92"/>
      <c r="F18" s="41"/>
      <c r="G18" s="93"/>
      <c r="H18" s="93"/>
      <c r="I18" s="94"/>
    </row>
    <row r="19" spans="1:9" ht="12.75">
      <c r="A19" s="97">
        <v>38716</v>
      </c>
      <c r="B19" s="98">
        <f t="shared" si="0"/>
        <v>2</v>
      </c>
      <c r="C19" s="99">
        <f t="shared" si="1"/>
        <v>678844000</v>
      </c>
      <c r="D19" s="99"/>
      <c r="E19" s="100">
        <v>0.061</v>
      </c>
      <c r="F19" s="99">
        <v>9580523</v>
      </c>
      <c r="G19" s="101">
        <f>SUM(F13:F19)</f>
        <v>38241461</v>
      </c>
      <c r="H19" s="101">
        <f>SUM(D13:D19)</f>
        <v>39949000</v>
      </c>
      <c r="I19" s="102">
        <f>SUM(G19:H19)</f>
        <v>78190461</v>
      </c>
    </row>
    <row r="20" spans="1:9" ht="12.75">
      <c r="A20" s="103">
        <v>38804</v>
      </c>
      <c r="B20" s="104">
        <f t="shared" si="0"/>
        <v>88</v>
      </c>
      <c r="C20" s="42">
        <f t="shared" si="1"/>
        <v>658878000</v>
      </c>
      <c r="D20" s="42">
        <f>D18</f>
        <v>19966000</v>
      </c>
      <c r="E20" s="105"/>
      <c r="F20" s="104"/>
      <c r="G20" s="42"/>
      <c r="H20" s="104"/>
      <c r="I20" s="106"/>
    </row>
    <row r="21" spans="1:9" ht="12.75">
      <c r="A21" s="90">
        <v>38807</v>
      </c>
      <c r="B21" s="91">
        <f t="shared" si="0"/>
        <v>3</v>
      </c>
      <c r="C21" s="41">
        <f t="shared" si="1"/>
        <v>658878000</v>
      </c>
      <c r="D21" s="41"/>
      <c r="E21" s="92">
        <v>0.0637</v>
      </c>
      <c r="F21" s="41">
        <v>10909927</v>
      </c>
      <c r="G21" s="41"/>
      <c r="H21" s="91"/>
      <c r="I21" s="96"/>
    </row>
    <row r="22" spans="1:9" ht="12.75">
      <c r="A22" s="90">
        <v>38896</v>
      </c>
      <c r="B22" s="91">
        <f t="shared" si="0"/>
        <v>89</v>
      </c>
      <c r="C22" s="41">
        <f t="shared" si="1"/>
        <v>638912000</v>
      </c>
      <c r="D22" s="41">
        <f>D20</f>
        <v>19966000</v>
      </c>
      <c r="E22" s="95"/>
      <c r="F22" s="91"/>
      <c r="G22" s="41"/>
      <c r="H22" s="91"/>
      <c r="I22" s="96"/>
    </row>
    <row r="23" spans="1:9" ht="12.75">
      <c r="A23" s="90">
        <v>38898</v>
      </c>
      <c r="B23" s="91">
        <f t="shared" si="0"/>
        <v>2</v>
      </c>
      <c r="C23" s="41">
        <f t="shared" si="1"/>
        <v>638912000</v>
      </c>
      <c r="D23" s="41"/>
      <c r="E23" s="92">
        <v>0.0643</v>
      </c>
      <c r="F23" s="41">
        <v>10700916</v>
      </c>
      <c r="G23" s="41"/>
      <c r="H23" s="91"/>
      <c r="I23" s="96"/>
    </row>
    <row r="24" spans="1:9" ht="12.75">
      <c r="A24" s="90">
        <v>38988</v>
      </c>
      <c r="B24" s="91">
        <f t="shared" si="0"/>
        <v>90</v>
      </c>
      <c r="C24" s="41">
        <f t="shared" si="1"/>
        <v>618946000</v>
      </c>
      <c r="D24" s="41">
        <f>D22</f>
        <v>19966000</v>
      </c>
      <c r="E24" s="95"/>
      <c r="F24" s="91"/>
      <c r="G24" s="41"/>
      <c r="H24" s="91"/>
      <c r="I24" s="96"/>
    </row>
    <row r="25" spans="1:9" ht="12.75">
      <c r="A25" s="90">
        <v>38989</v>
      </c>
      <c r="B25" s="91">
        <f t="shared" si="0"/>
        <v>1</v>
      </c>
      <c r="C25" s="41">
        <f t="shared" si="1"/>
        <v>618946000</v>
      </c>
      <c r="D25" s="41"/>
      <c r="E25" s="92">
        <v>0.0677</v>
      </c>
      <c r="F25" s="41">
        <v>10923948</v>
      </c>
      <c r="G25" s="41"/>
      <c r="H25" s="91"/>
      <c r="I25" s="96"/>
    </row>
    <row r="26" spans="1:9" ht="12.75">
      <c r="A26" s="90">
        <v>38991</v>
      </c>
      <c r="B26" s="91">
        <f>A26-A25</f>
        <v>2</v>
      </c>
      <c r="C26" s="41">
        <f>C25-D26</f>
        <v>618946000</v>
      </c>
      <c r="D26" s="41"/>
      <c r="E26" s="92">
        <v>0.0677</v>
      </c>
      <c r="F26" s="41"/>
      <c r="G26" s="41"/>
      <c r="H26" s="91"/>
      <c r="I26" s="96"/>
    </row>
    <row r="27" spans="1:9" ht="12.75">
      <c r="A27" s="90">
        <v>39079</v>
      </c>
      <c r="B27" s="91">
        <f>A27-A26</f>
        <v>88</v>
      </c>
      <c r="C27" s="41">
        <f>C26-D27</f>
        <v>598980000</v>
      </c>
      <c r="D27" s="41">
        <f>D24</f>
        <v>19966000</v>
      </c>
      <c r="E27" s="95"/>
      <c r="F27" s="91"/>
      <c r="G27" s="41"/>
      <c r="H27" s="91"/>
      <c r="I27" s="96"/>
    </row>
    <row r="28" spans="1:9" ht="12.75">
      <c r="A28" s="97">
        <v>39080</v>
      </c>
      <c r="B28" s="98">
        <f t="shared" si="0"/>
        <v>1</v>
      </c>
      <c r="C28" s="99">
        <f t="shared" si="1"/>
        <v>598980000</v>
      </c>
      <c r="D28" s="99"/>
      <c r="E28" s="100">
        <v>0.0804</v>
      </c>
      <c r="F28" s="99">
        <v>12530917</v>
      </c>
      <c r="G28" s="101">
        <f>SUM(F21:F28)</f>
        <v>45065708</v>
      </c>
      <c r="H28" s="101">
        <f>SUM(D20:D28)</f>
        <v>79864000</v>
      </c>
      <c r="I28" s="102">
        <f>SUM(G28:H28)</f>
        <v>124929708</v>
      </c>
    </row>
    <row r="29" spans="1:9" ht="12.75">
      <c r="A29" s="103">
        <v>39169</v>
      </c>
      <c r="B29" s="104">
        <f t="shared" si="0"/>
        <v>89</v>
      </c>
      <c r="C29" s="42">
        <f t="shared" si="1"/>
        <v>579014000</v>
      </c>
      <c r="D29" s="42">
        <f>D27</f>
        <v>19966000</v>
      </c>
      <c r="E29" s="105"/>
      <c r="F29" s="104"/>
      <c r="G29" s="42"/>
      <c r="H29" s="104"/>
      <c r="I29" s="106"/>
    </row>
    <row r="30" spans="1:9" ht="12.75">
      <c r="A30" s="90">
        <v>39172</v>
      </c>
      <c r="B30" s="91">
        <f t="shared" si="0"/>
        <v>3</v>
      </c>
      <c r="C30" s="41">
        <f t="shared" si="1"/>
        <v>579014000</v>
      </c>
      <c r="D30" s="41"/>
      <c r="E30" s="92">
        <v>0.0818</v>
      </c>
      <c r="F30" s="41">
        <f>((C29+D29)*E30/360*B29)+((C30+D30)*E30/360*B30)</f>
        <v>12507733.976666668</v>
      </c>
      <c r="G30" s="41"/>
      <c r="H30" s="91"/>
      <c r="I30" s="96"/>
    </row>
    <row r="31" spans="1:9" ht="12.75">
      <c r="A31" s="90">
        <v>39261</v>
      </c>
      <c r="B31" s="91">
        <f t="shared" si="0"/>
        <v>89</v>
      </c>
      <c r="C31" s="41">
        <f t="shared" si="1"/>
        <v>559048000</v>
      </c>
      <c r="D31" s="41">
        <f>D29</f>
        <v>19966000</v>
      </c>
      <c r="E31" s="95"/>
      <c r="F31" s="91"/>
      <c r="G31" s="41"/>
      <c r="H31" s="91"/>
      <c r="I31" s="96"/>
    </row>
    <row r="32" spans="1:9" ht="12.75">
      <c r="A32" s="90">
        <v>39263</v>
      </c>
      <c r="B32" s="91">
        <f t="shared" si="0"/>
        <v>2</v>
      </c>
      <c r="C32" s="41">
        <f t="shared" si="1"/>
        <v>559048000</v>
      </c>
      <c r="D32" s="41"/>
      <c r="E32" s="92">
        <f>E30</f>
        <v>0.0818</v>
      </c>
      <c r="F32" s="41">
        <f>((C31+D31)*E32/360*B31)+((C32+D32)*E32/360*B32)</f>
        <v>11963327.709999999</v>
      </c>
      <c r="G32" s="41"/>
      <c r="H32" s="91"/>
      <c r="I32" s="96"/>
    </row>
    <row r="33" spans="1:9" ht="12.75">
      <c r="A33" s="90">
        <v>39353</v>
      </c>
      <c r="B33" s="91">
        <f t="shared" si="0"/>
        <v>90</v>
      </c>
      <c r="C33" s="41">
        <f t="shared" si="1"/>
        <v>539082000</v>
      </c>
      <c r="D33" s="41">
        <f>D31</f>
        <v>19966000</v>
      </c>
      <c r="E33" s="95"/>
      <c r="F33" s="91"/>
      <c r="G33" s="41"/>
      <c r="H33" s="91"/>
      <c r="I33" s="96"/>
    </row>
    <row r="34" spans="1:9" ht="12.75">
      <c r="A34" s="90">
        <v>39355</v>
      </c>
      <c r="B34" s="91">
        <f t="shared" si="0"/>
        <v>2</v>
      </c>
      <c r="C34" s="41">
        <f t="shared" si="1"/>
        <v>539082000</v>
      </c>
      <c r="D34" s="41"/>
      <c r="E34" s="92">
        <f>E32</f>
        <v>0.0818</v>
      </c>
      <c r="F34" s="41">
        <f>((C33+D33)*E34/360*B33)+((C34+D34)*E34/360*B34)</f>
        <v>11677514.42</v>
      </c>
      <c r="G34" s="41"/>
      <c r="H34" s="91"/>
      <c r="I34" s="96"/>
    </row>
    <row r="35" spans="1:9" ht="12.75">
      <c r="A35" s="90">
        <v>39444</v>
      </c>
      <c r="B35" s="91">
        <f t="shared" si="0"/>
        <v>89</v>
      </c>
      <c r="C35" s="41">
        <f t="shared" si="1"/>
        <v>519116000</v>
      </c>
      <c r="D35" s="41">
        <f>D33</f>
        <v>19966000</v>
      </c>
      <c r="E35" s="95"/>
      <c r="F35" s="91"/>
      <c r="G35" s="41"/>
      <c r="H35" s="91"/>
      <c r="I35" s="96"/>
    </row>
    <row r="36" spans="1:9" ht="12.75">
      <c r="A36" s="97">
        <v>39447</v>
      </c>
      <c r="B36" s="98">
        <f t="shared" si="0"/>
        <v>3</v>
      </c>
      <c r="C36" s="99">
        <f t="shared" si="1"/>
        <v>519116000</v>
      </c>
      <c r="D36" s="99"/>
      <c r="E36" s="100">
        <f>E34</f>
        <v>0.0818</v>
      </c>
      <c r="F36" s="99">
        <f>((C35+D35)*E36/360*B35)+((C36+D36)*E36/360*B36)</f>
        <v>11255599.563333334</v>
      </c>
      <c r="G36" s="101">
        <f>SUM(F30:F36)</f>
        <v>47404175.67</v>
      </c>
      <c r="H36" s="101">
        <f>SUM(D29:D36)</f>
        <v>79864000</v>
      </c>
      <c r="I36" s="102">
        <f>SUM(G36:H36)</f>
        <v>127268175.67</v>
      </c>
    </row>
    <row r="37" spans="1:9" ht="12.75">
      <c r="A37" s="103">
        <v>39535</v>
      </c>
      <c r="B37" s="104">
        <f t="shared" si="0"/>
        <v>88</v>
      </c>
      <c r="C37" s="42">
        <f t="shared" si="1"/>
        <v>499150000</v>
      </c>
      <c r="D37" s="42">
        <f>D35</f>
        <v>19966000</v>
      </c>
      <c r="E37" s="105"/>
      <c r="F37" s="104"/>
      <c r="G37" s="42"/>
      <c r="H37" s="104"/>
      <c r="I37" s="106"/>
    </row>
    <row r="38" spans="1:9" ht="12.75">
      <c r="A38" s="90">
        <v>39538</v>
      </c>
      <c r="B38" s="91">
        <f t="shared" si="0"/>
        <v>3</v>
      </c>
      <c r="C38" s="41">
        <f t="shared" si="1"/>
        <v>499150000</v>
      </c>
      <c r="D38" s="41"/>
      <c r="E38" s="92">
        <f>E36</f>
        <v>0.0818</v>
      </c>
      <c r="F38" s="41">
        <f>((C37+D37)*E38/360*B37)+((C38+D38)*E38/360*B38)</f>
        <v>10720266.734444443</v>
      </c>
      <c r="G38" s="41"/>
      <c r="H38" s="91"/>
      <c r="I38" s="96"/>
    </row>
    <row r="39" spans="1:9" ht="12.75">
      <c r="A39" s="90">
        <v>39627</v>
      </c>
      <c r="B39" s="91">
        <f t="shared" si="0"/>
        <v>89</v>
      </c>
      <c r="C39" s="41">
        <f t="shared" si="1"/>
        <v>479184000</v>
      </c>
      <c r="D39" s="41">
        <f>D37</f>
        <v>19966000</v>
      </c>
      <c r="E39" s="95"/>
      <c r="F39" s="91"/>
      <c r="G39" s="41"/>
      <c r="H39" s="91"/>
      <c r="I39" s="96"/>
    </row>
    <row r="40" spans="1:9" ht="12.75">
      <c r="A40" s="90">
        <v>39629</v>
      </c>
      <c r="B40" s="91">
        <f t="shared" si="0"/>
        <v>2</v>
      </c>
      <c r="C40" s="41">
        <f t="shared" si="1"/>
        <v>479184000</v>
      </c>
      <c r="D40" s="41"/>
      <c r="E40" s="92">
        <f>E38</f>
        <v>0.0818</v>
      </c>
      <c r="F40" s="41">
        <f>((C39+D39)*E40/360*B39)+((C40+D40)*E40/360*B40)</f>
        <v>10311962.034444444</v>
      </c>
      <c r="G40" s="41"/>
      <c r="H40" s="91"/>
      <c r="I40" s="96"/>
    </row>
    <row r="41" spans="1:9" ht="12.75">
      <c r="A41" s="90">
        <v>39719</v>
      </c>
      <c r="B41" s="91">
        <f t="shared" si="0"/>
        <v>90</v>
      </c>
      <c r="C41" s="41">
        <f t="shared" si="1"/>
        <v>459218000</v>
      </c>
      <c r="D41" s="41">
        <f>D39</f>
        <v>19966000</v>
      </c>
      <c r="E41" s="95"/>
      <c r="F41" s="91"/>
      <c r="G41" s="41"/>
      <c r="H41" s="91"/>
      <c r="I41" s="96"/>
    </row>
    <row r="42" spans="1:9" ht="12.75">
      <c r="A42" s="90">
        <v>39721</v>
      </c>
      <c r="B42" s="91">
        <f t="shared" si="0"/>
        <v>2</v>
      </c>
      <c r="C42" s="41">
        <f t="shared" si="1"/>
        <v>459218000</v>
      </c>
      <c r="D42" s="41"/>
      <c r="E42" s="92">
        <f>E40</f>
        <v>0.0818</v>
      </c>
      <c r="F42" s="41">
        <f>((C41+D41)*E42/360*B41)+((C42+D42)*E42/360*B42)</f>
        <v>10008001.868888889</v>
      </c>
      <c r="G42" s="41"/>
      <c r="H42" s="91"/>
      <c r="I42" s="96"/>
    </row>
    <row r="43" spans="1:9" ht="12.75">
      <c r="A43" s="90">
        <v>39810</v>
      </c>
      <c r="B43" s="91">
        <f t="shared" si="0"/>
        <v>89</v>
      </c>
      <c r="C43" s="41">
        <f t="shared" si="1"/>
        <v>439252000</v>
      </c>
      <c r="D43" s="41">
        <f>D41</f>
        <v>19966000</v>
      </c>
      <c r="E43" s="95"/>
      <c r="F43" s="91"/>
      <c r="G43" s="41"/>
      <c r="H43" s="91"/>
      <c r="I43" s="96"/>
    </row>
    <row r="44" spans="1:9" ht="12.75">
      <c r="A44" s="97">
        <v>39813</v>
      </c>
      <c r="B44" s="98">
        <f t="shared" si="0"/>
        <v>3</v>
      </c>
      <c r="C44" s="99">
        <f t="shared" si="1"/>
        <v>439252000</v>
      </c>
      <c r="D44" s="99"/>
      <c r="E44" s="100">
        <f>E42</f>
        <v>0.0818</v>
      </c>
      <c r="F44" s="99">
        <f>((C43+D43)*E44/360*B43)+((C44+D44)*E44/360*B44)</f>
        <v>9586087.012222221</v>
      </c>
      <c r="G44" s="101">
        <f>SUM(F38:F44)</f>
        <v>40626317.65</v>
      </c>
      <c r="H44" s="101">
        <f>SUM(D37:D44)</f>
        <v>79864000</v>
      </c>
      <c r="I44" s="102">
        <f>SUM(G44:H44)</f>
        <v>120490317.65</v>
      </c>
    </row>
    <row r="45" spans="1:9" ht="12.75">
      <c r="A45" s="103">
        <v>39900</v>
      </c>
      <c r="B45" s="104">
        <f t="shared" si="0"/>
        <v>87</v>
      </c>
      <c r="C45" s="42">
        <f t="shared" si="1"/>
        <v>419286000</v>
      </c>
      <c r="D45" s="42">
        <f>D43</f>
        <v>19966000</v>
      </c>
      <c r="E45" s="105"/>
      <c r="F45" s="104"/>
      <c r="G45" s="42"/>
      <c r="H45" s="104"/>
      <c r="I45" s="106"/>
    </row>
    <row r="46" spans="1:9" ht="12.75">
      <c r="A46" s="90">
        <v>39903</v>
      </c>
      <c r="B46" s="91">
        <f t="shared" si="0"/>
        <v>3</v>
      </c>
      <c r="C46" s="41">
        <f t="shared" si="1"/>
        <v>419286000</v>
      </c>
      <c r="D46" s="41"/>
      <c r="E46" s="92">
        <f>E44</f>
        <v>0.0818</v>
      </c>
      <c r="F46" s="41">
        <f>((C45+D45)*E46/360*B45)+((C46+D46)*E46/360*B46)</f>
        <v>8969093.243333332</v>
      </c>
      <c r="G46" s="41"/>
      <c r="H46" s="91"/>
      <c r="I46" s="96"/>
    </row>
    <row r="47" spans="1:9" ht="12.75">
      <c r="A47" s="90">
        <v>39992</v>
      </c>
      <c r="B47" s="91">
        <f t="shared" si="0"/>
        <v>89</v>
      </c>
      <c r="C47" s="41">
        <f t="shared" si="1"/>
        <v>399320000</v>
      </c>
      <c r="D47" s="41">
        <f>D45</f>
        <v>19966000</v>
      </c>
      <c r="E47" s="95"/>
      <c r="F47" s="91"/>
      <c r="G47" s="41"/>
      <c r="H47" s="91"/>
      <c r="I47" s="96"/>
    </row>
    <row r="48" spans="1:9" ht="12.75">
      <c r="A48" s="90">
        <v>39994</v>
      </c>
      <c r="B48" s="91">
        <f t="shared" si="0"/>
        <v>2</v>
      </c>
      <c r="C48" s="41">
        <f t="shared" si="1"/>
        <v>399320000</v>
      </c>
      <c r="D48" s="41"/>
      <c r="E48" s="92">
        <f>E46</f>
        <v>0.0818</v>
      </c>
      <c r="F48" s="41">
        <f>((C47+D47)*E48/360*B47)+((C48+D48)*E48/360*B48)</f>
        <v>8660596.358888889</v>
      </c>
      <c r="G48" s="41"/>
      <c r="H48" s="91"/>
      <c r="I48" s="96"/>
    </row>
    <row r="49" spans="1:9" ht="12.75">
      <c r="A49" s="90">
        <v>40084</v>
      </c>
      <c r="B49" s="91">
        <f t="shared" si="0"/>
        <v>90</v>
      </c>
      <c r="C49" s="41">
        <f t="shared" si="1"/>
        <v>379354000</v>
      </c>
      <c r="D49" s="41">
        <f>D47</f>
        <v>19966000</v>
      </c>
      <c r="E49" s="95"/>
      <c r="F49" s="91"/>
      <c r="G49" s="41"/>
      <c r="H49" s="91"/>
      <c r="I49" s="96"/>
    </row>
    <row r="50" spans="1:9" ht="12.75">
      <c r="A50" s="90">
        <v>40086</v>
      </c>
      <c r="B50" s="91">
        <f t="shared" si="0"/>
        <v>2</v>
      </c>
      <c r="C50" s="41">
        <f t="shared" si="1"/>
        <v>379354000</v>
      </c>
      <c r="D50" s="41"/>
      <c r="E50" s="92">
        <f>E48</f>
        <v>0.0818</v>
      </c>
      <c r="F50" s="41">
        <f>((C49+D49)*E50/360*B49)+((C50+D50)*E50/360*B50)</f>
        <v>8338489.317777777</v>
      </c>
      <c r="G50" s="41"/>
      <c r="H50" s="91"/>
      <c r="I50" s="96"/>
    </row>
    <row r="51" spans="1:9" ht="12.75">
      <c r="A51" s="90">
        <v>40175</v>
      </c>
      <c r="B51" s="91">
        <f t="shared" si="0"/>
        <v>89</v>
      </c>
      <c r="C51" s="41">
        <f t="shared" si="1"/>
        <v>359388000</v>
      </c>
      <c r="D51" s="41">
        <f>D49</f>
        <v>19966000</v>
      </c>
      <c r="E51" s="95"/>
      <c r="F51" s="91"/>
      <c r="G51" s="41"/>
      <c r="H51" s="91"/>
      <c r="I51" s="96"/>
    </row>
    <row r="52" spans="1:9" ht="12.75">
      <c r="A52" s="97">
        <v>40178</v>
      </c>
      <c r="B52" s="98">
        <f t="shared" si="0"/>
        <v>3</v>
      </c>
      <c r="C52" s="99">
        <f t="shared" si="1"/>
        <v>359388000</v>
      </c>
      <c r="D52" s="99"/>
      <c r="E52" s="100">
        <f>E50</f>
        <v>0.0818</v>
      </c>
      <c r="F52" s="99">
        <f>((C51+D51)*E52/360*B51)+((C52+D52)*E52/360*B52)</f>
        <v>7916574.461111111</v>
      </c>
      <c r="G52" s="101">
        <f>SUM(F46:F52)</f>
        <v>33884753.38111111</v>
      </c>
      <c r="H52" s="101">
        <f>SUM(D45:D52)</f>
        <v>79864000</v>
      </c>
      <c r="I52" s="102">
        <f>SUM(G52:H52)</f>
        <v>113748753.38111112</v>
      </c>
    </row>
    <row r="53" spans="1:9" ht="12.75">
      <c r="A53" s="103">
        <v>40265</v>
      </c>
      <c r="B53" s="104">
        <f t="shared" si="0"/>
        <v>87</v>
      </c>
      <c r="C53" s="42">
        <f t="shared" si="1"/>
        <v>339422000</v>
      </c>
      <c r="D53" s="42">
        <f>D51</f>
        <v>19966000</v>
      </c>
      <c r="E53" s="105"/>
      <c r="F53" s="104"/>
      <c r="G53" s="42"/>
      <c r="H53" s="104"/>
      <c r="I53" s="106"/>
    </row>
    <row r="54" spans="1:9" ht="12.75">
      <c r="A54" s="90">
        <v>40268</v>
      </c>
      <c r="B54" s="91">
        <f t="shared" si="0"/>
        <v>3</v>
      </c>
      <c r="C54" s="41">
        <f t="shared" si="1"/>
        <v>339422000</v>
      </c>
      <c r="D54" s="41"/>
      <c r="E54" s="92">
        <f>E52</f>
        <v>0.0818</v>
      </c>
      <c r="F54" s="41">
        <f>((C53+D53)*E54/360*B53)+((C54+D54)*E54/360*B54)</f>
        <v>7335874.443333333</v>
      </c>
      <c r="G54" s="41"/>
      <c r="H54" s="91"/>
      <c r="I54" s="96"/>
    </row>
    <row r="55" spans="1:9" ht="12.75">
      <c r="A55" s="90">
        <v>40357</v>
      </c>
      <c r="B55" s="91">
        <f t="shared" si="0"/>
        <v>89</v>
      </c>
      <c r="C55" s="41">
        <f t="shared" si="1"/>
        <v>319456000</v>
      </c>
      <c r="D55" s="41">
        <f>D53</f>
        <v>19966000</v>
      </c>
      <c r="E55" s="92"/>
      <c r="F55" s="41"/>
      <c r="G55" s="41"/>
      <c r="H55" s="91"/>
      <c r="I55" s="96"/>
    </row>
    <row r="56" spans="1:9" ht="12.75">
      <c r="A56" s="90">
        <v>40359</v>
      </c>
      <c r="B56" s="91">
        <f t="shared" si="0"/>
        <v>2</v>
      </c>
      <c r="C56" s="41">
        <f t="shared" si="1"/>
        <v>319456000</v>
      </c>
      <c r="D56" s="41"/>
      <c r="E56" s="92">
        <f>E54</f>
        <v>0.0818</v>
      </c>
      <c r="F56" s="41">
        <f>((C55+D55)*E56/360*B55)+((C56+D56)*E56/360*B56)</f>
        <v>7009230.683333334</v>
      </c>
      <c r="G56" s="41"/>
      <c r="H56" s="91"/>
      <c r="I56" s="96"/>
    </row>
    <row r="57" spans="1:9" ht="12.75">
      <c r="A57" s="90">
        <v>40449</v>
      </c>
      <c r="B57" s="91">
        <f t="shared" si="0"/>
        <v>90</v>
      </c>
      <c r="C57" s="41">
        <f t="shared" si="1"/>
        <v>299490000</v>
      </c>
      <c r="D57" s="41">
        <f>D55</f>
        <v>19966000</v>
      </c>
      <c r="E57" s="92"/>
      <c r="F57" s="41"/>
      <c r="G57" s="41"/>
      <c r="H57" s="91"/>
      <c r="I57" s="96"/>
    </row>
    <row r="58" spans="1:9" ht="12.75">
      <c r="A58" s="90">
        <v>40451</v>
      </c>
      <c r="B58" s="91">
        <f t="shared" si="0"/>
        <v>2</v>
      </c>
      <c r="C58" s="41">
        <f t="shared" si="1"/>
        <v>299490000</v>
      </c>
      <c r="D58" s="41"/>
      <c r="E58" s="92">
        <f>E56</f>
        <v>0.0818</v>
      </c>
      <c r="F58" s="41">
        <f>((C57+D57)*E58/360*B57)+((C58+D58)*E58/360*B58)</f>
        <v>6668976.766666666</v>
      </c>
      <c r="G58" s="41"/>
      <c r="H58" s="91"/>
      <c r="I58" s="96"/>
    </row>
    <row r="59" spans="1:9" ht="12.75">
      <c r="A59" s="90">
        <v>40540</v>
      </c>
      <c r="B59" s="91">
        <f t="shared" si="0"/>
        <v>89</v>
      </c>
      <c r="C59" s="41">
        <f>C58-D59</f>
        <v>279524000</v>
      </c>
      <c r="D59" s="41">
        <f>D57</f>
        <v>19966000</v>
      </c>
      <c r="E59" s="95"/>
      <c r="F59" s="91"/>
      <c r="G59" s="41"/>
      <c r="H59" s="91"/>
      <c r="I59" s="96"/>
    </row>
    <row r="60" spans="1:9" ht="12.75">
      <c r="A60" s="97">
        <v>40543</v>
      </c>
      <c r="B60" s="98">
        <f t="shared" si="0"/>
        <v>3</v>
      </c>
      <c r="C60" s="99">
        <f>C59-D60</f>
        <v>279524000</v>
      </c>
      <c r="D60" s="99"/>
      <c r="E60" s="100">
        <f>E58</f>
        <v>0.0818</v>
      </c>
      <c r="F60" s="99">
        <f>((C59+D59)*E60/360*B59)</f>
        <v>6056519.716666668</v>
      </c>
      <c r="G60" s="101">
        <f>SUM(F53:F60)</f>
        <v>27070601.61</v>
      </c>
      <c r="H60" s="101">
        <f>SUM(D53:D60)</f>
        <v>79864000</v>
      </c>
      <c r="I60" s="102">
        <f>SUM(G60:H60)</f>
        <v>106934601.61</v>
      </c>
    </row>
    <row r="61" spans="1:9" ht="12.75">
      <c r="A61" s="103">
        <v>40630</v>
      </c>
      <c r="B61" s="104">
        <f t="shared" si="0"/>
        <v>87</v>
      </c>
      <c r="C61" s="42">
        <f aca="true" t="shared" si="2" ref="C61:C66">C60-D61</f>
        <v>259558000</v>
      </c>
      <c r="D61" s="42">
        <f>D59</f>
        <v>19966000</v>
      </c>
      <c r="E61" s="105"/>
      <c r="F61" s="104"/>
      <c r="G61" s="42"/>
      <c r="H61" s="104"/>
      <c r="I61" s="106"/>
    </row>
    <row r="62" spans="1:9" ht="12.75">
      <c r="A62" s="90">
        <v>40633</v>
      </c>
      <c r="B62" s="91">
        <f t="shared" si="0"/>
        <v>3</v>
      </c>
      <c r="C62" s="41">
        <f t="shared" si="2"/>
        <v>259558000</v>
      </c>
      <c r="D62" s="41"/>
      <c r="E62" s="92">
        <f>E60</f>
        <v>0.0818</v>
      </c>
      <c r="F62" s="41">
        <f>((C61+D61)*E62/360*B61)+((C62+D62)*E62/360*B62)</f>
        <v>5702655.643333334</v>
      </c>
      <c r="G62" s="41"/>
      <c r="H62" s="91"/>
      <c r="I62" s="96"/>
    </row>
    <row r="63" spans="1:9" ht="12.75">
      <c r="A63" s="90">
        <v>40722</v>
      </c>
      <c r="B63" s="91">
        <f t="shared" si="0"/>
        <v>89</v>
      </c>
      <c r="C63" s="41">
        <f t="shared" si="2"/>
        <v>239592000</v>
      </c>
      <c r="D63" s="41">
        <f>D61</f>
        <v>19966000</v>
      </c>
      <c r="E63" s="92"/>
      <c r="F63" s="41"/>
      <c r="G63" s="41"/>
      <c r="H63" s="91"/>
      <c r="I63" s="96"/>
    </row>
    <row r="64" spans="1:9" ht="12.75">
      <c r="A64" s="90">
        <v>40724</v>
      </c>
      <c r="B64" s="91">
        <f t="shared" si="0"/>
        <v>2</v>
      </c>
      <c r="C64" s="41">
        <f t="shared" si="2"/>
        <v>239592000</v>
      </c>
      <c r="D64" s="41"/>
      <c r="E64" s="92">
        <f>E62</f>
        <v>0.0818</v>
      </c>
      <c r="F64" s="41">
        <f>((C63+D63)*E64/360*B63)+((C64+D64)*E64/360*B64)</f>
        <v>5357865.007777777</v>
      </c>
      <c r="G64" s="41"/>
      <c r="H64" s="91"/>
      <c r="I64" s="96"/>
    </row>
    <row r="65" spans="1:9" ht="12.75">
      <c r="A65" s="90">
        <v>40814</v>
      </c>
      <c r="B65" s="91">
        <f t="shared" si="0"/>
        <v>90</v>
      </c>
      <c r="C65" s="41">
        <f t="shared" si="2"/>
        <v>219626000</v>
      </c>
      <c r="D65" s="41">
        <f>D63</f>
        <v>19966000</v>
      </c>
      <c r="E65" s="92"/>
      <c r="F65" s="41"/>
      <c r="G65" s="41"/>
      <c r="H65" s="91"/>
      <c r="I65" s="96"/>
    </row>
    <row r="66" spans="1:9" ht="12.75">
      <c r="A66" s="90">
        <v>40816</v>
      </c>
      <c r="B66" s="91">
        <f t="shared" si="0"/>
        <v>2</v>
      </c>
      <c r="C66" s="41">
        <f t="shared" si="2"/>
        <v>219626000</v>
      </c>
      <c r="D66" s="41"/>
      <c r="E66" s="92">
        <f>E64</f>
        <v>0.0818</v>
      </c>
      <c r="F66" s="41">
        <f>((C65+D65)*E66/360*B65)+((C66+D66)*E66/360*B66)</f>
        <v>4999464.215555555</v>
      </c>
      <c r="G66" s="41"/>
      <c r="H66" s="91"/>
      <c r="I66" s="96"/>
    </row>
    <row r="67" spans="1:9" ht="12.75">
      <c r="A67" s="90">
        <v>40905</v>
      </c>
      <c r="B67" s="91">
        <f>A67-A66</f>
        <v>89</v>
      </c>
      <c r="C67" s="41">
        <f>C66-D67</f>
        <v>199660000</v>
      </c>
      <c r="D67" s="41">
        <f>D65</f>
        <v>19966000</v>
      </c>
      <c r="E67" s="95"/>
      <c r="F67" s="91"/>
      <c r="G67" s="41"/>
      <c r="H67" s="91"/>
      <c r="I67" s="96"/>
    </row>
    <row r="68" spans="1:9" ht="12.75">
      <c r="A68" s="97">
        <v>40908</v>
      </c>
      <c r="B68" s="98">
        <f>A68-A67</f>
        <v>3</v>
      </c>
      <c r="C68" s="99">
        <f>C67-D68</f>
        <v>199660000</v>
      </c>
      <c r="D68" s="99"/>
      <c r="E68" s="100">
        <f>E66</f>
        <v>0.0818</v>
      </c>
      <c r="F68" s="99">
        <f>((C67+D67)*E68/360*B67)</f>
        <v>4441447.792222222</v>
      </c>
      <c r="G68" s="101">
        <f>SUM(F61:F68)</f>
        <v>20501432.65888889</v>
      </c>
      <c r="H68" s="101">
        <f>SUM(D61:D68)</f>
        <v>79864000</v>
      </c>
      <c r="I68" s="102">
        <f>SUM(G68:H68)</f>
        <v>100365432.65888889</v>
      </c>
    </row>
    <row r="69" spans="1:9" ht="12.75">
      <c r="A69" s="103">
        <v>40996</v>
      </c>
      <c r="B69" s="104">
        <f aca="true" t="shared" si="3" ref="B69:B87">A69-A68</f>
        <v>88</v>
      </c>
      <c r="C69" s="42">
        <f aca="true" t="shared" si="4" ref="C69:C87">C68-D69</f>
        <v>179694000</v>
      </c>
      <c r="D69" s="42">
        <f>D67</f>
        <v>19966000</v>
      </c>
      <c r="E69" s="105"/>
      <c r="F69" s="104"/>
      <c r="G69" s="42"/>
      <c r="H69" s="104"/>
      <c r="I69" s="106"/>
    </row>
    <row r="70" spans="1:9" ht="12.75">
      <c r="A70" s="90">
        <v>40999</v>
      </c>
      <c r="B70" s="91">
        <f t="shared" si="3"/>
        <v>3</v>
      </c>
      <c r="C70" s="41">
        <f t="shared" si="4"/>
        <v>179694000</v>
      </c>
      <c r="D70" s="41"/>
      <c r="E70" s="92">
        <f>E68</f>
        <v>0.0818</v>
      </c>
      <c r="F70" s="41">
        <f>((C69+D69)*E70/360*B69)+((C70+D70)*E70/360*B70)</f>
        <v>4114804.032222222</v>
      </c>
      <c r="G70" s="41"/>
      <c r="H70" s="91"/>
      <c r="I70" s="96"/>
    </row>
    <row r="71" spans="1:9" ht="12.75">
      <c r="A71" s="90">
        <v>41088</v>
      </c>
      <c r="B71" s="91">
        <f t="shared" si="3"/>
        <v>89</v>
      </c>
      <c r="C71" s="41">
        <f t="shared" si="4"/>
        <v>159728000</v>
      </c>
      <c r="D71" s="41">
        <f>D69</f>
        <v>19966000</v>
      </c>
      <c r="E71" s="92"/>
      <c r="F71" s="41"/>
      <c r="G71" s="41"/>
      <c r="H71" s="91"/>
      <c r="I71" s="96"/>
    </row>
    <row r="72" spans="1:9" ht="12.75">
      <c r="A72" s="90">
        <v>41090</v>
      </c>
      <c r="B72" s="91">
        <f t="shared" si="3"/>
        <v>2</v>
      </c>
      <c r="C72" s="41">
        <f t="shared" si="4"/>
        <v>159728000</v>
      </c>
      <c r="D72" s="41"/>
      <c r="E72" s="92">
        <f>E70</f>
        <v>0.0818</v>
      </c>
      <c r="F72" s="41">
        <f>((C71+D71)*E72/360*B71)+((C72+D72)*E72/360*B72)</f>
        <v>3706499.3322222224</v>
      </c>
      <c r="G72" s="41"/>
      <c r="H72" s="91"/>
      <c r="I72" s="96"/>
    </row>
    <row r="73" spans="1:9" ht="12.75">
      <c r="A73" s="90">
        <v>41180</v>
      </c>
      <c r="B73" s="91">
        <f t="shared" si="3"/>
        <v>90</v>
      </c>
      <c r="C73" s="41">
        <f t="shared" si="4"/>
        <v>139762000</v>
      </c>
      <c r="D73" s="41">
        <f>D71</f>
        <v>19966000</v>
      </c>
      <c r="E73" s="92"/>
      <c r="F73" s="41"/>
      <c r="G73" s="41"/>
      <c r="H73" s="91"/>
      <c r="I73" s="96"/>
    </row>
    <row r="74" spans="1:9" ht="12.75">
      <c r="A74" s="90">
        <v>41182</v>
      </c>
      <c r="B74" s="91">
        <f t="shared" si="3"/>
        <v>2</v>
      </c>
      <c r="C74" s="41">
        <f t="shared" si="4"/>
        <v>139762000</v>
      </c>
      <c r="D74" s="41"/>
      <c r="E74" s="92">
        <f>E72</f>
        <v>0.0818</v>
      </c>
      <c r="F74" s="41">
        <f>((C73+D73)*E74/360*B73)+((C74+D74)*E74/360*B74)</f>
        <v>3329951.6644444442</v>
      </c>
      <c r="G74" s="41"/>
      <c r="H74" s="91"/>
      <c r="I74" s="96"/>
    </row>
    <row r="75" spans="1:9" ht="12.75">
      <c r="A75" s="90">
        <v>41271</v>
      </c>
      <c r="B75" s="91">
        <f t="shared" si="3"/>
        <v>89</v>
      </c>
      <c r="C75" s="41">
        <f t="shared" si="4"/>
        <v>119796000</v>
      </c>
      <c r="D75" s="41">
        <f>D73</f>
        <v>19966000</v>
      </c>
      <c r="E75" s="95"/>
      <c r="F75" s="91"/>
      <c r="G75" s="41"/>
      <c r="H75" s="91"/>
      <c r="I75" s="96"/>
    </row>
    <row r="76" spans="1:9" ht="12.75">
      <c r="A76" s="97">
        <v>41274</v>
      </c>
      <c r="B76" s="98">
        <f t="shared" si="3"/>
        <v>3</v>
      </c>
      <c r="C76" s="99">
        <f t="shared" si="4"/>
        <v>119796000</v>
      </c>
      <c r="D76" s="99"/>
      <c r="E76" s="100">
        <f>E74</f>
        <v>0.0818</v>
      </c>
      <c r="F76" s="99">
        <f>((C75+D75)*E76/360*B75)</f>
        <v>2826375.867777778</v>
      </c>
      <c r="G76" s="101">
        <f>SUM(F69:F76)</f>
        <v>13977630.896666666</v>
      </c>
      <c r="H76" s="101">
        <f>SUM(D69:D76)</f>
        <v>79864000</v>
      </c>
      <c r="I76" s="102">
        <f>SUM(G76:H76)</f>
        <v>93841630.89666666</v>
      </c>
    </row>
    <row r="77" spans="1:9" ht="12.75">
      <c r="A77" s="103">
        <v>41361</v>
      </c>
      <c r="B77" s="104">
        <f t="shared" si="3"/>
        <v>87</v>
      </c>
      <c r="C77" s="42">
        <f t="shared" si="4"/>
        <v>99830000</v>
      </c>
      <c r="D77" s="42">
        <f>D75</f>
        <v>19966000</v>
      </c>
      <c r="E77" s="105"/>
      <c r="F77" s="104"/>
      <c r="G77" s="42"/>
      <c r="H77" s="104"/>
      <c r="I77" s="106"/>
    </row>
    <row r="78" spans="1:9" ht="12.75">
      <c r="A78" s="90">
        <v>41364</v>
      </c>
      <c r="B78" s="91">
        <f t="shared" si="3"/>
        <v>3</v>
      </c>
      <c r="C78" s="41">
        <f t="shared" si="4"/>
        <v>99830000</v>
      </c>
      <c r="D78" s="41"/>
      <c r="E78" s="92">
        <f>E76</f>
        <v>0.0818</v>
      </c>
      <c r="F78" s="41">
        <f>((C77+D77)*E78/360*B77)+((C78+D78)*E78/360*B78)</f>
        <v>2436218.043333333</v>
      </c>
      <c r="G78" s="41"/>
      <c r="H78" s="91"/>
      <c r="I78" s="96"/>
    </row>
    <row r="79" spans="1:9" ht="12.75">
      <c r="A79" s="90">
        <v>41453</v>
      </c>
      <c r="B79" s="91">
        <f t="shared" si="3"/>
        <v>89</v>
      </c>
      <c r="C79" s="41">
        <f t="shared" si="4"/>
        <v>79864000</v>
      </c>
      <c r="D79" s="41">
        <f>D77</f>
        <v>19966000</v>
      </c>
      <c r="E79" s="92"/>
      <c r="F79" s="41"/>
      <c r="G79" s="41"/>
      <c r="H79" s="91"/>
      <c r="I79" s="96"/>
    </row>
    <row r="80" spans="1:9" ht="12.75">
      <c r="A80" s="90">
        <v>41455</v>
      </c>
      <c r="B80" s="91">
        <f t="shared" si="3"/>
        <v>2</v>
      </c>
      <c r="C80" s="41">
        <f t="shared" si="4"/>
        <v>79864000</v>
      </c>
      <c r="D80" s="41"/>
      <c r="E80" s="92">
        <f>E78</f>
        <v>0.0818</v>
      </c>
      <c r="F80" s="41">
        <f>((C79+D79)*E80/360*B79)+((C80+D80)*E80/360*B80)</f>
        <v>2055133.6566666665</v>
      </c>
      <c r="G80" s="41"/>
      <c r="H80" s="91"/>
      <c r="I80" s="96"/>
    </row>
    <row r="81" spans="1:9" ht="12.75">
      <c r="A81" s="90">
        <v>41545</v>
      </c>
      <c r="B81" s="91">
        <f t="shared" si="3"/>
        <v>90</v>
      </c>
      <c r="C81" s="41">
        <f t="shared" si="4"/>
        <v>59898000</v>
      </c>
      <c r="D81" s="41">
        <f>D79</f>
        <v>19966000</v>
      </c>
      <c r="E81" s="92"/>
      <c r="F81" s="41"/>
      <c r="G81" s="107"/>
      <c r="H81" s="108"/>
      <c r="I81" s="109"/>
    </row>
    <row r="82" spans="1:9" ht="12.75">
      <c r="A82" s="90">
        <v>41547</v>
      </c>
      <c r="B82" s="91">
        <f t="shared" si="3"/>
        <v>2</v>
      </c>
      <c r="C82" s="41">
        <f t="shared" si="4"/>
        <v>59898000</v>
      </c>
      <c r="D82" s="41"/>
      <c r="E82" s="92">
        <f>E80</f>
        <v>0.0818</v>
      </c>
      <c r="F82" s="41">
        <f>((C81+D81)*E82/360*B81)+((C82+D82)*E82/360*B82)</f>
        <v>1660439.113333333</v>
      </c>
      <c r="G82" s="107"/>
      <c r="H82" s="108"/>
      <c r="I82" s="109"/>
    </row>
    <row r="83" spans="1:9" ht="12.75">
      <c r="A83" s="90">
        <v>41636</v>
      </c>
      <c r="B83" s="91">
        <f t="shared" si="3"/>
        <v>89</v>
      </c>
      <c r="C83" s="41">
        <f t="shared" si="4"/>
        <v>39932000</v>
      </c>
      <c r="D83" s="41">
        <f>D81</f>
        <v>19966000</v>
      </c>
      <c r="E83" s="92"/>
      <c r="F83" s="41"/>
      <c r="G83" s="107"/>
      <c r="H83" s="108"/>
      <c r="I83" s="109"/>
    </row>
    <row r="84" spans="1:9" ht="12.75">
      <c r="A84" s="97">
        <v>41639</v>
      </c>
      <c r="B84" s="98">
        <f t="shared" si="3"/>
        <v>3</v>
      </c>
      <c r="C84" s="99">
        <f t="shared" si="4"/>
        <v>39932000</v>
      </c>
      <c r="D84" s="99"/>
      <c r="E84" s="100">
        <f>E82</f>
        <v>0.0818</v>
      </c>
      <c r="F84" s="99">
        <f>((C83+D83)*E84/360*B83)+((C84+D84)*E84/360*B84)</f>
        <v>1238524.2566666666</v>
      </c>
      <c r="G84" s="101">
        <f>SUM(F77:F84)</f>
        <v>7390315.069999999</v>
      </c>
      <c r="H84" s="101">
        <f>SUM(D77:D84)</f>
        <v>79864000</v>
      </c>
      <c r="I84" s="102">
        <f>SUM(G84:H84)</f>
        <v>87254315.07</v>
      </c>
    </row>
    <row r="85" spans="1:9" ht="12.75">
      <c r="A85" s="84">
        <v>41726</v>
      </c>
      <c r="B85" s="85">
        <f t="shared" si="3"/>
        <v>87</v>
      </c>
      <c r="C85" s="86">
        <f t="shared" si="4"/>
        <v>19966000</v>
      </c>
      <c r="D85" s="86">
        <f>D83</f>
        <v>19966000</v>
      </c>
      <c r="E85" s="110"/>
      <c r="F85" s="85"/>
      <c r="G85" s="111"/>
      <c r="H85" s="112"/>
      <c r="I85" s="113"/>
    </row>
    <row r="86" spans="1:9" ht="12.75">
      <c r="A86" s="90">
        <v>41729</v>
      </c>
      <c r="B86" s="91">
        <f t="shared" si="3"/>
        <v>3</v>
      </c>
      <c r="C86" s="41">
        <f t="shared" si="4"/>
        <v>19966000</v>
      </c>
      <c r="D86" s="41"/>
      <c r="E86" s="92">
        <f>E84</f>
        <v>0.0818</v>
      </c>
      <c r="F86" s="41">
        <f>((C85+D85)*E86/360*B85)+((C86+D86)*E86/360*B86)</f>
        <v>802999.2433333333</v>
      </c>
      <c r="G86" s="41"/>
      <c r="H86" s="91"/>
      <c r="I86" s="96"/>
    </row>
    <row r="87" spans="1:9" ht="13.5" thickBot="1">
      <c r="A87" s="114">
        <v>41818</v>
      </c>
      <c r="B87" s="115">
        <f t="shared" si="3"/>
        <v>89</v>
      </c>
      <c r="C87" s="116">
        <f t="shared" si="4"/>
        <v>0</v>
      </c>
      <c r="D87" s="116">
        <f>D85</f>
        <v>19966000</v>
      </c>
      <c r="E87" s="117">
        <f>E80</f>
        <v>0.0818</v>
      </c>
      <c r="F87" s="116">
        <f>(C87+D87)*E87/360*B87</f>
        <v>403767.98111111106</v>
      </c>
      <c r="G87" s="118">
        <f>SUM(F85:F87)</f>
        <v>1206767.2244444443</v>
      </c>
      <c r="H87" s="118">
        <f>SUM(D85:D87)</f>
        <v>39932000</v>
      </c>
      <c r="I87" s="119">
        <f>SUM(G87:H87)</f>
        <v>41138767.22444444</v>
      </c>
    </row>
    <row r="88" spans="1:9" ht="13.5" thickTop="1">
      <c r="A88" s="471" t="s">
        <v>14</v>
      </c>
      <c r="B88" s="472"/>
      <c r="C88" s="473"/>
      <c r="D88" s="120">
        <f>SUM(D8:D87)</f>
        <v>718793000</v>
      </c>
      <c r="E88" s="121"/>
      <c r="F88" s="120">
        <f>SUM(F8:F87)</f>
        <v>282894174.1611112</v>
      </c>
      <c r="G88" s="120">
        <f>SUM(G8:G87)</f>
        <v>282894174.1611111</v>
      </c>
      <c r="H88" s="120">
        <f>SUM(H8:H87)</f>
        <v>718793000</v>
      </c>
      <c r="I88" s="122">
        <f>SUM(I8:I87)</f>
        <v>1001687174.1611111</v>
      </c>
    </row>
    <row r="89" ht="12.75">
      <c r="A89" s="123"/>
    </row>
    <row r="90" ht="12.75">
      <c r="A90" s="123"/>
    </row>
    <row r="91" spans="2:7" ht="12.75">
      <c r="B91" s="58" t="s">
        <v>94</v>
      </c>
      <c r="D91" s="58"/>
      <c r="E91" s="125" t="s">
        <v>96</v>
      </c>
      <c r="G91" s="126">
        <v>212164432</v>
      </c>
    </row>
    <row r="92" spans="2:7" ht="12.75">
      <c r="B92" s="58" t="s">
        <v>124</v>
      </c>
      <c r="D92" s="58"/>
      <c r="E92" s="125" t="s">
        <v>123</v>
      </c>
      <c r="G92" s="126">
        <v>243593559</v>
      </c>
    </row>
    <row r="93" spans="2:7" ht="12.75">
      <c r="B93" s="58" t="s">
        <v>135</v>
      </c>
      <c r="D93" s="58"/>
      <c r="E93" s="125" t="s">
        <v>136</v>
      </c>
      <c r="G93" s="126">
        <v>10240292</v>
      </c>
    </row>
    <row r="94" spans="2:7" ht="13.5" thickBot="1">
      <c r="B94" s="58" t="s">
        <v>146</v>
      </c>
      <c r="D94" s="58"/>
      <c r="E94" s="125" t="s">
        <v>147</v>
      </c>
      <c r="G94" s="126">
        <v>252794717</v>
      </c>
    </row>
    <row r="95" spans="2:7" ht="13.5" thickTop="1">
      <c r="B95" s="127" t="s">
        <v>14</v>
      </c>
      <c r="C95" s="132"/>
      <c r="D95" s="127"/>
      <c r="E95" s="128"/>
      <c r="F95" s="129"/>
      <c r="G95" s="130">
        <f>SUM(G91:G94)</f>
        <v>718793000</v>
      </c>
    </row>
    <row r="97" spans="2:7" ht="12.75">
      <c r="B97" s="58"/>
      <c r="E97" s="58"/>
      <c r="F97" s="124"/>
      <c r="G97" s="58"/>
    </row>
    <row r="98" spans="2:7" ht="12.75">
      <c r="B98" s="58"/>
      <c r="E98" s="58"/>
      <c r="F98" s="124"/>
      <c r="G98" s="58"/>
    </row>
    <row r="99" spans="2:7" ht="12.75">
      <c r="B99" s="58"/>
      <c r="E99" s="58"/>
      <c r="G99" s="58"/>
    </row>
    <row r="100" spans="2:7" ht="12.75">
      <c r="B100" s="58"/>
      <c r="E100" s="58"/>
      <c r="G100" s="58"/>
    </row>
    <row r="101" spans="2:7" ht="12.75">
      <c r="B101" s="58"/>
      <c r="E101" s="58"/>
      <c r="F101" s="124"/>
      <c r="G101" s="58"/>
    </row>
  </sheetData>
  <mergeCells count="1">
    <mergeCell ref="A88:C88"/>
  </mergeCells>
  <printOptions horizontalCentered="1"/>
  <pageMargins left="0.5905511811023623" right="0.5905511811023623" top="0.7874015748031497" bottom="0.5905511811023623" header="0.1968503937007874" footer="0.1968503937007874"/>
  <pageSetup horizontalDpi="150" verticalDpi="150" orientation="portrait" paperSize="9" scale="90" r:id="rId1"/>
  <headerFooter alignWithMargins="0">
    <oddHeader xml:space="preserve">&amp;C&amp;"Times New Roman CE,Félkövér"&amp;12Adósságszolgálat számítása az OTP tájékoztatása alapján 
&amp;"Times New Roman CE,Félkövér dőlt"2004. szeptemberben, októberben és decemberben felvételre tervezett 718.793 eFt  célhitel </oddHeader>
    <oddFooter>&amp;LNyomtatás dátuma: &amp;D
C:\Andi\adósságszolgálat\&amp;F\&amp;A&amp;R&amp;P/&amp;N</oddFooter>
  </headerFooter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6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1.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58" customWidth="1"/>
    <col min="6" max="6" width="12.625" style="58" customWidth="1"/>
    <col min="7" max="7" width="13.125" style="58" bestFit="1" customWidth="1"/>
    <col min="8" max="9" width="12.625" style="58" bestFit="1" customWidth="1"/>
    <col min="10" max="10" width="2.125" style="58" customWidth="1"/>
    <col min="11" max="11" width="10.375" style="58" customWidth="1"/>
    <col min="12" max="12" width="9.875" style="58" customWidth="1"/>
    <col min="13" max="16384" width="9.375" style="58" customWidth="1"/>
  </cols>
  <sheetData>
    <row r="1" ht="12.75">
      <c r="A1" s="165" t="s">
        <v>142</v>
      </c>
    </row>
    <row r="2" spans="1:9" ht="12.75">
      <c r="A2" s="166" t="s">
        <v>137</v>
      </c>
      <c r="B2" s="165"/>
      <c r="C2" s="166" t="s">
        <v>138</v>
      </c>
      <c r="D2" s="166"/>
      <c r="G2" s="166"/>
      <c r="H2" s="166"/>
      <c r="I2" s="166"/>
    </row>
    <row r="3" spans="1:12" ht="12.75">
      <c r="A3" s="166" t="s">
        <v>143</v>
      </c>
      <c r="B3" s="136"/>
      <c r="C3" s="135"/>
      <c r="D3" s="135"/>
      <c r="E3" s="135"/>
      <c r="F3" s="135"/>
      <c r="G3" s="135"/>
      <c r="H3" s="135"/>
      <c r="I3" s="135"/>
      <c r="K3" s="135"/>
      <c r="L3" s="135"/>
    </row>
    <row r="4" spans="1:12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  <c r="K4" s="372" t="s">
        <v>130</v>
      </c>
      <c r="L4" s="373"/>
    </row>
    <row r="5" spans="1:12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  <c r="K5" s="316" t="s">
        <v>131</v>
      </c>
      <c r="L5" s="317" t="s">
        <v>128</v>
      </c>
    </row>
    <row r="6" spans="1:12" ht="12.75">
      <c r="A6" s="78"/>
      <c r="B6" s="79"/>
      <c r="C6" s="80"/>
      <c r="D6" s="80"/>
      <c r="E6" s="80"/>
      <c r="F6" s="80" t="s">
        <v>134</v>
      </c>
      <c r="G6" s="81"/>
      <c r="H6" s="82" t="s">
        <v>13</v>
      </c>
      <c r="I6" s="83" t="s">
        <v>12</v>
      </c>
      <c r="K6" s="337" t="s">
        <v>132</v>
      </c>
      <c r="L6" s="338" t="s">
        <v>129</v>
      </c>
    </row>
    <row r="7" spans="1:12" ht="12.75">
      <c r="A7" s="404">
        <v>38702</v>
      </c>
      <c r="B7" s="365"/>
      <c r="C7" s="300">
        <v>76930000</v>
      </c>
      <c r="D7" s="42"/>
      <c r="E7" s="358"/>
      <c r="F7" s="42"/>
      <c r="G7" s="155"/>
      <c r="H7" s="155"/>
      <c r="I7" s="156"/>
      <c r="K7" s="318"/>
      <c r="L7" s="106"/>
    </row>
    <row r="8" spans="1:12" ht="12.75">
      <c r="A8" s="97">
        <v>38716</v>
      </c>
      <c r="B8" s="367">
        <f>A8-A7</f>
        <v>14</v>
      </c>
      <c r="C8" s="99">
        <f>C7-D8</f>
        <v>76930000</v>
      </c>
      <c r="D8" s="99"/>
      <c r="E8" s="362">
        <v>0.03276</v>
      </c>
      <c r="F8" s="99">
        <f>SUM(K8:L8)</f>
        <v>98009</v>
      </c>
      <c r="G8" s="101">
        <f>SUM(F8:F8)</f>
        <v>98009</v>
      </c>
      <c r="H8" s="101">
        <f>SUM(D8:D8)</f>
        <v>0</v>
      </c>
      <c r="I8" s="102">
        <f>SUM(G8:H8)</f>
        <v>98009</v>
      </c>
      <c r="K8" s="320">
        <v>86042</v>
      </c>
      <c r="L8" s="324">
        <v>11967</v>
      </c>
    </row>
    <row r="9" spans="1:12" ht="12.75">
      <c r="A9" s="90">
        <v>38807</v>
      </c>
      <c r="B9" s="366">
        <f>A9-A8</f>
        <v>91</v>
      </c>
      <c r="C9" s="41">
        <v>76930000</v>
      </c>
      <c r="D9" s="41"/>
      <c r="E9" s="361">
        <f>E8</f>
        <v>0.03276</v>
      </c>
      <c r="F9" s="41">
        <f>SUM(K9:L9)</f>
        <v>702863</v>
      </c>
      <c r="G9" s="91"/>
      <c r="H9" s="91"/>
      <c r="I9" s="242"/>
      <c r="K9" s="325">
        <v>625078</v>
      </c>
      <c r="L9" s="96">
        <v>77785</v>
      </c>
    </row>
    <row r="10" spans="1:12" ht="12.75">
      <c r="A10" s="90">
        <v>38898</v>
      </c>
      <c r="B10" s="366">
        <f>A10-A9</f>
        <v>91</v>
      </c>
      <c r="C10" s="41">
        <v>76930000</v>
      </c>
      <c r="D10" s="41"/>
      <c r="E10" s="361">
        <v>0.03927</v>
      </c>
      <c r="F10" s="41">
        <f>SUM(K10:L10)</f>
        <v>763001</v>
      </c>
      <c r="G10" s="91"/>
      <c r="H10" s="91"/>
      <c r="I10" s="242"/>
      <c r="K10" s="325">
        <v>685216</v>
      </c>
      <c r="L10" s="96">
        <v>77785</v>
      </c>
    </row>
    <row r="11" spans="1:12" ht="12.75">
      <c r="A11" s="313">
        <v>38953</v>
      </c>
      <c r="B11" s="366">
        <f>A11-A10</f>
        <v>55</v>
      </c>
      <c r="C11" s="300">
        <v>148901000</v>
      </c>
      <c r="D11" s="41"/>
      <c r="E11" s="361"/>
      <c r="F11" s="41"/>
      <c r="G11" s="91"/>
      <c r="H11" s="91"/>
      <c r="I11" s="242"/>
      <c r="K11" s="325"/>
      <c r="L11" s="96"/>
    </row>
    <row r="12" spans="1:12" ht="12.75">
      <c r="A12" s="90">
        <v>38989</v>
      </c>
      <c r="B12" s="366">
        <f aca="true" t="shared" si="0" ref="B12:B39">A12-A11</f>
        <v>36</v>
      </c>
      <c r="C12" s="41">
        <f aca="true" t="shared" si="1" ref="C12:C43">C11-D12</f>
        <v>148901000</v>
      </c>
      <c r="D12" s="41"/>
      <c r="E12" s="361">
        <v>0.04191</v>
      </c>
      <c r="F12" s="41">
        <f>SUM(K12:L12)</f>
        <v>1116056</v>
      </c>
      <c r="G12" s="91"/>
      <c r="H12" s="91"/>
      <c r="I12" s="242"/>
      <c r="K12" s="325">
        <v>1009483</v>
      </c>
      <c r="L12" s="96">
        <v>106573</v>
      </c>
    </row>
    <row r="13" spans="1:12" ht="12.75">
      <c r="A13" s="90">
        <v>38991</v>
      </c>
      <c r="B13" s="366">
        <f>A13-A12</f>
        <v>2</v>
      </c>
      <c r="C13" s="41">
        <f>C12-D13</f>
        <v>148901000</v>
      </c>
      <c r="D13" s="41"/>
      <c r="E13" s="361">
        <v>0.04191</v>
      </c>
      <c r="F13" s="41"/>
      <c r="G13" s="91"/>
      <c r="H13" s="91"/>
      <c r="I13" s="242"/>
      <c r="K13" s="325"/>
      <c r="L13" s="96"/>
    </row>
    <row r="14" spans="1:12" ht="12.75">
      <c r="A14" s="313">
        <v>39064</v>
      </c>
      <c r="B14" s="413">
        <f t="shared" si="0"/>
        <v>73</v>
      </c>
      <c r="C14" s="300">
        <v>179173000</v>
      </c>
      <c r="D14" s="41"/>
      <c r="E14" s="361"/>
      <c r="F14" s="41"/>
      <c r="G14" s="91"/>
      <c r="H14" s="91"/>
      <c r="I14" s="242"/>
      <c r="K14" s="325"/>
      <c r="L14" s="96"/>
    </row>
    <row r="15" spans="1:12" ht="12.75">
      <c r="A15" s="97">
        <v>39080</v>
      </c>
      <c r="B15" s="425">
        <f t="shared" si="0"/>
        <v>16</v>
      </c>
      <c r="C15" s="86">
        <f t="shared" si="1"/>
        <v>179173000</v>
      </c>
      <c r="D15" s="99"/>
      <c r="E15" s="362">
        <v>0.04506</v>
      </c>
      <c r="F15" s="99">
        <f>SUM(K15:L15)</f>
        <v>1754026</v>
      </c>
      <c r="G15" s="359">
        <f>SUM(F9:F15)</f>
        <v>4335946</v>
      </c>
      <c r="H15" s="359">
        <f>SUM(D9:D15)</f>
        <v>0</v>
      </c>
      <c r="I15" s="360">
        <f>SUM(G15:H15)</f>
        <v>4335946</v>
      </c>
      <c r="K15" s="320">
        <v>1598089</v>
      </c>
      <c r="L15" s="324">
        <v>155937</v>
      </c>
    </row>
    <row r="16" spans="1:12" ht="12.75">
      <c r="A16" s="90">
        <v>39172</v>
      </c>
      <c r="B16" s="413">
        <f t="shared" si="0"/>
        <v>92</v>
      </c>
      <c r="C16" s="86">
        <f t="shared" si="1"/>
        <v>179173000</v>
      </c>
      <c r="D16" s="86"/>
      <c r="E16" s="361">
        <v>0.04852</v>
      </c>
      <c r="F16" s="86">
        <f>((C16+D16)*E16/360*B16)</f>
        <v>2221665.5675555556</v>
      </c>
      <c r="G16" s="91"/>
      <c r="H16" s="91"/>
      <c r="I16" s="242"/>
      <c r="K16" s="325"/>
      <c r="L16" s="96"/>
    </row>
    <row r="17" spans="1:12" ht="12.75">
      <c r="A17" s="90">
        <v>39263</v>
      </c>
      <c r="B17" s="366">
        <f t="shared" si="0"/>
        <v>91</v>
      </c>
      <c r="C17" s="41">
        <f t="shared" si="1"/>
        <v>179173000</v>
      </c>
      <c r="D17" s="41"/>
      <c r="E17" s="361">
        <f>E16</f>
        <v>0.04852</v>
      </c>
      <c r="F17" s="41">
        <f>((C17+D17)*E17/360*B17)</f>
        <v>2197517.028777778</v>
      </c>
      <c r="G17" s="91"/>
      <c r="H17" s="91"/>
      <c r="I17" s="242"/>
      <c r="K17" s="325"/>
      <c r="L17" s="96"/>
    </row>
    <row r="18" spans="1:12" ht="12.75">
      <c r="A18" s="90">
        <v>39355</v>
      </c>
      <c r="B18" s="366">
        <f t="shared" si="0"/>
        <v>92</v>
      </c>
      <c r="C18" s="41">
        <f t="shared" si="1"/>
        <v>179173000</v>
      </c>
      <c r="D18" s="41"/>
      <c r="E18" s="361">
        <f>E17</f>
        <v>0.04852</v>
      </c>
      <c r="F18" s="41">
        <f>((C18+D18)*E18/360*B18)</f>
        <v>2221665.5675555556</v>
      </c>
      <c r="G18" s="91"/>
      <c r="H18" s="91"/>
      <c r="I18" s="242"/>
      <c r="K18" s="325"/>
      <c r="L18" s="96"/>
    </row>
    <row r="19" spans="1:12" ht="12.75">
      <c r="A19" s="97">
        <v>39446</v>
      </c>
      <c r="B19" s="367">
        <f t="shared" si="0"/>
        <v>91</v>
      </c>
      <c r="C19" s="99">
        <f t="shared" si="1"/>
        <v>179173000</v>
      </c>
      <c r="D19" s="99"/>
      <c r="E19" s="362">
        <f>E18</f>
        <v>0.04852</v>
      </c>
      <c r="F19" s="99">
        <f>((C19+D19)*E19/360*B19)</f>
        <v>2197517.028777778</v>
      </c>
      <c r="G19" s="359">
        <f>SUM(F16:F19)</f>
        <v>8838365.192666668</v>
      </c>
      <c r="H19" s="359">
        <f>SUM(D16:D19)</f>
        <v>0</v>
      </c>
      <c r="I19" s="360">
        <f>SUM(G19:H19)</f>
        <v>8838365.192666668</v>
      </c>
      <c r="K19" s="320"/>
      <c r="L19" s="324"/>
    </row>
    <row r="20" spans="1:12" ht="12.75">
      <c r="A20" s="103">
        <v>39538</v>
      </c>
      <c r="B20" s="369">
        <f t="shared" si="0"/>
        <v>92</v>
      </c>
      <c r="C20" s="42">
        <f t="shared" si="1"/>
        <v>179173000</v>
      </c>
      <c r="D20" s="42"/>
      <c r="E20" s="363">
        <f>E19</f>
        <v>0.04852</v>
      </c>
      <c r="F20" s="42">
        <f>((C20+D20)*E20/360*B20)</f>
        <v>2221665.5675555556</v>
      </c>
      <c r="G20" s="104"/>
      <c r="H20" s="104"/>
      <c r="I20" s="253"/>
      <c r="K20" s="318"/>
      <c r="L20" s="106"/>
    </row>
    <row r="21" spans="1:12" ht="12.75">
      <c r="A21" s="90">
        <v>39604</v>
      </c>
      <c r="B21" s="368">
        <f t="shared" si="0"/>
        <v>66</v>
      </c>
      <c r="C21" s="41">
        <f t="shared" si="1"/>
        <v>176573000</v>
      </c>
      <c r="D21" s="41">
        <v>2600000</v>
      </c>
      <c r="E21" s="361"/>
      <c r="F21" s="41"/>
      <c r="G21" s="91"/>
      <c r="H21" s="91"/>
      <c r="I21" s="242"/>
      <c r="K21" s="325"/>
      <c r="L21" s="96"/>
    </row>
    <row r="22" spans="1:12" ht="12.75">
      <c r="A22" s="90">
        <v>39629</v>
      </c>
      <c r="B22" s="368">
        <f t="shared" si="0"/>
        <v>25</v>
      </c>
      <c r="C22" s="41">
        <f t="shared" si="1"/>
        <v>176573000</v>
      </c>
      <c r="D22" s="41"/>
      <c r="E22" s="361">
        <f>E20</f>
        <v>0.04852</v>
      </c>
      <c r="F22" s="41">
        <f>((C21+D21)*E22/360*B21)+((C22+D22)*E22/360*B22)</f>
        <v>2188756.473222222</v>
      </c>
      <c r="G22" s="91"/>
      <c r="H22" s="91"/>
      <c r="I22" s="242"/>
      <c r="K22" s="325"/>
      <c r="L22" s="96"/>
    </row>
    <row r="23" spans="1:12" ht="12.75">
      <c r="A23" s="90">
        <v>39696</v>
      </c>
      <c r="B23" s="368">
        <f t="shared" si="0"/>
        <v>67</v>
      </c>
      <c r="C23" s="41">
        <f t="shared" si="1"/>
        <v>173973000</v>
      </c>
      <c r="D23" s="41">
        <f>D21</f>
        <v>2600000</v>
      </c>
      <c r="E23" s="361"/>
      <c r="F23" s="41"/>
      <c r="G23" s="91"/>
      <c r="H23" s="91"/>
      <c r="I23" s="242"/>
      <c r="K23" s="325"/>
      <c r="L23" s="96"/>
    </row>
    <row r="24" spans="1:12" ht="12.75">
      <c r="A24" s="90">
        <v>39721</v>
      </c>
      <c r="B24" s="368">
        <f t="shared" si="0"/>
        <v>25</v>
      </c>
      <c r="C24" s="41">
        <f t="shared" si="1"/>
        <v>173973000</v>
      </c>
      <c r="D24" s="41"/>
      <c r="E24" s="361">
        <f>E22</f>
        <v>0.04852</v>
      </c>
      <c r="F24" s="41">
        <f>((C23+D23)*E24/360*B23)+((C24+D24)*E24/360*B24)</f>
        <v>2180666.1675555557</v>
      </c>
      <c r="G24" s="91"/>
      <c r="H24" s="91"/>
      <c r="I24" s="242"/>
      <c r="K24" s="325"/>
      <c r="L24" s="96"/>
    </row>
    <row r="25" spans="1:12" ht="12.75">
      <c r="A25" s="254">
        <v>39787</v>
      </c>
      <c r="B25" s="368">
        <f t="shared" si="0"/>
        <v>66</v>
      </c>
      <c r="C25" s="41">
        <f t="shared" si="1"/>
        <v>171373000</v>
      </c>
      <c r="D25" s="41">
        <f>D23</f>
        <v>2600000</v>
      </c>
      <c r="E25" s="364"/>
      <c r="F25" s="107"/>
      <c r="G25" s="108"/>
      <c r="H25" s="108"/>
      <c r="I25" s="263"/>
      <c r="K25" s="351"/>
      <c r="L25" s="109"/>
    </row>
    <row r="26" spans="1:12" ht="12.75">
      <c r="A26" s="97">
        <v>39813</v>
      </c>
      <c r="B26" s="367">
        <f t="shared" si="0"/>
        <v>26</v>
      </c>
      <c r="C26" s="99">
        <f t="shared" si="1"/>
        <v>171373000</v>
      </c>
      <c r="D26" s="99"/>
      <c r="E26" s="362">
        <f>E24</f>
        <v>0.04852</v>
      </c>
      <c r="F26" s="99">
        <f>((C25+D25)*E26/360*B25)+((C26+D26)*E26/360*B26)</f>
        <v>2148076.900888889</v>
      </c>
      <c r="G26" s="359">
        <f>SUM(F20:F26)</f>
        <v>8739165.109222222</v>
      </c>
      <c r="H26" s="359">
        <f>SUM(D20:D26)</f>
        <v>7800000</v>
      </c>
      <c r="I26" s="360">
        <f>SUM(G26:H26)</f>
        <v>16539165.109222222</v>
      </c>
      <c r="K26" s="320"/>
      <c r="L26" s="324"/>
    </row>
    <row r="27" spans="1:12" ht="12.75">
      <c r="A27" s="103">
        <v>39877</v>
      </c>
      <c r="B27" s="365">
        <f t="shared" si="0"/>
        <v>64</v>
      </c>
      <c r="C27" s="42">
        <f t="shared" si="1"/>
        <v>168773000</v>
      </c>
      <c r="D27" s="41">
        <f>D25</f>
        <v>2600000</v>
      </c>
      <c r="E27" s="104"/>
      <c r="F27" s="104"/>
      <c r="G27" s="104"/>
      <c r="H27" s="104"/>
      <c r="I27" s="253"/>
      <c r="K27" s="374"/>
      <c r="L27" s="253"/>
    </row>
    <row r="28" spans="1:12" ht="12.75">
      <c r="A28" s="90">
        <v>39903</v>
      </c>
      <c r="B28" s="366">
        <f t="shared" si="0"/>
        <v>26</v>
      </c>
      <c r="C28" s="41">
        <f t="shared" si="1"/>
        <v>168773000</v>
      </c>
      <c r="D28" s="41"/>
      <c r="E28" s="361">
        <f>E26</f>
        <v>0.04852</v>
      </c>
      <c r="F28" s="41">
        <f>((C27+D27)*E28/360*B27)+((C28+D28)*E28/360*B28)</f>
        <v>2069643.512222222</v>
      </c>
      <c r="G28" s="91"/>
      <c r="H28" s="91"/>
      <c r="I28" s="242"/>
      <c r="K28" s="325"/>
      <c r="L28" s="96"/>
    </row>
    <row r="29" spans="1:12" ht="12.75">
      <c r="A29" s="90">
        <v>39969</v>
      </c>
      <c r="B29" s="366">
        <f t="shared" si="0"/>
        <v>66</v>
      </c>
      <c r="C29" s="41">
        <f t="shared" si="1"/>
        <v>166173000</v>
      </c>
      <c r="D29" s="41">
        <f>D27</f>
        <v>2600000</v>
      </c>
      <c r="E29" s="361"/>
      <c r="F29" s="41"/>
      <c r="G29" s="91"/>
      <c r="H29" s="91"/>
      <c r="I29" s="242"/>
      <c r="K29" s="325"/>
      <c r="L29" s="96"/>
    </row>
    <row r="30" spans="1:12" ht="12.75">
      <c r="A30" s="90">
        <v>39994</v>
      </c>
      <c r="B30" s="366">
        <f t="shared" si="0"/>
        <v>25</v>
      </c>
      <c r="C30" s="41">
        <f t="shared" si="1"/>
        <v>166173000</v>
      </c>
      <c r="D30" s="41"/>
      <c r="E30" s="361">
        <f>E28</f>
        <v>0.04852</v>
      </c>
      <c r="F30" s="41">
        <f>((C29+D29)*E30/360*B29)+((C30+D30)*E30/360*B30)</f>
        <v>2061202.7843333334</v>
      </c>
      <c r="G30" s="91"/>
      <c r="H30" s="91"/>
      <c r="I30" s="242"/>
      <c r="K30" s="325"/>
      <c r="L30" s="96"/>
    </row>
    <row r="31" spans="1:12" ht="12.75">
      <c r="A31" s="90">
        <v>40061</v>
      </c>
      <c r="B31" s="366">
        <f t="shared" si="0"/>
        <v>67</v>
      </c>
      <c r="C31" s="41">
        <f t="shared" si="1"/>
        <v>163573000</v>
      </c>
      <c r="D31" s="41">
        <f>D29</f>
        <v>2600000</v>
      </c>
      <c r="E31" s="361"/>
      <c r="F31" s="41"/>
      <c r="G31" s="91"/>
      <c r="H31" s="91"/>
      <c r="I31" s="242"/>
      <c r="K31" s="325"/>
      <c r="L31" s="96"/>
    </row>
    <row r="32" spans="1:12" ht="12.75">
      <c r="A32" s="90">
        <v>40086</v>
      </c>
      <c r="B32" s="366">
        <f t="shared" si="0"/>
        <v>25</v>
      </c>
      <c r="C32" s="41">
        <f t="shared" si="1"/>
        <v>163573000</v>
      </c>
      <c r="D32" s="41"/>
      <c r="E32" s="361">
        <f>E30</f>
        <v>0.04852</v>
      </c>
      <c r="F32" s="41">
        <f>((C31+D31)*E32/360*B31)+((C32+D32)*E32/360*B32)</f>
        <v>2051710.7897777776</v>
      </c>
      <c r="G32" s="91"/>
      <c r="H32" s="91"/>
      <c r="I32" s="242"/>
      <c r="K32" s="325"/>
      <c r="L32" s="96"/>
    </row>
    <row r="33" spans="1:12" ht="12.75">
      <c r="A33" s="90">
        <v>40152</v>
      </c>
      <c r="B33" s="366">
        <f t="shared" si="0"/>
        <v>66</v>
      </c>
      <c r="C33" s="41">
        <f t="shared" si="1"/>
        <v>160973000</v>
      </c>
      <c r="D33" s="41">
        <f>D31</f>
        <v>2600000</v>
      </c>
      <c r="E33" s="361"/>
      <c r="F33" s="41"/>
      <c r="G33" s="91"/>
      <c r="H33" s="91"/>
      <c r="I33" s="242"/>
      <c r="K33" s="325"/>
      <c r="L33" s="96"/>
    </row>
    <row r="34" spans="1:12" ht="12.75">
      <c r="A34" s="97">
        <v>40178</v>
      </c>
      <c r="B34" s="367">
        <f t="shared" si="0"/>
        <v>26</v>
      </c>
      <c r="C34" s="99">
        <f t="shared" si="1"/>
        <v>160973000</v>
      </c>
      <c r="D34" s="99"/>
      <c r="E34" s="362">
        <f>E32</f>
        <v>0.04852</v>
      </c>
      <c r="F34" s="99">
        <f>((C33+D33)*E34/360*B33)+((C34+D34)*E34/360*B34)</f>
        <v>2019121.523111111</v>
      </c>
      <c r="G34" s="359">
        <f>SUM(F28:F34)</f>
        <v>8201678.609444443</v>
      </c>
      <c r="H34" s="359">
        <f>SUM(D27:D34)</f>
        <v>10400000</v>
      </c>
      <c r="I34" s="360">
        <f>SUM(G34:H34)</f>
        <v>18601678.609444443</v>
      </c>
      <c r="K34" s="320"/>
      <c r="L34" s="324"/>
    </row>
    <row r="35" spans="1:12" ht="12.75">
      <c r="A35" s="103">
        <v>40242</v>
      </c>
      <c r="B35" s="365">
        <f t="shared" si="0"/>
        <v>64</v>
      </c>
      <c r="C35" s="42">
        <f t="shared" si="1"/>
        <v>158373000</v>
      </c>
      <c r="D35" s="41">
        <f>D33</f>
        <v>2600000</v>
      </c>
      <c r="E35" s="104"/>
      <c r="F35" s="104"/>
      <c r="G35" s="104"/>
      <c r="H35" s="104"/>
      <c r="I35" s="253"/>
      <c r="K35" s="374"/>
      <c r="L35" s="253"/>
    </row>
    <row r="36" spans="1:12" ht="12.75">
      <c r="A36" s="90">
        <v>40268</v>
      </c>
      <c r="B36" s="366">
        <f t="shared" si="0"/>
        <v>26</v>
      </c>
      <c r="C36" s="41">
        <f t="shared" si="1"/>
        <v>158373000</v>
      </c>
      <c r="D36" s="41"/>
      <c r="E36" s="361">
        <f>E34</f>
        <v>0.04852</v>
      </c>
      <c r="F36" s="41">
        <f>((C35+D35)*E36/360*B35)+((C36+D36)*E36/360*B36)</f>
        <v>1943491.5122222223</v>
      </c>
      <c r="G36" s="91"/>
      <c r="H36" s="91"/>
      <c r="I36" s="242"/>
      <c r="K36" s="325"/>
      <c r="L36" s="96"/>
    </row>
    <row r="37" spans="1:12" ht="12.75">
      <c r="A37" s="90">
        <v>40334</v>
      </c>
      <c r="B37" s="366">
        <f t="shared" si="0"/>
        <v>66</v>
      </c>
      <c r="C37" s="41">
        <f t="shared" si="1"/>
        <v>155773000</v>
      </c>
      <c r="D37" s="41">
        <f>D35</f>
        <v>2600000</v>
      </c>
      <c r="E37" s="361"/>
      <c r="F37" s="41"/>
      <c r="G37" s="91"/>
      <c r="H37" s="91"/>
      <c r="I37" s="242"/>
      <c r="K37" s="325"/>
      <c r="L37" s="96"/>
    </row>
    <row r="38" spans="1:12" ht="12.75">
      <c r="A38" s="90">
        <v>40359</v>
      </c>
      <c r="B38" s="366">
        <f t="shared" si="0"/>
        <v>25</v>
      </c>
      <c r="C38" s="41">
        <f t="shared" si="1"/>
        <v>155773000</v>
      </c>
      <c r="D38" s="41"/>
      <c r="E38" s="361">
        <f>E36</f>
        <v>0.04852</v>
      </c>
      <c r="F38" s="41">
        <f>((C37+D37)*E38/360*B37)+((C38+D38)*E38/360*B38)</f>
        <v>1933649.0954444443</v>
      </c>
      <c r="G38" s="91"/>
      <c r="H38" s="91"/>
      <c r="I38" s="242"/>
      <c r="K38" s="325"/>
      <c r="L38" s="96"/>
    </row>
    <row r="39" spans="1:12" ht="12.75">
      <c r="A39" s="90">
        <v>40426</v>
      </c>
      <c r="B39" s="366">
        <f t="shared" si="0"/>
        <v>67</v>
      </c>
      <c r="C39" s="41">
        <f t="shared" si="1"/>
        <v>153173000</v>
      </c>
      <c r="D39" s="41">
        <f>D37</f>
        <v>2600000</v>
      </c>
      <c r="E39" s="361"/>
      <c r="F39" s="41"/>
      <c r="G39" s="91"/>
      <c r="H39" s="91"/>
      <c r="I39" s="242"/>
      <c r="K39" s="325"/>
      <c r="L39" s="96"/>
    </row>
    <row r="40" spans="1:12" ht="12.75">
      <c r="A40" s="90">
        <v>40451</v>
      </c>
      <c r="B40" s="366">
        <f aca="true" t="shared" si="2" ref="B40:B71">A40-A39</f>
        <v>25</v>
      </c>
      <c r="C40" s="41">
        <f t="shared" si="1"/>
        <v>153173000</v>
      </c>
      <c r="D40" s="41"/>
      <c r="E40" s="361">
        <f>E38</f>
        <v>0.04852</v>
      </c>
      <c r="F40" s="41">
        <f>((C39+D39)*E40/360*B39)+((C40+D40)*E40/360*B40)</f>
        <v>1922755.412</v>
      </c>
      <c r="G40" s="91"/>
      <c r="H40" s="91"/>
      <c r="I40" s="242"/>
      <c r="K40" s="325"/>
      <c r="L40" s="96"/>
    </row>
    <row r="41" spans="1:12" ht="12.75">
      <c r="A41" s="90">
        <v>40517</v>
      </c>
      <c r="B41" s="366">
        <f t="shared" si="2"/>
        <v>66</v>
      </c>
      <c r="C41" s="41">
        <f t="shared" si="1"/>
        <v>150573000</v>
      </c>
      <c r="D41" s="41">
        <f>D39</f>
        <v>2600000</v>
      </c>
      <c r="E41" s="361"/>
      <c r="F41" s="41"/>
      <c r="G41" s="91"/>
      <c r="H41" s="91"/>
      <c r="I41" s="242"/>
      <c r="K41" s="325"/>
      <c r="L41" s="96"/>
    </row>
    <row r="42" spans="1:12" ht="12.75">
      <c r="A42" s="97">
        <v>40543</v>
      </c>
      <c r="B42" s="367">
        <f t="shared" si="2"/>
        <v>26</v>
      </c>
      <c r="C42" s="99">
        <f t="shared" si="1"/>
        <v>150573000</v>
      </c>
      <c r="D42" s="99"/>
      <c r="E42" s="362">
        <f>E40</f>
        <v>0.04852</v>
      </c>
      <c r="F42" s="99">
        <f>((C41+D41)*E42/360*B41)+((C42+D42)*E42/360*B42)</f>
        <v>1890166.1453333334</v>
      </c>
      <c r="G42" s="359">
        <f>SUM(F36:F42)</f>
        <v>7690062.164999999</v>
      </c>
      <c r="H42" s="359">
        <f>SUM(D35:D42)</f>
        <v>10400000</v>
      </c>
      <c r="I42" s="360">
        <f>SUM(G42:H42)</f>
        <v>18090062.165</v>
      </c>
      <c r="K42" s="320"/>
      <c r="L42" s="324"/>
    </row>
    <row r="43" spans="1:12" ht="12.75">
      <c r="A43" s="103">
        <v>40607</v>
      </c>
      <c r="B43" s="365">
        <f t="shared" si="2"/>
        <v>64</v>
      </c>
      <c r="C43" s="42">
        <f t="shared" si="1"/>
        <v>147973000</v>
      </c>
      <c r="D43" s="41">
        <f>D41</f>
        <v>2600000</v>
      </c>
      <c r="E43" s="104"/>
      <c r="F43" s="104"/>
      <c r="G43" s="104"/>
      <c r="H43" s="104"/>
      <c r="I43" s="253"/>
      <c r="K43" s="374"/>
      <c r="L43" s="253"/>
    </row>
    <row r="44" spans="1:12" ht="12.75">
      <c r="A44" s="90">
        <v>40633</v>
      </c>
      <c r="B44" s="366">
        <f t="shared" si="2"/>
        <v>26</v>
      </c>
      <c r="C44" s="41">
        <f aca="true" t="shared" si="3" ref="C44:C75">C43-D44</f>
        <v>147973000</v>
      </c>
      <c r="D44" s="41"/>
      <c r="E44" s="361">
        <f>E42</f>
        <v>0.04852</v>
      </c>
      <c r="F44" s="41">
        <f>((C43+D43)*E44/360*B43)+((C44+D44)*E44/360*B44)</f>
        <v>1817339.5122222223</v>
      </c>
      <c r="G44" s="91"/>
      <c r="H44" s="91"/>
      <c r="I44" s="242"/>
      <c r="K44" s="325"/>
      <c r="L44" s="96"/>
    </row>
    <row r="45" spans="1:12" ht="12.75">
      <c r="A45" s="90">
        <v>40699</v>
      </c>
      <c r="B45" s="366">
        <f t="shared" si="2"/>
        <v>66</v>
      </c>
      <c r="C45" s="41">
        <f t="shared" si="3"/>
        <v>145373000</v>
      </c>
      <c r="D45" s="41">
        <f>D43</f>
        <v>2600000</v>
      </c>
      <c r="E45" s="361"/>
      <c r="F45" s="41"/>
      <c r="G45" s="91"/>
      <c r="H45" s="91"/>
      <c r="I45" s="242"/>
      <c r="K45" s="325"/>
      <c r="L45" s="96"/>
    </row>
    <row r="46" spans="1:12" ht="12.75">
      <c r="A46" s="90">
        <v>40724</v>
      </c>
      <c r="B46" s="366">
        <f t="shared" si="2"/>
        <v>25</v>
      </c>
      <c r="C46" s="41">
        <f t="shared" si="3"/>
        <v>145373000</v>
      </c>
      <c r="D46" s="41"/>
      <c r="E46" s="361">
        <f>E44</f>
        <v>0.04852</v>
      </c>
      <c r="F46" s="41">
        <f>((C45+D45)*E46/360*B45)+((C46+D46)*E46/360*B46)</f>
        <v>1806095.4065555558</v>
      </c>
      <c r="G46" s="91"/>
      <c r="H46" s="91"/>
      <c r="I46" s="242"/>
      <c r="K46" s="325"/>
      <c r="L46" s="96"/>
    </row>
    <row r="47" spans="1:12" ht="12.75">
      <c r="A47" s="90">
        <v>40791</v>
      </c>
      <c r="B47" s="366">
        <f t="shared" si="2"/>
        <v>67</v>
      </c>
      <c r="C47" s="41">
        <f t="shared" si="3"/>
        <v>142773000</v>
      </c>
      <c r="D47" s="41">
        <f>D45</f>
        <v>2600000</v>
      </c>
      <c r="E47" s="361"/>
      <c r="F47" s="41"/>
      <c r="G47" s="91"/>
      <c r="H47" s="91"/>
      <c r="I47" s="242"/>
      <c r="K47" s="325"/>
      <c r="L47" s="96"/>
    </row>
    <row r="48" spans="1:12" ht="12.75">
      <c r="A48" s="90">
        <v>40816</v>
      </c>
      <c r="B48" s="366">
        <f t="shared" si="2"/>
        <v>25</v>
      </c>
      <c r="C48" s="41">
        <f t="shared" si="3"/>
        <v>142773000</v>
      </c>
      <c r="D48" s="41"/>
      <c r="E48" s="361">
        <f>E46</f>
        <v>0.04852</v>
      </c>
      <c r="F48" s="41">
        <f>((C47+D47)*E48/360*B47)+((C48+D48)*E48/360*B48)</f>
        <v>1793800.0342222224</v>
      </c>
      <c r="G48" s="91"/>
      <c r="H48" s="91"/>
      <c r="I48" s="242"/>
      <c r="K48" s="325"/>
      <c r="L48" s="96"/>
    </row>
    <row r="49" spans="1:12" ht="12.75">
      <c r="A49" s="90">
        <v>40882</v>
      </c>
      <c r="B49" s="366">
        <f t="shared" si="2"/>
        <v>66</v>
      </c>
      <c r="C49" s="41">
        <f t="shared" si="3"/>
        <v>140173000</v>
      </c>
      <c r="D49" s="41">
        <f>D47</f>
        <v>2600000</v>
      </c>
      <c r="E49" s="361"/>
      <c r="F49" s="41"/>
      <c r="G49" s="91"/>
      <c r="H49" s="91"/>
      <c r="I49" s="242"/>
      <c r="K49" s="325"/>
      <c r="L49" s="96"/>
    </row>
    <row r="50" spans="1:12" ht="12.75">
      <c r="A50" s="97">
        <v>40908</v>
      </c>
      <c r="B50" s="367">
        <f t="shared" si="2"/>
        <v>26</v>
      </c>
      <c r="C50" s="99">
        <f t="shared" si="3"/>
        <v>140173000</v>
      </c>
      <c r="D50" s="99"/>
      <c r="E50" s="362">
        <f>E48</f>
        <v>0.04852</v>
      </c>
      <c r="F50" s="99">
        <f>((C49+D49)*E50/360*B49)+((C50+D50)*E50/360*B50)</f>
        <v>1761210.7675555556</v>
      </c>
      <c r="G50" s="359">
        <f>SUM(F44:F50)</f>
        <v>7178445.720555555</v>
      </c>
      <c r="H50" s="359">
        <f>SUM(D43:D50)</f>
        <v>10400000</v>
      </c>
      <c r="I50" s="360">
        <f>SUM(G50:H50)</f>
        <v>17578445.720555555</v>
      </c>
      <c r="K50" s="320"/>
      <c r="L50" s="324"/>
    </row>
    <row r="51" spans="1:12" ht="12.75">
      <c r="A51" s="103">
        <v>40973</v>
      </c>
      <c r="B51" s="365">
        <f t="shared" si="2"/>
        <v>65</v>
      </c>
      <c r="C51" s="42">
        <f t="shared" si="3"/>
        <v>137573000</v>
      </c>
      <c r="D51" s="41">
        <f>D49</f>
        <v>2600000</v>
      </c>
      <c r="E51" s="104"/>
      <c r="F51" s="104"/>
      <c r="G51" s="104"/>
      <c r="H51" s="104"/>
      <c r="I51" s="253"/>
      <c r="K51" s="374"/>
      <c r="L51" s="253"/>
    </row>
    <row r="52" spans="1:12" ht="12.75">
      <c r="A52" s="90">
        <v>40999</v>
      </c>
      <c r="B52" s="366">
        <f t="shared" si="2"/>
        <v>26</v>
      </c>
      <c r="C52" s="41">
        <f t="shared" si="3"/>
        <v>137573000</v>
      </c>
      <c r="D52" s="41"/>
      <c r="E52" s="361">
        <f>E50</f>
        <v>0.04852</v>
      </c>
      <c r="F52" s="41">
        <f>((C51+D51)*E52/360*B51)+((C52+D52)*E52/360*B52)</f>
        <v>1710079.7176666665</v>
      </c>
      <c r="G52" s="91"/>
      <c r="H52" s="91"/>
      <c r="I52" s="242"/>
      <c r="K52" s="325"/>
      <c r="L52" s="96"/>
    </row>
    <row r="53" spans="1:12" ht="12.75">
      <c r="A53" s="90">
        <v>41065</v>
      </c>
      <c r="B53" s="366">
        <f t="shared" si="2"/>
        <v>66</v>
      </c>
      <c r="C53" s="41">
        <f t="shared" si="3"/>
        <v>134973000</v>
      </c>
      <c r="D53" s="41">
        <f>D51</f>
        <v>2600000</v>
      </c>
      <c r="E53" s="361"/>
      <c r="F53" s="41"/>
      <c r="G53" s="91"/>
      <c r="H53" s="91"/>
      <c r="I53" s="242"/>
      <c r="K53" s="325"/>
      <c r="L53" s="96"/>
    </row>
    <row r="54" spans="1:12" ht="12.75">
      <c r="A54" s="90">
        <v>41090</v>
      </c>
      <c r="B54" s="366">
        <f t="shared" si="2"/>
        <v>25</v>
      </c>
      <c r="C54" s="41">
        <f t="shared" si="3"/>
        <v>134973000</v>
      </c>
      <c r="D54" s="41"/>
      <c r="E54" s="361">
        <f>E52</f>
        <v>0.04852</v>
      </c>
      <c r="F54" s="41">
        <f>((C53+D53)*E54/360*B53)+((C54+D54)*E54/360*B54)</f>
        <v>1678541.7176666665</v>
      </c>
      <c r="G54" s="91"/>
      <c r="H54" s="91"/>
      <c r="I54" s="242"/>
      <c r="K54" s="325"/>
      <c r="L54" s="96"/>
    </row>
    <row r="55" spans="1:12" ht="12.75">
      <c r="A55" s="90">
        <v>41157</v>
      </c>
      <c r="B55" s="366">
        <f t="shared" si="2"/>
        <v>67</v>
      </c>
      <c r="C55" s="41">
        <f t="shared" si="3"/>
        <v>132373000</v>
      </c>
      <c r="D55" s="41">
        <f>D53</f>
        <v>2600000</v>
      </c>
      <c r="E55" s="361"/>
      <c r="F55" s="41"/>
      <c r="G55" s="91"/>
      <c r="H55" s="91"/>
      <c r="I55" s="242"/>
      <c r="K55" s="325"/>
      <c r="L55" s="96"/>
    </row>
    <row r="56" spans="1:12" ht="12.75">
      <c r="A56" s="90">
        <v>41182</v>
      </c>
      <c r="B56" s="366">
        <f t="shared" si="2"/>
        <v>25</v>
      </c>
      <c r="C56" s="41">
        <f t="shared" si="3"/>
        <v>132373000</v>
      </c>
      <c r="D56" s="41"/>
      <c r="E56" s="361">
        <f>E54</f>
        <v>0.04852</v>
      </c>
      <c r="F56" s="41">
        <f>((C55+D55)*E56/360*B55)+((C56+D56)*E56/360*B56)</f>
        <v>1664844.6564444446</v>
      </c>
      <c r="G56" s="91"/>
      <c r="H56" s="91"/>
      <c r="I56" s="242"/>
      <c r="K56" s="325"/>
      <c r="L56" s="96"/>
    </row>
    <row r="57" spans="1:12" ht="12.75">
      <c r="A57" s="90">
        <v>41248</v>
      </c>
      <c r="B57" s="366">
        <f t="shared" si="2"/>
        <v>66</v>
      </c>
      <c r="C57" s="41">
        <f t="shared" si="3"/>
        <v>129773000</v>
      </c>
      <c r="D57" s="41">
        <f>D55</f>
        <v>2600000</v>
      </c>
      <c r="E57" s="361"/>
      <c r="F57" s="41"/>
      <c r="G57" s="91"/>
      <c r="H57" s="91"/>
      <c r="I57" s="242"/>
      <c r="K57" s="325"/>
      <c r="L57" s="96"/>
    </row>
    <row r="58" spans="1:12" ht="12.75">
      <c r="A58" s="97">
        <v>41274</v>
      </c>
      <c r="B58" s="367">
        <f t="shared" si="2"/>
        <v>26</v>
      </c>
      <c r="C58" s="99">
        <f t="shared" si="3"/>
        <v>129773000</v>
      </c>
      <c r="D58" s="99"/>
      <c r="E58" s="362">
        <f>E56</f>
        <v>0.04852</v>
      </c>
      <c r="F58" s="99">
        <f>((C57+D57)*E58/360*B57)+((C58+D58)*E58/360*B58)</f>
        <v>1632255.3897777777</v>
      </c>
      <c r="G58" s="359">
        <f>SUM(F52:F58)</f>
        <v>6685721.481555555</v>
      </c>
      <c r="H58" s="359">
        <f>SUM(D51:D58)</f>
        <v>10400000</v>
      </c>
      <c r="I58" s="360">
        <f>SUM(G58:H58)</f>
        <v>17085721.481555555</v>
      </c>
      <c r="K58" s="320"/>
      <c r="L58" s="324"/>
    </row>
    <row r="59" spans="1:12" ht="12.75">
      <c r="A59" s="103">
        <v>41338</v>
      </c>
      <c r="B59" s="365">
        <f t="shared" si="2"/>
        <v>64</v>
      </c>
      <c r="C59" s="42">
        <f t="shared" si="3"/>
        <v>127173000</v>
      </c>
      <c r="D59" s="41">
        <f>D57</f>
        <v>2600000</v>
      </c>
      <c r="E59" s="104"/>
      <c r="F59" s="104"/>
      <c r="G59" s="104"/>
      <c r="H59" s="104"/>
      <c r="I59" s="253"/>
      <c r="K59" s="374"/>
      <c r="L59" s="253"/>
    </row>
    <row r="60" spans="1:12" ht="12.75">
      <c r="A60" s="90">
        <v>41364</v>
      </c>
      <c r="B60" s="366">
        <f t="shared" si="2"/>
        <v>26</v>
      </c>
      <c r="C60" s="41">
        <f t="shared" si="3"/>
        <v>127173000</v>
      </c>
      <c r="D60" s="41"/>
      <c r="E60" s="361">
        <f>E58</f>
        <v>0.04852</v>
      </c>
      <c r="F60" s="41">
        <f>((C59+D59)*E60/360*B59)+((C60+D60)*E60/360*B60)</f>
        <v>1565035.512222222</v>
      </c>
      <c r="G60" s="91"/>
      <c r="H60" s="91"/>
      <c r="I60" s="242"/>
      <c r="K60" s="325"/>
      <c r="L60" s="96"/>
    </row>
    <row r="61" spans="1:12" ht="12.75">
      <c r="A61" s="90">
        <v>41430</v>
      </c>
      <c r="B61" s="366">
        <f t="shared" si="2"/>
        <v>66</v>
      </c>
      <c r="C61" s="41">
        <f t="shared" si="3"/>
        <v>124573000</v>
      </c>
      <c r="D61" s="41">
        <f>D59</f>
        <v>2600000</v>
      </c>
      <c r="E61" s="361"/>
      <c r="F61" s="41"/>
      <c r="G61" s="91"/>
      <c r="H61" s="91"/>
      <c r="I61" s="242"/>
      <c r="K61" s="325"/>
      <c r="L61" s="96"/>
    </row>
    <row r="62" spans="1:12" ht="12.75">
      <c r="A62" s="90">
        <v>41455</v>
      </c>
      <c r="B62" s="366">
        <f t="shared" si="2"/>
        <v>25</v>
      </c>
      <c r="C62" s="41">
        <f t="shared" si="3"/>
        <v>124573000</v>
      </c>
      <c r="D62" s="41"/>
      <c r="E62" s="361">
        <f>E60</f>
        <v>0.04852</v>
      </c>
      <c r="F62" s="41">
        <f>((C61+D61)*E62/360*B61)+((C62+D62)*E62/360*B62)</f>
        <v>1550988.0287777777</v>
      </c>
      <c r="G62" s="91"/>
      <c r="H62" s="91"/>
      <c r="I62" s="242"/>
      <c r="K62" s="325"/>
      <c r="L62" s="96"/>
    </row>
    <row r="63" spans="1:12" ht="12.75">
      <c r="A63" s="90">
        <v>41522</v>
      </c>
      <c r="B63" s="366">
        <f t="shared" si="2"/>
        <v>67</v>
      </c>
      <c r="C63" s="41">
        <f t="shared" si="3"/>
        <v>121973000</v>
      </c>
      <c r="D63" s="41">
        <f>D61</f>
        <v>2600000</v>
      </c>
      <c r="E63" s="361"/>
      <c r="F63" s="41"/>
      <c r="G63" s="91"/>
      <c r="H63" s="91"/>
      <c r="I63" s="242"/>
      <c r="K63" s="325"/>
      <c r="L63" s="96"/>
    </row>
    <row r="64" spans="1:12" ht="12.75">
      <c r="A64" s="90">
        <v>41547</v>
      </c>
      <c r="B64" s="366">
        <f t="shared" si="2"/>
        <v>25</v>
      </c>
      <c r="C64" s="41">
        <f t="shared" si="3"/>
        <v>121973000</v>
      </c>
      <c r="D64" s="41"/>
      <c r="E64" s="361">
        <f>E62</f>
        <v>0.04852</v>
      </c>
      <c r="F64" s="41">
        <f>((C63+D63)*E64/360*B63)+((C64+D64)*E64/360*B64)</f>
        <v>1535889.2786666665</v>
      </c>
      <c r="G64" s="91"/>
      <c r="H64" s="91"/>
      <c r="I64" s="242"/>
      <c r="K64" s="325"/>
      <c r="L64" s="96"/>
    </row>
    <row r="65" spans="1:12" ht="12.75">
      <c r="A65" s="90">
        <v>41613</v>
      </c>
      <c r="B65" s="366">
        <f t="shared" si="2"/>
        <v>66</v>
      </c>
      <c r="C65" s="41">
        <f t="shared" si="3"/>
        <v>119373000</v>
      </c>
      <c r="D65" s="41">
        <f>D63</f>
        <v>2600000</v>
      </c>
      <c r="E65" s="361"/>
      <c r="F65" s="41"/>
      <c r="G65" s="91"/>
      <c r="H65" s="91"/>
      <c r="I65" s="242"/>
      <c r="K65" s="325"/>
      <c r="L65" s="96"/>
    </row>
    <row r="66" spans="1:12" ht="12.75">
      <c r="A66" s="97">
        <v>41639</v>
      </c>
      <c r="B66" s="367">
        <f t="shared" si="2"/>
        <v>26</v>
      </c>
      <c r="C66" s="99">
        <f t="shared" si="3"/>
        <v>119373000</v>
      </c>
      <c r="D66" s="99"/>
      <c r="E66" s="362">
        <f>E64</f>
        <v>0.04852</v>
      </c>
      <c r="F66" s="99">
        <f>((C65+D65)*E66/360*B65)+((C66+D66)*E66/360*B66)</f>
        <v>1503300.0119999999</v>
      </c>
      <c r="G66" s="359">
        <f>SUM(F60:F66)</f>
        <v>6155212.831666666</v>
      </c>
      <c r="H66" s="359">
        <f>SUM(D59:D66)</f>
        <v>10400000</v>
      </c>
      <c r="I66" s="360">
        <f>SUM(G66:H66)</f>
        <v>16555212.831666667</v>
      </c>
      <c r="K66" s="320"/>
      <c r="L66" s="324"/>
    </row>
    <row r="67" spans="1:12" ht="12.75">
      <c r="A67" s="103">
        <v>41703</v>
      </c>
      <c r="B67" s="365">
        <f t="shared" si="2"/>
        <v>64</v>
      </c>
      <c r="C67" s="42">
        <f t="shared" si="3"/>
        <v>116773000</v>
      </c>
      <c r="D67" s="41">
        <f>D65</f>
        <v>2600000</v>
      </c>
      <c r="E67" s="104"/>
      <c r="F67" s="104"/>
      <c r="G67" s="104"/>
      <c r="H67" s="104"/>
      <c r="I67" s="253"/>
      <c r="K67" s="374"/>
      <c r="L67" s="253"/>
    </row>
    <row r="68" spans="1:12" ht="12.75">
      <c r="A68" s="90">
        <v>41729</v>
      </c>
      <c r="B68" s="366">
        <f t="shared" si="2"/>
        <v>26</v>
      </c>
      <c r="C68" s="41">
        <f t="shared" si="3"/>
        <v>116773000</v>
      </c>
      <c r="D68" s="41"/>
      <c r="E68" s="361">
        <f>E66</f>
        <v>0.04852</v>
      </c>
      <c r="F68" s="41">
        <f>((C67+D67)*E68/360*B67)+((C68+D68)*E68/360*B68)</f>
        <v>1438883.512222222</v>
      </c>
      <c r="G68" s="91"/>
      <c r="H68" s="91"/>
      <c r="I68" s="242"/>
      <c r="K68" s="325"/>
      <c r="L68" s="96"/>
    </row>
    <row r="69" spans="1:12" ht="12.75">
      <c r="A69" s="90">
        <v>41795</v>
      </c>
      <c r="B69" s="366">
        <f t="shared" si="2"/>
        <v>66</v>
      </c>
      <c r="C69" s="41">
        <f t="shared" si="3"/>
        <v>114173000</v>
      </c>
      <c r="D69" s="41">
        <f>D67</f>
        <v>2600000</v>
      </c>
      <c r="E69" s="361"/>
      <c r="F69" s="41"/>
      <c r="G69" s="91"/>
      <c r="H69" s="91"/>
      <c r="I69" s="242"/>
      <c r="K69" s="325"/>
      <c r="L69" s="96"/>
    </row>
    <row r="70" spans="1:12" ht="12.75">
      <c r="A70" s="90">
        <v>41820</v>
      </c>
      <c r="B70" s="366">
        <f t="shared" si="2"/>
        <v>25</v>
      </c>
      <c r="C70" s="41">
        <f t="shared" si="3"/>
        <v>114173000</v>
      </c>
      <c r="D70" s="41"/>
      <c r="E70" s="361">
        <f>E68</f>
        <v>0.04852</v>
      </c>
      <c r="F70" s="41">
        <f>((C69+D69)*E70/360*B69)+((C70+D70)*E70/360*B70)</f>
        <v>1423434.3398888889</v>
      </c>
      <c r="G70" s="91"/>
      <c r="H70" s="91"/>
      <c r="I70" s="242"/>
      <c r="K70" s="325"/>
      <c r="L70" s="96"/>
    </row>
    <row r="71" spans="1:12" ht="12.75">
      <c r="A71" s="90">
        <v>41887</v>
      </c>
      <c r="B71" s="366">
        <f t="shared" si="2"/>
        <v>67</v>
      </c>
      <c r="C71" s="41">
        <f t="shared" si="3"/>
        <v>111573000</v>
      </c>
      <c r="D71" s="41">
        <f>D69</f>
        <v>2600000</v>
      </c>
      <c r="E71" s="361"/>
      <c r="F71" s="41"/>
      <c r="G71" s="91"/>
      <c r="H71" s="91"/>
      <c r="I71" s="242"/>
      <c r="K71" s="325"/>
      <c r="L71" s="96"/>
    </row>
    <row r="72" spans="1:12" ht="12.75">
      <c r="A72" s="90">
        <v>41912</v>
      </c>
      <c r="B72" s="366">
        <f aca="true" t="shared" si="4" ref="B72:B103">A72-A71</f>
        <v>25</v>
      </c>
      <c r="C72" s="41">
        <f t="shared" si="3"/>
        <v>111573000</v>
      </c>
      <c r="D72" s="41"/>
      <c r="E72" s="361">
        <f>E70</f>
        <v>0.04852</v>
      </c>
      <c r="F72" s="41">
        <f>((C71+D71)*E72/360*B71)+((C72+D72)*E72/360*B72)</f>
        <v>1406933.9008888889</v>
      </c>
      <c r="G72" s="91"/>
      <c r="H72" s="91"/>
      <c r="I72" s="242"/>
      <c r="K72" s="325"/>
      <c r="L72" s="96"/>
    </row>
    <row r="73" spans="1:12" ht="12.75">
      <c r="A73" s="90">
        <v>41978</v>
      </c>
      <c r="B73" s="366">
        <f t="shared" si="4"/>
        <v>66</v>
      </c>
      <c r="C73" s="41">
        <f t="shared" si="3"/>
        <v>108973000</v>
      </c>
      <c r="D73" s="41">
        <f>D71</f>
        <v>2600000</v>
      </c>
      <c r="E73" s="361"/>
      <c r="F73" s="41"/>
      <c r="G73" s="91"/>
      <c r="H73" s="91"/>
      <c r="I73" s="242"/>
      <c r="K73" s="325"/>
      <c r="L73" s="96"/>
    </row>
    <row r="74" spans="1:12" ht="12.75">
      <c r="A74" s="97">
        <v>42004</v>
      </c>
      <c r="B74" s="367">
        <f t="shared" si="4"/>
        <v>26</v>
      </c>
      <c r="C74" s="99">
        <f t="shared" si="3"/>
        <v>108973000</v>
      </c>
      <c r="D74" s="99"/>
      <c r="E74" s="362">
        <f>E72</f>
        <v>0.04852</v>
      </c>
      <c r="F74" s="99">
        <f>((C73+D73)*E74/360*B73)+((C74+D74)*E74/360*B74)</f>
        <v>1374344.6342222223</v>
      </c>
      <c r="G74" s="359">
        <f>SUM(F68:F74)</f>
        <v>5643596.387222222</v>
      </c>
      <c r="H74" s="359">
        <f>SUM(D67:D74)</f>
        <v>10400000</v>
      </c>
      <c r="I74" s="360">
        <f>SUM(G74:H74)</f>
        <v>16043596.387222223</v>
      </c>
      <c r="K74" s="320"/>
      <c r="L74" s="324"/>
    </row>
    <row r="75" spans="1:12" ht="12.75">
      <c r="A75" s="103">
        <v>42068</v>
      </c>
      <c r="B75" s="365">
        <f t="shared" si="4"/>
        <v>64</v>
      </c>
      <c r="C75" s="42">
        <f t="shared" si="3"/>
        <v>106373000</v>
      </c>
      <c r="D75" s="41">
        <f>D73</f>
        <v>2600000</v>
      </c>
      <c r="E75" s="104"/>
      <c r="F75" s="104"/>
      <c r="G75" s="104"/>
      <c r="H75" s="104"/>
      <c r="I75" s="253"/>
      <c r="K75" s="374"/>
      <c r="L75" s="253"/>
    </row>
    <row r="76" spans="1:12" ht="12.75">
      <c r="A76" s="90">
        <v>42094</v>
      </c>
      <c r="B76" s="366">
        <f t="shared" si="4"/>
        <v>26</v>
      </c>
      <c r="C76" s="41">
        <f aca="true" t="shared" si="5" ref="C76:C107">C75-D76</f>
        <v>106373000</v>
      </c>
      <c r="D76" s="41"/>
      <c r="E76" s="361">
        <f>E74</f>
        <v>0.04852</v>
      </c>
      <c r="F76" s="41">
        <f>((C75+D75)*E76/360*B75)+((C76+D76)*E76/360*B76)</f>
        <v>1312731.5122222223</v>
      </c>
      <c r="G76" s="91"/>
      <c r="H76" s="91"/>
      <c r="I76" s="242"/>
      <c r="K76" s="325"/>
      <c r="L76" s="96"/>
    </row>
    <row r="77" spans="1:12" ht="12.75">
      <c r="A77" s="90">
        <v>42160</v>
      </c>
      <c r="B77" s="366">
        <f t="shared" si="4"/>
        <v>66</v>
      </c>
      <c r="C77" s="41">
        <f t="shared" si="5"/>
        <v>103773000</v>
      </c>
      <c r="D77" s="41">
        <f>D75</f>
        <v>2600000</v>
      </c>
      <c r="E77" s="361"/>
      <c r="F77" s="41"/>
      <c r="G77" s="91"/>
      <c r="H77" s="91"/>
      <c r="I77" s="242"/>
      <c r="K77" s="325"/>
      <c r="L77" s="96"/>
    </row>
    <row r="78" spans="1:12" ht="12.75">
      <c r="A78" s="90">
        <v>42185</v>
      </c>
      <c r="B78" s="366">
        <f t="shared" si="4"/>
        <v>25</v>
      </c>
      <c r="C78" s="41">
        <f t="shared" si="5"/>
        <v>103773000</v>
      </c>
      <c r="D78" s="41"/>
      <c r="E78" s="361">
        <f>E76</f>
        <v>0.04852</v>
      </c>
      <c r="F78" s="41">
        <f>((C77+D77)*E78/360*B77)+((C78+D78)*E78/360*B78)</f>
        <v>1295880.651</v>
      </c>
      <c r="G78" s="91"/>
      <c r="H78" s="91"/>
      <c r="I78" s="242"/>
      <c r="K78" s="325"/>
      <c r="L78" s="96"/>
    </row>
    <row r="79" spans="1:12" ht="12.75">
      <c r="A79" s="90">
        <v>42252</v>
      </c>
      <c r="B79" s="366">
        <f t="shared" si="4"/>
        <v>67</v>
      </c>
      <c r="C79" s="41">
        <f t="shared" si="5"/>
        <v>101173000</v>
      </c>
      <c r="D79" s="41">
        <f>D77</f>
        <v>2600000</v>
      </c>
      <c r="E79" s="361"/>
      <c r="F79" s="41"/>
      <c r="G79" s="91"/>
      <c r="H79" s="91"/>
      <c r="I79" s="242"/>
      <c r="K79" s="325"/>
      <c r="L79" s="96"/>
    </row>
    <row r="80" spans="1:12" ht="12.75">
      <c r="A80" s="90">
        <v>42277</v>
      </c>
      <c r="B80" s="366">
        <f t="shared" si="4"/>
        <v>25</v>
      </c>
      <c r="C80" s="41">
        <f t="shared" si="5"/>
        <v>101173000</v>
      </c>
      <c r="D80" s="41"/>
      <c r="E80" s="361">
        <f>E78</f>
        <v>0.04852</v>
      </c>
      <c r="F80" s="41">
        <f>((C79+D79)*E80/360*B79)+((C80+D80)*E80/360*B80)</f>
        <v>1277978.523111111</v>
      </c>
      <c r="G80" s="91"/>
      <c r="H80" s="91"/>
      <c r="I80" s="242"/>
      <c r="K80" s="325"/>
      <c r="L80" s="96"/>
    </row>
    <row r="81" spans="1:12" ht="12.75">
      <c r="A81" s="90">
        <v>42343</v>
      </c>
      <c r="B81" s="366">
        <f t="shared" si="4"/>
        <v>66</v>
      </c>
      <c r="C81" s="41">
        <f t="shared" si="5"/>
        <v>98573000</v>
      </c>
      <c r="D81" s="41">
        <f>D79</f>
        <v>2600000</v>
      </c>
      <c r="E81" s="361"/>
      <c r="F81" s="41"/>
      <c r="G81" s="91"/>
      <c r="H81" s="91"/>
      <c r="I81" s="242"/>
      <c r="K81" s="325"/>
      <c r="L81" s="96"/>
    </row>
    <row r="82" spans="1:12" ht="12.75">
      <c r="A82" s="97">
        <v>42369</v>
      </c>
      <c r="B82" s="367">
        <f t="shared" si="4"/>
        <v>26</v>
      </c>
      <c r="C82" s="99">
        <f t="shared" si="5"/>
        <v>98573000</v>
      </c>
      <c r="D82" s="99"/>
      <c r="E82" s="362">
        <f>E80</f>
        <v>0.04852</v>
      </c>
      <c r="F82" s="99">
        <f>((C81+D81)*E82/360*B81)+((C82+D82)*E82/360*B82)</f>
        <v>1245389.2564444444</v>
      </c>
      <c r="G82" s="359">
        <f>SUM(F76:F82)</f>
        <v>5131979.942777778</v>
      </c>
      <c r="H82" s="359">
        <f>SUM(D75:D82)</f>
        <v>10400000</v>
      </c>
      <c r="I82" s="360">
        <f>SUM(G82:H82)</f>
        <v>15531979.942777779</v>
      </c>
      <c r="K82" s="320"/>
      <c r="L82" s="324"/>
    </row>
    <row r="83" spans="1:12" ht="12.75">
      <c r="A83" s="103">
        <v>42434</v>
      </c>
      <c r="B83" s="365">
        <f t="shared" si="4"/>
        <v>65</v>
      </c>
      <c r="C83" s="42">
        <f t="shared" si="5"/>
        <v>95973000</v>
      </c>
      <c r="D83" s="41">
        <f>D81</f>
        <v>2600000</v>
      </c>
      <c r="E83" s="104"/>
      <c r="F83" s="104"/>
      <c r="G83" s="104"/>
      <c r="H83" s="104"/>
      <c r="I83" s="253"/>
      <c r="K83" s="374"/>
      <c r="L83" s="253"/>
    </row>
    <row r="84" spans="1:12" ht="12.75">
      <c r="A84" s="90">
        <v>42460</v>
      </c>
      <c r="B84" s="366">
        <f t="shared" si="4"/>
        <v>26</v>
      </c>
      <c r="C84" s="41">
        <f t="shared" si="5"/>
        <v>95973000</v>
      </c>
      <c r="D84" s="41"/>
      <c r="E84" s="361">
        <f>E82</f>
        <v>0.04852</v>
      </c>
      <c r="F84" s="41">
        <f>((C83+D83)*E84/360*B83)+((C84+D84)*E84/360*B84)</f>
        <v>1199864.962111111</v>
      </c>
      <c r="G84" s="91"/>
      <c r="H84" s="91"/>
      <c r="I84" s="242"/>
      <c r="K84" s="325"/>
      <c r="L84" s="96"/>
    </row>
    <row r="85" spans="1:12" ht="12.75">
      <c r="A85" s="90">
        <v>42526</v>
      </c>
      <c r="B85" s="366">
        <f t="shared" si="4"/>
        <v>66</v>
      </c>
      <c r="C85" s="41">
        <f t="shared" si="5"/>
        <v>93373000</v>
      </c>
      <c r="D85" s="41">
        <f>D83</f>
        <v>2600000</v>
      </c>
      <c r="E85" s="361"/>
      <c r="F85" s="41"/>
      <c r="G85" s="91"/>
      <c r="H85" s="91"/>
      <c r="I85" s="242"/>
      <c r="K85" s="325"/>
      <c r="L85" s="96"/>
    </row>
    <row r="86" spans="1:12" ht="12.75">
      <c r="A86" s="90">
        <v>42551</v>
      </c>
      <c r="B86" s="366">
        <f t="shared" si="4"/>
        <v>25</v>
      </c>
      <c r="C86" s="41">
        <f t="shared" si="5"/>
        <v>93373000</v>
      </c>
      <c r="D86" s="41"/>
      <c r="E86" s="361">
        <f>E84</f>
        <v>0.04852</v>
      </c>
      <c r="F86" s="41">
        <f>((C85+D85)*E86/360*B85)+((C86+D86)*E86/360*B86)</f>
        <v>1168326.962111111</v>
      </c>
      <c r="G86" s="91"/>
      <c r="H86" s="91"/>
      <c r="I86" s="242"/>
      <c r="K86" s="325"/>
      <c r="L86" s="96"/>
    </row>
    <row r="87" spans="1:12" ht="12.75">
      <c r="A87" s="90">
        <v>42618</v>
      </c>
      <c r="B87" s="366">
        <f t="shared" si="4"/>
        <v>67</v>
      </c>
      <c r="C87" s="41">
        <f t="shared" si="5"/>
        <v>90773000</v>
      </c>
      <c r="D87" s="41">
        <f>D85</f>
        <v>2600000</v>
      </c>
      <c r="E87" s="361"/>
      <c r="F87" s="41"/>
      <c r="G87" s="91"/>
      <c r="H87" s="91"/>
      <c r="I87" s="242"/>
      <c r="K87" s="325"/>
      <c r="L87" s="96"/>
    </row>
    <row r="88" spans="1:12" ht="12.75">
      <c r="A88" s="90">
        <v>42643</v>
      </c>
      <c r="B88" s="366">
        <f t="shared" si="4"/>
        <v>25</v>
      </c>
      <c r="C88" s="41">
        <f t="shared" si="5"/>
        <v>90773000</v>
      </c>
      <c r="D88" s="41"/>
      <c r="E88" s="361">
        <f>E86</f>
        <v>0.04852</v>
      </c>
      <c r="F88" s="41">
        <f>((C87+D87)*E88/360*B87)+((C88+D88)*E88/360*B88)</f>
        <v>1149023.1453333334</v>
      </c>
      <c r="G88" s="91"/>
      <c r="H88" s="91"/>
      <c r="I88" s="242"/>
      <c r="K88" s="325"/>
      <c r="L88" s="96"/>
    </row>
    <row r="89" spans="1:12" ht="12.75">
      <c r="A89" s="90">
        <v>42709</v>
      </c>
      <c r="B89" s="366">
        <f t="shared" si="4"/>
        <v>66</v>
      </c>
      <c r="C89" s="41">
        <f t="shared" si="5"/>
        <v>88173000</v>
      </c>
      <c r="D89" s="41">
        <f>D87</f>
        <v>2600000</v>
      </c>
      <c r="E89" s="361"/>
      <c r="F89" s="41"/>
      <c r="G89" s="91"/>
      <c r="H89" s="91"/>
      <c r="I89" s="242"/>
      <c r="K89" s="325"/>
      <c r="L89" s="96"/>
    </row>
    <row r="90" spans="1:12" ht="12.75">
      <c r="A90" s="97">
        <v>42735</v>
      </c>
      <c r="B90" s="367">
        <f t="shared" si="4"/>
        <v>26</v>
      </c>
      <c r="C90" s="99">
        <f t="shared" si="5"/>
        <v>88173000</v>
      </c>
      <c r="D90" s="99"/>
      <c r="E90" s="362">
        <f>E88</f>
        <v>0.04852</v>
      </c>
      <c r="F90" s="99">
        <f>((C89+D89)*E90/360*B89)+((C90+D90)*E90/360*B90)</f>
        <v>1116433.8786666666</v>
      </c>
      <c r="G90" s="359">
        <f>SUM(F84:F90)</f>
        <v>4633648.948222222</v>
      </c>
      <c r="H90" s="359">
        <f>SUM(D83:D90)</f>
        <v>10400000</v>
      </c>
      <c r="I90" s="360">
        <f>SUM(G90:H90)</f>
        <v>15033648.948222222</v>
      </c>
      <c r="K90" s="320"/>
      <c r="L90" s="324"/>
    </row>
    <row r="91" spans="1:12" ht="12.75">
      <c r="A91" s="103">
        <v>42799</v>
      </c>
      <c r="B91" s="365">
        <f t="shared" si="4"/>
        <v>64</v>
      </c>
      <c r="C91" s="42">
        <f t="shared" si="5"/>
        <v>85573000</v>
      </c>
      <c r="D91" s="41">
        <f>D89</f>
        <v>2600000</v>
      </c>
      <c r="E91" s="104"/>
      <c r="F91" s="104"/>
      <c r="G91" s="104"/>
      <c r="H91" s="104"/>
      <c r="I91" s="253"/>
      <c r="K91" s="374"/>
      <c r="L91" s="253"/>
    </row>
    <row r="92" spans="1:12" ht="12.75">
      <c r="A92" s="90">
        <v>42825</v>
      </c>
      <c r="B92" s="366">
        <f t="shared" si="4"/>
        <v>26</v>
      </c>
      <c r="C92" s="41">
        <f t="shared" si="5"/>
        <v>85573000</v>
      </c>
      <c r="D92" s="41"/>
      <c r="E92" s="361">
        <f>E90</f>
        <v>0.04852</v>
      </c>
      <c r="F92" s="41">
        <f>((C91+D91)*E92/360*B91)+((C92+D92)*E92/360*B92)</f>
        <v>1060427.5122222223</v>
      </c>
      <c r="G92" s="91"/>
      <c r="H92" s="91"/>
      <c r="I92" s="242"/>
      <c r="K92" s="325"/>
      <c r="L92" s="96"/>
    </row>
    <row r="93" spans="1:12" ht="12.75">
      <c r="A93" s="90">
        <v>42891</v>
      </c>
      <c r="B93" s="366">
        <f t="shared" si="4"/>
        <v>66</v>
      </c>
      <c r="C93" s="41">
        <f t="shared" si="5"/>
        <v>82973000</v>
      </c>
      <c r="D93" s="41">
        <f>D91</f>
        <v>2600000</v>
      </c>
      <c r="E93" s="361"/>
      <c r="F93" s="41"/>
      <c r="G93" s="91"/>
      <c r="H93" s="91"/>
      <c r="I93" s="242"/>
      <c r="K93" s="325"/>
      <c r="L93" s="96"/>
    </row>
    <row r="94" spans="1:12" ht="12.75">
      <c r="A94" s="90">
        <v>42916</v>
      </c>
      <c r="B94" s="366">
        <f t="shared" si="4"/>
        <v>25</v>
      </c>
      <c r="C94" s="41">
        <f t="shared" si="5"/>
        <v>82973000</v>
      </c>
      <c r="D94" s="41"/>
      <c r="E94" s="361">
        <f>E92</f>
        <v>0.04852</v>
      </c>
      <c r="F94" s="41">
        <f>((C93+D93)*E94/360*B93)+((C94+D94)*E94/360*B94)</f>
        <v>1040773.2732222222</v>
      </c>
      <c r="G94" s="91"/>
      <c r="H94" s="91"/>
      <c r="I94" s="242"/>
      <c r="K94" s="325"/>
      <c r="L94" s="96"/>
    </row>
    <row r="95" spans="1:12" ht="12.75">
      <c r="A95" s="90">
        <v>42983</v>
      </c>
      <c r="B95" s="366">
        <f t="shared" si="4"/>
        <v>67</v>
      </c>
      <c r="C95" s="41">
        <f t="shared" si="5"/>
        <v>80373000</v>
      </c>
      <c r="D95" s="41">
        <f>D93</f>
        <v>2600000</v>
      </c>
      <c r="E95" s="361"/>
      <c r="F95" s="41"/>
      <c r="G95" s="91"/>
      <c r="H95" s="91"/>
      <c r="I95" s="242"/>
      <c r="K95" s="325"/>
      <c r="L95" s="96"/>
    </row>
    <row r="96" spans="1:12" ht="12.75">
      <c r="A96" s="90">
        <v>43008</v>
      </c>
      <c r="B96" s="366">
        <f t="shared" si="4"/>
        <v>25</v>
      </c>
      <c r="C96" s="41">
        <f t="shared" si="5"/>
        <v>80373000</v>
      </c>
      <c r="D96" s="41"/>
      <c r="E96" s="361">
        <f>E94</f>
        <v>0.04852</v>
      </c>
      <c r="F96" s="41">
        <f>((C95+D95)*E96/360*B95)+((C96+D96)*E96/360*B96)</f>
        <v>1020067.7675555556</v>
      </c>
      <c r="G96" s="91"/>
      <c r="H96" s="91"/>
      <c r="I96" s="242"/>
      <c r="K96" s="325"/>
      <c r="L96" s="96"/>
    </row>
    <row r="97" spans="1:12" ht="12.75">
      <c r="A97" s="90">
        <v>43074</v>
      </c>
      <c r="B97" s="366">
        <f t="shared" si="4"/>
        <v>66</v>
      </c>
      <c r="C97" s="41">
        <f t="shared" si="5"/>
        <v>77773000</v>
      </c>
      <c r="D97" s="41">
        <f>D95</f>
        <v>2600000</v>
      </c>
      <c r="E97" s="361"/>
      <c r="F97" s="41"/>
      <c r="G97" s="91"/>
      <c r="H97" s="91"/>
      <c r="I97" s="242"/>
      <c r="K97" s="325"/>
      <c r="L97" s="96"/>
    </row>
    <row r="98" spans="1:12" ht="12.75">
      <c r="A98" s="97">
        <v>43100</v>
      </c>
      <c r="B98" s="367">
        <f t="shared" si="4"/>
        <v>26</v>
      </c>
      <c r="C98" s="99">
        <f t="shared" si="5"/>
        <v>77773000</v>
      </c>
      <c r="D98" s="99"/>
      <c r="E98" s="362">
        <f>E96</f>
        <v>0.04852</v>
      </c>
      <c r="F98" s="99">
        <f>((C97+D97)*E98/360*B97)+((C98+D98)*E98/360*B98)</f>
        <v>987478.500888889</v>
      </c>
      <c r="G98" s="359">
        <f>SUM(F92:F98)</f>
        <v>4108747.053888889</v>
      </c>
      <c r="H98" s="359">
        <f>SUM(D91:D98)</f>
        <v>10400000</v>
      </c>
      <c r="I98" s="360">
        <f>SUM(G98:H98)</f>
        <v>14508747.053888889</v>
      </c>
      <c r="K98" s="320"/>
      <c r="L98" s="324"/>
    </row>
    <row r="99" spans="1:12" ht="12.75">
      <c r="A99" s="103">
        <v>43164</v>
      </c>
      <c r="B99" s="365">
        <f t="shared" si="4"/>
        <v>64</v>
      </c>
      <c r="C99" s="42">
        <f t="shared" si="5"/>
        <v>75173000</v>
      </c>
      <c r="D99" s="41">
        <f>D97</f>
        <v>2600000</v>
      </c>
      <c r="E99" s="104"/>
      <c r="F99" s="104"/>
      <c r="G99" s="104"/>
      <c r="H99" s="104"/>
      <c r="I99" s="253"/>
      <c r="K99" s="374"/>
      <c r="L99" s="253"/>
    </row>
    <row r="100" spans="1:12" ht="12.75">
      <c r="A100" s="90">
        <v>43190</v>
      </c>
      <c r="B100" s="366">
        <f t="shared" si="4"/>
        <v>26</v>
      </c>
      <c r="C100" s="41">
        <f t="shared" si="5"/>
        <v>75173000</v>
      </c>
      <c r="D100" s="41"/>
      <c r="E100" s="361">
        <f>E98</f>
        <v>0.04852</v>
      </c>
      <c r="F100" s="41">
        <f>((C99+D99)*E100/360*B99)+((C100+D100)*E100/360*B100)</f>
        <v>934275.5122222222</v>
      </c>
      <c r="G100" s="91"/>
      <c r="H100" s="91"/>
      <c r="I100" s="242"/>
      <c r="K100" s="325"/>
      <c r="L100" s="96"/>
    </row>
    <row r="101" spans="1:12" ht="12.75">
      <c r="A101" s="90">
        <v>43256</v>
      </c>
      <c r="B101" s="366">
        <f t="shared" si="4"/>
        <v>66</v>
      </c>
      <c r="C101" s="41">
        <f t="shared" si="5"/>
        <v>72573000</v>
      </c>
      <c r="D101" s="41">
        <f>D99</f>
        <v>2600000</v>
      </c>
      <c r="E101" s="361"/>
      <c r="F101" s="41"/>
      <c r="G101" s="91"/>
      <c r="H101" s="91"/>
      <c r="I101" s="242"/>
      <c r="K101" s="325"/>
      <c r="L101" s="96"/>
    </row>
    <row r="102" spans="1:12" ht="12.75">
      <c r="A102" s="90">
        <v>43281</v>
      </c>
      <c r="B102" s="366">
        <f t="shared" si="4"/>
        <v>25</v>
      </c>
      <c r="C102" s="41">
        <f t="shared" si="5"/>
        <v>72573000</v>
      </c>
      <c r="D102" s="41"/>
      <c r="E102" s="361">
        <f>E100</f>
        <v>0.04852</v>
      </c>
      <c r="F102" s="41">
        <f>((C101+D101)*E102/360*B101)+((C102+D102)*E102/360*B102)</f>
        <v>913219.5843333333</v>
      </c>
      <c r="G102" s="91"/>
      <c r="H102" s="91"/>
      <c r="I102" s="242"/>
      <c r="K102" s="325"/>
      <c r="L102" s="96"/>
    </row>
    <row r="103" spans="1:12" ht="12.75">
      <c r="A103" s="90">
        <v>43348</v>
      </c>
      <c r="B103" s="366">
        <f t="shared" si="4"/>
        <v>67</v>
      </c>
      <c r="C103" s="41">
        <f t="shared" si="5"/>
        <v>69973000</v>
      </c>
      <c r="D103" s="41">
        <f>D101</f>
        <v>2600000</v>
      </c>
      <c r="E103" s="361"/>
      <c r="F103" s="41"/>
      <c r="G103" s="91"/>
      <c r="H103" s="91"/>
      <c r="I103" s="242"/>
      <c r="K103" s="325"/>
      <c r="L103" s="96"/>
    </row>
    <row r="104" spans="1:12" ht="12.75">
      <c r="A104" s="90">
        <v>43373</v>
      </c>
      <c r="B104" s="366">
        <f aca="true" t="shared" si="6" ref="B104:B135">A104-A103</f>
        <v>25</v>
      </c>
      <c r="C104" s="41">
        <f t="shared" si="5"/>
        <v>69973000</v>
      </c>
      <c r="D104" s="41"/>
      <c r="E104" s="361">
        <f>E102</f>
        <v>0.04852</v>
      </c>
      <c r="F104" s="41">
        <f>((C103+D103)*E104/360*B103)+((C104+D104)*E104/360*B104)</f>
        <v>891112.3897777777</v>
      </c>
      <c r="G104" s="91"/>
      <c r="H104" s="91"/>
      <c r="I104" s="242"/>
      <c r="K104" s="325"/>
      <c r="L104" s="96"/>
    </row>
    <row r="105" spans="1:12" ht="12.75">
      <c r="A105" s="90">
        <v>43439</v>
      </c>
      <c r="B105" s="366">
        <f t="shared" si="6"/>
        <v>66</v>
      </c>
      <c r="C105" s="41">
        <f t="shared" si="5"/>
        <v>67373000</v>
      </c>
      <c r="D105" s="41">
        <f>D103</f>
        <v>2600000</v>
      </c>
      <c r="E105" s="361"/>
      <c r="F105" s="41"/>
      <c r="G105" s="91"/>
      <c r="H105" s="91"/>
      <c r="I105" s="242"/>
      <c r="K105" s="325"/>
      <c r="L105" s="96"/>
    </row>
    <row r="106" spans="1:12" ht="12.75">
      <c r="A106" s="97">
        <v>43465</v>
      </c>
      <c r="B106" s="367">
        <f t="shared" si="6"/>
        <v>26</v>
      </c>
      <c r="C106" s="99">
        <f t="shared" si="5"/>
        <v>67373000</v>
      </c>
      <c r="D106" s="99"/>
      <c r="E106" s="362">
        <f>E104</f>
        <v>0.04852</v>
      </c>
      <c r="F106" s="99">
        <f>((C105+D105)*E106/360*B105)+((C106+D106)*E106/360*B106)</f>
        <v>858523.1231111111</v>
      </c>
      <c r="G106" s="359">
        <f>SUM(F100:F106)</f>
        <v>3597130.609444444</v>
      </c>
      <c r="H106" s="359">
        <f>SUM(D99:D106)</f>
        <v>10400000</v>
      </c>
      <c r="I106" s="360">
        <f>SUM(G106:H106)</f>
        <v>13997130.609444443</v>
      </c>
      <c r="K106" s="320"/>
      <c r="L106" s="324"/>
    </row>
    <row r="107" spans="1:12" ht="12.75">
      <c r="A107" s="103">
        <v>43529</v>
      </c>
      <c r="B107" s="365">
        <f t="shared" si="6"/>
        <v>64</v>
      </c>
      <c r="C107" s="42">
        <f t="shared" si="5"/>
        <v>64773000</v>
      </c>
      <c r="D107" s="41">
        <f>D105</f>
        <v>2600000</v>
      </c>
      <c r="E107" s="104"/>
      <c r="F107" s="104"/>
      <c r="G107" s="104"/>
      <c r="H107" s="104"/>
      <c r="I107" s="253"/>
      <c r="K107" s="374"/>
      <c r="L107" s="253"/>
    </row>
    <row r="108" spans="1:12" ht="12.75">
      <c r="A108" s="90">
        <v>43555</v>
      </c>
      <c r="B108" s="366">
        <f t="shared" si="6"/>
        <v>26</v>
      </c>
      <c r="C108" s="41">
        <f aca="true" t="shared" si="7" ref="C108:C139">C107-D108</f>
        <v>64773000</v>
      </c>
      <c r="D108" s="41"/>
      <c r="E108" s="361">
        <f>E106</f>
        <v>0.04852</v>
      </c>
      <c r="F108" s="41">
        <f>((C107+D107)*E108/360*B107)+((C108+D108)*E108/360*B108)</f>
        <v>808123.5122222223</v>
      </c>
      <c r="G108" s="91"/>
      <c r="H108" s="91"/>
      <c r="I108" s="242"/>
      <c r="K108" s="325"/>
      <c r="L108" s="96"/>
    </row>
    <row r="109" spans="1:12" ht="12.75">
      <c r="A109" s="90">
        <v>43621</v>
      </c>
      <c r="B109" s="366">
        <f t="shared" si="6"/>
        <v>66</v>
      </c>
      <c r="C109" s="41">
        <f t="shared" si="7"/>
        <v>62173000</v>
      </c>
      <c r="D109" s="41">
        <f>D107</f>
        <v>2600000</v>
      </c>
      <c r="E109" s="361"/>
      <c r="F109" s="41"/>
      <c r="G109" s="91"/>
      <c r="H109" s="91"/>
      <c r="I109" s="242"/>
      <c r="K109" s="325"/>
      <c r="L109" s="96"/>
    </row>
    <row r="110" spans="1:12" ht="12.75">
      <c r="A110" s="90">
        <v>43646</v>
      </c>
      <c r="B110" s="366">
        <f t="shared" si="6"/>
        <v>25</v>
      </c>
      <c r="C110" s="41">
        <f t="shared" si="7"/>
        <v>62173000</v>
      </c>
      <c r="D110" s="41"/>
      <c r="E110" s="361">
        <f>E108</f>
        <v>0.04852</v>
      </c>
      <c r="F110" s="41">
        <f>((C109+D109)*E110/360*B109)+((C110+D110)*E110/360*B110)</f>
        <v>785665.8954444444</v>
      </c>
      <c r="G110" s="91"/>
      <c r="H110" s="91"/>
      <c r="I110" s="242"/>
      <c r="K110" s="325"/>
      <c r="L110" s="96"/>
    </row>
    <row r="111" spans="1:12" ht="12.75">
      <c r="A111" s="90">
        <v>43713</v>
      </c>
      <c r="B111" s="366">
        <f t="shared" si="6"/>
        <v>67</v>
      </c>
      <c r="C111" s="41">
        <f t="shared" si="7"/>
        <v>59573000</v>
      </c>
      <c r="D111" s="41">
        <f>D109</f>
        <v>2600000</v>
      </c>
      <c r="E111" s="361"/>
      <c r="F111" s="41"/>
      <c r="G111" s="91"/>
      <c r="H111" s="91"/>
      <c r="I111" s="242"/>
      <c r="K111" s="325"/>
      <c r="L111" s="96"/>
    </row>
    <row r="112" spans="1:12" ht="12.75">
      <c r="A112" s="90">
        <v>43738</v>
      </c>
      <c r="B112" s="366">
        <f t="shared" si="6"/>
        <v>25</v>
      </c>
      <c r="C112" s="41">
        <f t="shared" si="7"/>
        <v>59573000</v>
      </c>
      <c r="D112" s="41"/>
      <c r="E112" s="361">
        <f>E110</f>
        <v>0.04852</v>
      </c>
      <c r="F112" s="41">
        <f>((C111+D111)*E112/360*B111)+((C112+D112)*E112/360*B112)</f>
        <v>762157.012</v>
      </c>
      <c r="G112" s="91"/>
      <c r="H112" s="91"/>
      <c r="I112" s="242"/>
      <c r="K112" s="325"/>
      <c r="L112" s="96"/>
    </row>
    <row r="113" spans="1:12" ht="12.75">
      <c r="A113" s="90">
        <v>43804</v>
      </c>
      <c r="B113" s="366">
        <f t="shared" si="6"/>
        <v>66</v>
      </c>
      <c r="C113" s="41">
        <f t="shared" si="7"/>
        <v>56973000</v>
      </c>
      <c r="D113" s="41">
        <f>D111</f>
        <v>2600000</v>
      </c>
      <c r="E113" s="361"/>
      <c r="F113" s="41"/>
      <c r="G113" s="91"/>
      <c r="H113" s="91"/>
      <c r="I113" s="242"/>
      <c r="K113" s="325"/>
      <c r="L113" s="96"/>
    </row>
    <row r="114" spans="1:12" ht="12.75">
      <c r="A114" s="97">
        <v>43830</v>
      </c>
      <c r="B114" s="367">
        <f t="shared" si="6"/>
        <v>26</v>
      </c>
      <c r="C114" s="99">
        <f t="shared" si="7"/>
        <v>56973000</v>
      </c>
      <c r="D114" s="99"/>
      <c r="E114" s="362">
        <f>E112</f>
        <v>0.04852</v>
      </c>
      <c r="F114" s="99">
        <f>((C113+D113)*E114/360*B113)+((C114+D114)*E114/360*B114)</f>
        <v>729567.7453333334</v>
      </c>
      <c r="G114" s="359">
        <f>SUM(F108:F114)</f>
        <v>3085514.165</v>
      </c>
      <c r="H114" s="359">
        <f>SUM(D107:D114)</f>
        <v>10400000</v>
      </c>
      <c r="I114" s="360">
        <f>SUM(G114:H114)</f>
        <v>13485514.165</v>
      </c>
      <c r="K114" s="320"/>
      <c r="L114" s="324"/>
    </row>
    <row r="115" spans="1:12" ht="12.75">
      <c r="A115" s="103">
        <v>43895</v>
      </c>
      <c r="B115" s="365">
        <f t="shared" si="6"/>
        <v>65</v>
      </c>
      <c r="C115" s="42">
        <f t="shared" si="7"/>
        <v>54373000</v>
      </c>
      <c r="D115" s="41">
        <f>D113</f>
        <v>2600000</v>
      </c>
      <c r="E115" s="104"/>
      <c r="F115" s="104"/>
      <c r="G115" s="104"/>
      <c r="H115" s="104"/>
      <c r="I115" s="253"/>
      <c r="K115" s="374"/>
      <c r="L115" s="253"/>
    </row>
    <row r="116" spans="1:12" ht="12.75">
      <c r="A116" s="90">
        <v>43921</v>
      </c>
      <c r="B116" s="366">
        <f t="shared" si="6"/>
        <v>26</v>
      </c>
      <c r="C116" s="41">
        <f t="shared" si="7"/>
        <v>54373000</v>
      </c>
      <c r="D116" s="41"/>
      <c r="E116" s="361">
        <f>E114</f>
        <v>0.04852</v>
      </c>
      <c r="F116" s="41">
        <f>((C115+D115)*E116/360*B115)+((C116+D116)*E116/360*B116)</f>
        <v>689650.2065555556</v>
      </c>
      <c r="G116" s="91"/>
      <c r="H116" s="91"/>
      <c r="I116" s="242"/>
      <c r="K116" s="325"/>
      <c r="L116" s="96"/>
    </row>
    <row r="117" spans="1:12" ht="12.75">
      <c r="A117" s="90">
        <v>43987</v>
      </c>
      <c r="B117" s="366">
        <f t="shared" si="6"/>
        <v>66</v>
      </c>
      <c r="C117" s="41">
        <f t="shared" si="7"/>
        <v>51773000</v>
      </c>
      <c r="D117" s="41">
        <f>D115</f>
        <v>2600000</v>
      </c>
      <c r="E117" s="361"/>
      <c r="F117" s="41"/>
      <c r="G117" s="91"/>
      <c r="H117" s="91"/>
      <c r="I117" s="242"/>
      <c r="K117" s="325"/>
      <c r="L117" s="96"/>
    </row>
    <row r="118" spans="1:12" ht="12.75">
      <c r="A118" s="90">
        <v>44012</v>
      </c>
      <c r="B118" s="366">
        <f t="shared" si="6"/>
        <v>25</v>
      </c>
      <c r="C118" s="41">
        <f t="shared" si="7"/>
        <v>51773000</v>
      </c>
      <c r="D118" s="41"/>
      <c r="E118" s="361">
        <f>E116</f>
        <v>0.04852</v>
      </c>
      <c r="F118" s="41">
        <f>((C117+D117)*E118/360*B117)+((C118+D118)*E118/360*B118)</f>
        <v>658112.2065555556</v>
      </c>
      <c r="G118" s="91"/>
      <c r="H118" s="91"/>
      <c r="I118" s="242"/>
      <c r="K118" s="325"/>
      <c r="L118" s="96"/>
    </row>
    <row r="119" spans="1:12" ht="12.75">
      <c r="A119" s="90">
        <v>44079</v>
      </c>
      <c r="B119" s="366">
        <f t="shared" si="6"/>
        <v>67</v>
      </c>
      <c r="C119" s="41">
        <f t="shared" si="7"/>
        <v>49173000</v>
      </c>
      <c r="D119" s="41">
        <f>D117</f>
        <v>2600000</v>
      </c>
      <c r="E119" s="361"/>
      <c r="F119" s="41"/>
      <c r="G119" s="91"/>
      <c r="H119" s="91"/>
      <c r="I119" s="242"/>
      <c r="K119" s="325"/>
      <c r="L119" s="96"/>
    </row>
    <row r="120" spans="1:12" ht="12.75">
      <c r="A120" s="90">
        <v>44104</v>
      </c>
      <c r="B120" s="366">
        <f t="shared" si="6"/>
        <v>25</v>
      </c>
      <c r="C120" s="41">
        <f t="shared" si="7"/>
        <v>49173000</v>
      </c>
      <c r="D120" s="41"/>
      <c r="E120" s="361">
        <f>E118</f>
        <v>0.04852</v>
      </c>
      <c r="F120" s="41">
        <f>((C119+D119)*E120/360*B119)+((C120+D120)*E120/360*B120)</f>
        <v>633201.6342222223</v>
      </c>
      <c r="G120" s="91"/>
      <c r="H120" s="91"/>
      <c r="I120" s="242"/>
      <c r="K120" s="325"/>
      <c r="L120" s="96"/>
    </row>
    <row r="121" spans="1:12" ht="12.75">
      <c r="A121" s="90">
        <v>44170</v>
      </c>
      <c r="B121" s="366">
        <f t="shared" si="6"/>
        <v>66</v>
      </c>
      <c r="C121" s="41">
        <f t="shared" si="7"/>
        <v>46573000</v>
      </c>
      <c r="D121" s="41">
        <f>D119</f>
        <v>2600000</v>
      </c>
      <c r="E121" s="361"/>
      <c r="F121" s="41"/>
      <c r="G121" s="91"/>
      <c r="H121" s="91"/>
      <c r="I121" s="242"/>
      <c r="K121" s="325"/>
      <c r="L121" s="96"/>
    </row>
    <row r="122" spans="1:12" ht="12.75">
      <c r="A122" s="97">
        <v>44196</v>
      </c>
      <c r="B122" s="367">
        <f t="shared" si="6"/>
        <v>26</v>
      </c>
      <c r="C122" s="99">
        <f t="shared" si="7"/>
        <v>46573000</v>
      </c>
      <c r="D122" s="99"/>
      <c r="E122" s="362">
        <f>E120</f>
        <v>0.04852</v>
      </c>
      <c r="F122" s="99">
        <f>((C121+D121)*E122/360*B121)+((C122+D122)*E122/360*B122)</f>
        <v>600612.3675555555</v>
      </c>
      <c r="G122" s="359">
        <f>SUM(F116:F122)</f>
        <v>2581576.414888889</v>
      </c>
      <c r="H122" s="359">
        <f>SUM(D115:D122)</f>
        <v>10400000</v>
      </c>
      <c r="I122" s="360">
        <f>SUM(G122:H122)</f>
        <v>12981576.414888889</v>
      </c>
      <c r="K122" s="320"/>
      <c r="L122" s="324"/>
    </row>
    <row r="123" spans="1:12" ht="12.75">
      <c r="A123" s="103">
        <v>44260</v>
      </c>
      <c r="B123" s="365">
        <f t="shared" si="6"/>
        <v>64</v>
      </c>
      <c r="C123" s="42">
        <f t="shared" si="7"/>
        <v>43973000</v>
      </c>
      <c r="D123" s="41">
        <f>D121</f>
        <v>2600000</v>
      </c>
      <c r="E123" s="104"/>
      <c r="F123" s="104"/>
      <c r="G123" s="104"/>
      <c r="H123" s="104"/>
      <c r="I123" s="253"/>
      <c r="K123" s="374"/>
      <c r="L123" s="253"/>
    </row>
    <row r="124" spans="1:12" ht="12.75">
      <c r="A124" s="90">
        <v>44286</v>
      </c>
      <c r="B124" s="366">
        <f t="shared" si="6"/>
        <v>26</v>
      </c>
      <c r="C124" s="41">
        <f t="shared" si="7"/>
        <v>43973000</v>
      </c>
      <c r="D124" s="41"/>
      <c r="E124" s="361">
        <f>E122</f>
        <v>0.04852</v>
      </c>
      <c r="F124" s="41">
        <f>((C123+D123)*E124/360*B123)+((C124+D124)*E124/360*B124)</f>
        <v>555819.5122222222</v>
      </c>
      <c r="G124" s="91"/>
      <c r="H124" s="91"/>
      <c r="I124" s="242"/>
      <c r="K124" s="325"/>
      <c r="L124" s="96"/>
    </row>
    <row r="125" spans="1:12" ht="12.75">
      <c r="A125" s="90">
        <v>44352</v>
      </c>
      <c r="B125" s="366">
        <f t="shared" si="6"/>
        <v>66</v>
      </c>
      <c r="C125" s="41">
        <f t="shared" si="7"/>
        <v>41373000</v>
      </c>
      <c r="D125" s="41">
        <f>D123</f>
        <v>2600000</v>
      </c>
      <c r="E125" s="361"/>
      <c r="F125" s="41"/>
      <c r="G125" s="91"/>
      <c r="H125" s="91"/>
      <c r="I125" s="242"/>
      <c r="K125" s="325"/>
      <c r="L125" s="96"/>
    </row>
    <row r="126" spans="1:12" ht="12.75">
      <c r="A126" s="90">
        <v>44377</v>
      </c>
      <c r="B126" s="366">
        <f t="shared" si="6"/>
        <v>25</v>
      </c>
      <c r="C126" s="41">
        <f t="shared" si="7"/>
        <v>41373000</v>
      </c>
      <c r="D126" s="41"/>
      <c r="E126" s="361">
        <f>E124</f>
        <v>0.04852</v>
      </c>
      <c r="F126" s="41">
        <f>((C125+D125)*E126/360*B125)+((C126+D126)*E126/360*B126)</f>
        <v>530558.5176666667</v>
      </c>
      <c r="G126" s="91"/>
      <c r="H126" s="91"/>
      <c r="I126" s="242"/>
      <c r="K126" s="325"/>
      <c r="L126" s="96"/>
    </row>
    <row r="127" spans="1:12" ht="12.75">
      <c r="A127" s="90">
        <v>44444</v>
      </c>
      <c r="B127" s="366">
        <f t="shared" si="6"/>
        <v>67</v>
      </c>
      <c r="C127" s="41">
        <f t="shared" si="7"/>
        <v>38773000</v>
      </c>
      <c r="D127" s="41">
        <f>D125</f>
        <v>2600000</v>
      </c>
      <c r="E127" s="361"/>
      <c r="F127" s="41"/>
      <c r="G127" s="91"/>
      <c r="H127" s="91"/>
      <c r="I127" s="242"/>
      <c r="K127" s="325"/>
      <c r="L127" s="96"/>
    </row>
    <row r="128" spans="1:12" ht="12.75">
      <c r="A128" s="90">
        <v>44469</v>
      </c>
      <c r="B128" s="366">
        <f t="shared" si="6"/>
        <v>25</v>
      </c>
      <c r="C128" s="41">
        <f t="shared" si="7"/>
        <v>38773000</v>
      </c>
      <c r="D128" s="41"/>
      <c r="E128" s="361">
        <f>E126</f>
        <v>0.04852</v>
      </c>
      <c r="F128" s="41">
        <f>((C127+D127)*E128/360*B127)+((C128+D128)*E128/360*B128)</f>
        <v>504246.2564444445</v>
      </c>
      <c r="G128" s="91"/>
      <c r="H128" s="91"/>
      <c r="I128" s="242"/>
      <c r="K128" s="325"/>
      <c r="L128" s="96"/>
    </row>
    <row r="129" spans="1:12" ht="12.75">
      <c r="A129" s="90">
        <v>44535</v>
      </c>
      <c r="B129" s="366">
        <f t="shared" si="6"/>
        <v>66</v>
      </c>
      <c r="C129" s="41">
        <f t="shared" si="7"/>
        <v>36173000</v>
      </c>
      <c r="D129" s="41">
        <f>D127</f>
        <v>2600000</v>
      </c>
      <c r="E129" s="361"/>
      <c r="F129" s="41"/>
      <c r="G129" s="91"/>
      <c r="H129" s="91"/>
      <c r="I129" s="242"/>
      <c r="K129" s="325"/>
      <c r="L129" s="96"/>
    </row>
    <row r="130" spans="1:12" ht="12.75">
      <c r="A130" s="97">
        <v>44561</v>
      </c>
      <c r="B130" s="367">
        <f t="shared" si="6"/>
        <v>26</v>
      </c>
      <c r="C130" s="99">
        <f t="shared" si="7"/>
        <v>36173000</v>
      </c>
      <c r="D130" s="99"/>
      <c r="E130" s="362">
        <f>E128</f>
        <v>0.04852</v>
      </c>
      <c r="F130" s="99">
        <f>((C129+D129)*E130/360*B129)+((C130+D130)*E130/360*B130)</f>
        <v>471656.9897777778</v>
      </c>
      <c r="G130" s="359">
        <f>SUM(F124:F130)</f>
        <v>2062281.276111111</v>
      </c>
      <c r="H130" s="359">
        <f>SUM(D123:D130)</f>
        <v>10400000</v>
      </c>
      <c r="I130" s="360">
        <f>SUM(G130:H130)</f>
        <v>12462281.276111111</v>
      </c>
      <c r="K130" s="320"/>
      <c r="L130" s="324"/>
    </row>
    <row r="131" spans="1:12" ht="12.75">
      <c r="A131" s="103">
        <v>44625</v>
      </c>
      <c r="B131" s="365">
        <f t="shared" si="6"/>
        <v>64</v>
      </c>
      <c r="C131" s="42">
        <f t="shared" si="7"/>
        <v>33573000</v>
      </c>
      <c r="D131" s="41">
        <f>D129</f>
        <v>2600000</v>
      </c>
      <c r="E131" s="104"/>
      <c r="F131" s="104"/>
      <c r="G131" s="104"/>
      <c r="H131" s="104"/>
      <c r="I131" s="253"/>
      <c r="K131" s="374"/>
      <c r="L131" s="253"/>
    </row>
    <row r="132" spans="1:12" ht="12.75">
      <c r="A132" s="90">
        <v>44651</v>
      </c>
      <c r="B132" s="366">
        <f t="shared" si="6"/>
        <v>26</v>
      </c>
      <c r="C132" s="41">
        <f t="shared" si="7"/>
        <v>33573000</v>
      </c>
      <c r="D132" s="41"/>
      <c r="E132" s="361">
        <f>E130</f>
        <v>0.04852</v>
      </c>
      <c r="F132" s="41">
        <f>((C131+D131)*E132/360*B131)+((C132+D132)*E132/360*B132)</f>
        <v>429667.51222222217</v>
      </c>
      <c r="G132" s="91"/>
      <c r="H132" s="91"/>
      <c r="I132" s="242"/>
      <c r="K132" s="325"/>
      <c r="L132" s="96"/>
    </row>
    <row r="133" spans="1:12" ht="12.75">
      <c r="A133" s="90">
        <v>44717</v>
      </c>
      <c r="B133" s="366">
        <f t="shared" si="6"/>
        <v>66</v>
      </c>
      <c r="C133" s="41">
        <f t="shared" si="7"/>
        <v>30973000</v>
      </c>
      <c r="D133" s="41">
        <f>D131</f>
        <v>2600000</v>
      </c>
      <c r="E133" s="361"/>
      <c r="F133" s="41"/>
      <c r="G133" s="91"/>
      <c r="H133" s="91"/>
      <c r="I133" s="242"/>
      <c r="K133" s="325"/>
      <c r="L133" s="96"/>
    </row>
    <row r="134" spans="1:12" ht="12.75">
      <c r="A134" s="90">
        <v>44742</v>
      </c>
      <c r="B134" s="366">
        <f t="shared" si="6"/>
        <v>25</v>
      </c>
      <c r="C134" s="41">
        <f t="shared" si="7"/>
        <v>30973000</v>
      </c>
      <c r="D134" s="41"/>
      <c r="E134" s="361">
        <f>E132</f>
        <v>0.04852</v>
      </c>
      <c r="F134" s="41">
        <f>((C133+D133)*E134/360*B133)+((C134+D134)*E134/360*B134)</f>
        <v>403004.8287777778</v>
      </c>
      <c r="G134" s="91"/>
      <c r="H134" s="91"/>
      <c r="I134" s="242"/>
      <c r="K134" s="325"/>
      <c r="L134" s="96"/>
    </row>
    <row r="135" spans="1:12" ht="12.75">
      <c r="A135" s="90">
        <v>44809</v>
      </c>
      <c r="B135" s="366">
        <f t="shared" si="6"/>
        <v>67</v>
      </c>
      <c r="C135" s="41">
        <f t="shared" si="7"/>
        <v>28373000</v>
      </c>
      <c r="D135" s="41">
        <f>D133</f>
        <v>2600000</v>
      </c>
      <c r="E135" s="361"/>
      <c r="F135" s="41"/>
      <c r="G135" s="91"/>
      <c r="H135" s="91"/>
      <c r="I135" s="242"/>
      <c r="K135" s="325"/>
      <c r="L135" s="96"/>
    </row>
    <row r="136" spans="1:12" ht="12.75">
      <c r="A136" s="90">
        <v>44834</v>
      </c>
      <c r="B136" s="366">
        <f aca="true" t="shared" si="8" ref="B136:B157">A136-A135</f>
        <v>25</v>
      </c>
      <c r="C136" s="41">
        <f t="shared" si="7"/>
        <v>28373000</v>
      </c>
      <c r="D136" s="41"/>
      <c r="E136" s="361">
        <f>E134</f>
        <v>0.04852</v>
      </c>
      <c r="F136" s="41">
        <f>((C135+D135)*E136/360*B135)+((C136+D136)*E136/360*B136)</f>
        <v>375290.8786666667</v>
      </c>
      <c r="G136" s="91"/>
      <c r="H136" s="91"/>
      <c r="I136" s="242"/>
      <c r="K136" s="325"/>
      <c r="L136" s="96"/>
    </row>
    <row r="137" spans="1:12" ht="12.75">
      <c r="A137" s="90">
        <v>44900</v>
      </c>
      <c r="B137" s="366">
        <f t="shared" si="8"/>
        <v>66</v>
      </c>
      <c r="C137" s="41">
        <f t="shared" si="7"/>
        <v>25773000</v>
      </c>
      <c r="D137" s="41">
        <f>D135</f>
        <v>2600000</v>
      </c>
      <c r="E137" s="361"/>
      <c r="F137" s="41"/>
      <c r="G137" s="91"/>
      <c r="H137" s="91"/>
      <c r="I137" s="242"/>
      <c r="K137" s="325"/>
      <c r="L137" s="96"/>
    </row>
    <row r="138" spans="1:12" ht="12.75">
      <c r="A138" s="97">
        <v>44926</v>
      </c>
      <c r="B138" s="367">
        <f t="shared" si="8"/>
        <v>26</v>
      </c>
      <c r="C138" s="99">
        <f t="shared" si="7"/>
        <v>25773000</v>
      </c>
      <c r="D138" s="99"/>
      <c r="E138" s="362">
        <f>E136</f>
        <v>0.04852</v>
      </c>
      <c r="F138" s="99">
        <f>((C137+D137)*E138/360*B137)+((C138+D138)*E138/360*B138)</f>
        <v>342701.61199999996</v>
      </c>
      <c r="G138" s="359">
        <f>SUM(F132:F138)</f>
        <v>1550664.8316666668</v>
      </c>
      <c r="H138" s="359">
        <f>SUM(D131:D138)</f>
        <v>10400000</v>
      </c>
      <c r="I138" s="360">
        <f>SUM(G138:H138)</f>
        <v>11950664.831666667</v>
      </c>
      <c r="K138" s="320"/>
      <c r="L138" s="324"/>
    </row>
    <row r="139" spans="1:12" ht="12.75">
      <c r="A139" s="103">
        <v>44990</v>
      </c>
      <c r="B139" s="365">
        <f t="shared" si="8"/>
        <v>64</v>
      </c>
      <c r="C139" s="42">
        <f t="shared" si="7"/>
        <v>23173000</v>
      </c>
      <c r="D139" s="41">
        <f>D137</f>
        <v>2600000</v>
      </c>
      <c r="E139" s="104"/>
      <c r="F139" s="104"/>
      <c r="G139" s="104"/>
      <c r="H139" s="104"/>
      <c r="I139" s="253"/>
      <c r="K139" s="374"/>
      <c r="L139" s="253"/>
    </row>
    <row r="140" spans="1:12" ht="12.75">
      <c r="A140" s="90">
        <v>45016</v>
      </c>
      <c r="B140" s="366">
        <f t="shared" si="8"/>
        <v>26</v>
      </c>
      <c r="C140" s="41">
        <f aca="true" t="shared" si="9" ref="C140:C157">C139-D140</f>
        <v>23173000</v>
      </c>
      <c r="D140" s="41"/>
      <c r="E140" s="361">
        <f>E138</f>
        <v>0.04852</v>
      </c>
      <c r="F140" s="41">
        <f>((C139+D139)*E140/360*B139)+((C140+D140)*E140/360*B140)</f>
        <v>303515.5122222222</v>
      </c>
      <c r="G140" s="91"/>
      <c r="H140" s="91"/>
      <c r="I140" s="242"/>
      <c r="K140" s="325"/>
      <c r="L140" s="96"/>
    </row>
    <row r="141" spans="1:12" ht="12.75">
      <c r="A141" s="90">
        <v>45082</v>
      </c>
      <c r="B141" s="366">
        <f t="shared" si="8"/>
        <v>66</v>
      </c>
      <c r="C141" s="41">
        <f t="shared" si="9"/>
        <v>20573000</v>
      </c>
      <c r="D141" s="41">
        <f>D139</f>
        <v>2600000</v>
      </c>
      <c r="E141" s="361"/>
      <c r="F141" s="41"/>
      <c r="G141" s="91"/>
      <c r="H141" s="91"/>
      <c r="I141" s="242"/>
      <c r="K141" s="325"/>
      <c r="L141" s="96"/>
    </row>
    <row r="142" spans="1:12" ht="12.75">
      <c r="A142" s="90">
        <v>45107</v>
      </c>
      <c r="B142" s="366">
        <f t="shared" si="8"/>
        <v>25</v>
      </c>
      <c r="C142" s="41">
        <f t="shared" si="9"/>
        <v>20573000</v>
      </c>
      <c r="D142" s="41"/>
      <c r="E142" s="361">
        <f>E140</f>
        <v>0.04852</v>
      </c>
      <c r="F142" s="41">
        <f>((C141+D141)*E142/360*B141)+((C142+D142)*E142/360*B142)</f>
        <v>275451.1398888889</v>
      </c>
      <c r="G142" s="91"/>
      <c r="H142" s="91"/>
      <c r="I142" s="242"/>
      <c r="K142" s="325"/>
      <c r="L142" s="96"/>
    </row>
    <row r="143" spans="1:12" ht="12.75">
      <c r="A143" s="90">
        <v>45174</v>
      </c>
      <c r="B143" s="366">
        <f t="shared" si="8"/>
        <v>67</v>
      </c>
      <c r="C143" s="41">
        <f t="shared" si="9"/>
        <v>17973000</v>
      </c>
      <c r="D143" s="41">
        <f>D141</f>
        <v>2600000</v>
      </c>
      <c r="E143" s="361"/>
      <c r="F143" s="41"/>
      <c r="G143" s="91"/>
      <c r="H143" s="91"/>
      <c r="I143" s="242"/>
      <c r="K143" s="325"/>
      <c r="L143" s="96"/>
    </row>
    <row r="144" spans="1:12" ht="12.75">
      <c r="A144" s="90">
        <v>45199</v>
      </c>
      <c r="B144" s="366">
        <f t="shared" si="8"/>
        <v>25</v>
      </c>
      <c r="C144" s="41">
        <f t="shared" si="9"/>
        <v>17973000</v>
      </c>
      <c r="D144" s="41"/>
      <c r="E144" s="361">
        <f>E142</f>
        <v>0.04852</v>
      </c>
      <c r="F144" s="41">
        <f>((C143+D143)*E144/360*B143)+((C144+D144)*E144/360*B144)</f>
        <v>246335.5008888889</v>
      </c>
      <c r="G144" s="91"/>
      <c r="H144" s="91"/>
      <c r="I144" s="242"/>
      <c r="K144" s="325"/>
      <c r="L144" s="96"/>
    </row>
    <row r="145" spans="1:12" ht="12.75">
      <c r="A145" s="90">
        <v>45265</v>
      </c>
      <c r="B145" s="366">
        <f t="shared" si="8"/>
        <v>66</v>
      </c>
      <c r="C145" s="41">
        <f t="shared" si="9"/>
        <v>15373000</v>
      </c>
      <c r="D145" s="41">
        <f>D143</f>
        <v>2600000</v>
      </c>
      <c r="E145" s="361"/>
      <c r="F145" s="41"/>
      <c r="G145" s="91"/>
      <c r="H145" s="91"/>
      <c r="I145" s="242"/>
      <c r="K145" s="325"/>
      <c r="L145" s="96"/>
    </row>
    <row r="146" spans="1:12" ht="12.75">
      <c r="A146" s="97">
        <v>45291</v>
      </c>
      <c r="B146" s="367">
        <f t="shared" si="8"/>
        <v>26</v>
      </c>
      <c r="C146" s="99">
        <f t="shared" si="9"/>
        <v>15373000</v>
      </c>
      <c r="D146" s="99"/>
      <c r="E146" s="362">
        <f>E144</f>
        <v>0.04852</v>
      </c>
      <c r="F146" s="99">
        <f>((C145+D145)*E146/360*B145)+((C146+D146)*E146/360*B146)</f>
        <v>213746.23422222224</v>
      </c>
      <c r="G146" s="359">
        <f>SUM(F140:F146)</f>
        <v>1039048.3872222224</v>
      </c>
      <c r="H146" s="359">
        <f>SUM(D139:D146)</f>
        <v>10400000</v>
      </c>
      <c r="I146" s="360">
        <f>SUM(G146:H146)</f>
        <v>11439048.387222223</v>
      </c>
      <c r="K146" s="320"/>
      <c r="L146" s="324"/>
    </row>
    <row r="147" spans="1:12" ht="12.75">
      <c r="A147" s="103">
        <v>45356</v>
      </c>
      <c r="B147" s="365">
        <f t="shared" si="8"/>
        <v>65</v>
      </c>
      <c r="C147" s="42">
        <f t="shared" si="9"/>
        <v>12773000</v>
      </c>
      <c r="D147" s="41">
        <f>D145</f>
        <v>2600000</v>
      </c>
      <c r="E147" s="104"/>
      <c r="F147" s="104"/>
      <c r="G147" s="104"/>
      <c r="H147" s="104"/>
      <c r="I147" s="253"/>
      <c r="K147" s="374"/>
      <c r="L147" s="253"/>
    </row>
    <row r="148" spans="1:12" ht="12.75">
      <c r="A148" s="90">
        <v>45382</v>
      </c>
      <c r="B148" s="366">
        <f t="shared" si="8"/>
        <v>26</v>
      </c>
      <c r="C148" s="41">
        <f t="shared" si="9"/>
        <v>12773000</v>
      </c>
      <c r="D148" s="41"/>
      <c r="E148" s="361">
        <f>E146</f>
        <v>0.04852</v>
      </c>
      <c r="F148" s="41">
        <f>((C147+D147)*E148/360*B147)+((C148+D148)*E148/360*B148)</f>
        <v>179435.451</v>
      </c>
      <c r="G148" s="91"/>
      <c r="H148" s="91"/>
      <c r="I148" s="242"/>
      <c r="K148" s="325"/>
      <c r="L148" s="96"/>
    </row>
    <row r="149" spans="1:12" ht="12.75">
      <c r="A149" s="90">
        <v>45448</v>
      </c>
      <c r="B149" s="366">
        <f t="shared" si="8"/>
        <v>66</v>
      </c>
      <c r="C149" s="41">
        <f t="shared" si="9"/>
        <v>10173000</v>
      </c>
      <c r="D149" s="41">
        <f>D147</f>
        <v>2600000</v>
      </c>
      <c r="E149" s="361"/>
      <c r="F149" s="41"/>
      <c r="G149" s="91"/>
      <c r="H149" s="91"/>
      <c r="I149" s="242"/>
      <c r="K149" s="325"/>
      <c r="L149" s="96"/>
    </row>
    <row r="150" spans="1:12" ht="12.75">
      <c r="A150" s="90">
        <v>45473</v>
      </c>
      <c r="B150" s="366">
        <f t="shared" si="8"/>
        <v>25</v>
      </c>
      <c r="C150" s="41">
        <f t="shared" si="9"/>
        <v>10173000</v>
      </c>
      <c r="D150" s="41"/>
      <c r="E150" s="361">
        <f>E148</f>
        <v>0.04852</v>
      </c>
      <c r="F150" s="41">
        <f>((C149+D149)*E150/360*B149)+((C150+D150)*E150/360*B150)</f>
        <v>147897.451</v>
      </c>
      <c r="G150" s="91"/>
      <c r="H150" s="91"/>
      <c r="I150" s="242"/>
      <c r="K150" s="325"/>
      <c r="L150" s="96"/>
    </row>
    <row r="151" spans="1:12" ht="12.75">
      <c r="A151" s="90">
        <v>45540</v>
      </c>
      <c r="B151" s="366">
        <f t="shared" si="8"/>
        <v>67</v>
      </c>
      <c r="C151" s="41">
        <f t="shared" si="9"/>
        <v>7573000</v>
      </c>
      <c r="D151" s="41">
        <f>D149</f>
        <v>2600000</v>
      </c>
      <c r="E151" s="361"/>
      <c r="F151" s="41"/>
      <c r="G151" s="91"/>
      <c r="H151" s="91"/>
      <c r="I151" s="242"/>
      <c r="K151" s="325"/>
      <c r="L151" s="96"/>
    </row>
    <row r="152" spans="1:12" ht="12.75">
      <c r="A152" s="90">
        <v>45565</v>
      </c>
      <c r="B152" s="366">
        <f t="shared" si="8"/>
        <v>25</v>
      </c>
      <c r="C152" s="41">
        <f t="shared" si="9"/>
        <v>7573000</v>
      </c>
      <c r="D152" s="41"/>
      <c r="E152" s="361">
        <f>E150</f>
        <v>0.04852</v>
      </c>
      <c r="F152" s="41">
        <f>((C151+D151)*E152/360*B151)+((C152+D152)*E152/360*B152)</f>
        <v>117380.12311111111</v>
      </c>
      <c r="G152" s="91"/>
      <c r="H152" s="91"/>
      <c r="I152" s="242"/>
      <c r="K152" s="325"/>
      <c r="L152" s="96"/>
    </row>
    <row r="153" spans="1:12" ht="12.75">
      <c r="A153" s="90">
        <v>45631</v>
      </c>
      <c r="B153" s="366">
        <f t="shared" si="8"/>
        <v>66</v>
      </c>
      <c r="C153" s="41">
        <f t="shared" si="9"/>
        <v>4973000</v>
      </c>
      <c r="D153" s="41">
        <f>D151</f>
        <v>2600000</v>
      </c>
      <c r="E153" s="361"/>
      <c r="F153" s="41"/>
      <c r="G153" s="91"/>
      <c r="H153" s="91"/>
      <c r="I153" s="242"/>
      <c r="K153" s="325"/>
      <c r="L153" s="96"/>
    </row>
    <row r="154" spans="1:12" ht="12.75">
      <c r="A154" s="97">
        <v>45657</v>
      </c>
      <c r="B154" s="367">
        <f t="shared" si="8"/>
        <v>26</v>
      </c>
      <c r="C154" s="99">
        <f t="shared" si="9"/>
        <v>4973000</v>
      </c>
      <c r="D154" s="99"/>
      <c r="E154" s="362">
        <f>E152</f>
        <v>0.04852</v>
      </c>
      <c r="F154" s="99">
        <f>((C153+D153)*E154/360*B153)+((C154+D154)*E154/360*B154)</f>
        <v>84790.85644444445</v>
      </c>
      <c r="G154" s="359">
        <f>SUM(F148:F154)</f>
        <v>529503.8815555556</v>
      </c>
      <c r="H154" s="359">
        <f>SUM(D147:D154)</f>
        <v>10400000</v>
      </c>
      <c r="I154" s="360">
        <f>SUM(G154:H154)</f>
        <v>10929503.881555555</v>
      </c>
      <c r="K154" s="320"/>
      <c r="L154" s="324"/>
    </row>
    <row r="155" spans="1:12" ht="12.75">
      <c r="A155" s="103">
        <v>45721</v>
      </c>
      <c r="B155" s="365">
        <f t="shared" si="8"/>
        <v>64</v>
      </c>
      <c r="C155" s="42">
        <f t="shared" si="9"/>
        <v>2373000</v>
      </c>
      <c r="D155" s="41">
        <f>D153</f>
        <v>2600000</v>
      </c>
      <c r="E155" s="104"/>
      <c r="F155" s="104"/>
      <c r="G155" s="104"/>
      <c r="H155" s="104"/>
      <c r="I155" s="253"/>
      <c r="K155" s="374"/>
      <c r="L155" s="253"/>
    </row>
    <row r="156" spans="1:12" ht="12.75">
      <c r="A156" s="90">
        <v>45747</v>
      </c>
      <c r="B156" s="366">
        <f t="shared" si="8"/>
        <v>26</v>
      </c>
      <c r="C156" s="41">
        <f t="shared" si="9"/>
        <v>2373000</v>
      </c>
      <c r="D156" s="41"/>
      <c r="E156" s="361">
        <f>E154</f>
        <v>0.04852</v>
      </c>
      <c r="F156" s="41">
        <f>((C155+D155)*E156/360*B155)+((C156+D156)*E156/360*B156)</f>
        <v>51211.51222222223</v>
      </c>
      <c r="G156" s="91"/>
      <c r="H156" s="91"/>
      <c r="I156" s="242"/>
      <c r="K156" s="325"/>
      <c r="L156" s="96"/>
    </row>
    <row r="157" spans="1:12" ht="13.5" thickBot="1">
      <c r="A157" s="90">
        <v>45813</v>
      </c>
      <c r="B157" s="366">
        <f t="shared" si="8"/>
        <v>66</v>
      </c>
      <c r="C157" s="41">
        <f t="shared" si="9"/>
        <v>0</v>
      </c>
      <c r="D157" s="41">
        <v>2373000</v>
      </c>
      <c r="E157" s="361">
        <f>E156</f>
        <v>0.04852</v>
      </c>
      <c r="F157" s="41">
        <f>((C157+D157)*E157/360*B157)</f>
        <v>21108.626</v>
      </c>
      <c r="G157" s="359">
        <f>SUM(F156:F157)</f>
        <v>72320.13822222223</v>
      </c>
      <c r="H157" s="359">
        <f>SUM(D155:D157)</f>
        <v>4973000</v>
      </c>
      <c r="I157" s="360">
        <f>SUM(G157:H157)</f>
        <v>5045320.138222222</v>
      </c>
      <c r="K157" s="325"/>
      <c r="L157" s="96"/>
    </row>
    <row r="158" spans="1:12" ht="13.5" thickTop="1">
      <c r="A158" s="471" t="s">
        <v>14</v>
      </c>
      <c r="B158" s="472"/>
      <c r="C158" s="473"/>
      <c r="D158" s="120">
        <f>SUM(D7:D157)</f>
        <v>179173000</v>
      </c>
      <c r="E158" s="121"/>
      <c r="F158" s="120">
        <f>SUM(F7:F157)</f>
        <v>91958618.14633329</v>
      </c>
      <c r="G158" s="120">
        <f>SUM(G7:G157)</f>
        <v>91958618.1463333</v>
      </c>
      <c r="H158" s="120">
        <f>SUM(H7:H157)</f>
        <v>179173000</v>
      </c>
      <c r="I158" s="122">
        <f>SUM(I7:I157)</f>
        <v>271131618.14633334</v>
      </c>
      <c r="K158" s="375">
        <f>SUM(K7:K157)</f>
        <v>4003908</v>
      </c>
      <c r="L158" s="122">
        <f>SUM(L7:L157)</f>
        <v>430047</v>
      </c>
    </row>
    <row r="159" spans="1:9" ht="12.75">
      <c r="A159" s="123"/>
      <c r="B159" s="124"/>
      <c r="E159" s="125"/>
      <c r="G159" s="124"/>
      <c r="I159" s="124"/>
    </row>
    <row r="160" spans="1:9" ht="12.75">
      <c r="A160" s="123"/>
      <c r="B160" s="124"/>
      <c r="E160" s="125"/>
      <c r="G160" s="124"/>
      <c r="I160" s="124"/>
    </row>
    <row r="161" spans="2:9" ht="12.75">
      <c r="B161" s="58" t="s">
        <v>223</v>
      </c>
      <c r="D161" s="58"/>
      <c r="E161" s="125" t="s">
        <v>148</v>
      </c>
      <c r="G161" s="370">
        <v>76930000</v>
      </c>
      <c r="I161" s="124"/>
    </row>
    <row r="162" spans="2:9" ht="12.75">
      <c r="B162" s="58" t="s">
        <v>224</v>
      </c>
      <c r="D162" s="58"/>
      <c r="E162" s="125" t="s">
        <v>172</v>
      </c>
      <c r="G162" s="370">
        <v>71971000</v>
      </c>
      <c r="I162" s="124"/>
    </row>
    <row r="163" spans="2:12" ht="13.5" thickBot="1">
      <c r="B163" s="58" t="s">
        <v>225</v>
      </c>
      <c r="D163" s="58"/>
      <c r="E163" s="125" t="s">
        <v>222</v>
      </c>
      <c r="G163" s="370">
        <v>30272000</v>
      </c>
      <c r="I163" s="124"/>
      <c r="K163" s="56"/>
      <c r="L163" s="56"/>
    </row>
    <row r="164" spans="2:12" ht="13.5" thickTop="1">
      <c r="B164" s="127" t="s">
        <v>14</v>
      </c>
      <c r="C164" s="132"/>
      <c r="D164" s="127"/>
      <c r="E164" s="128"/>
      <c r="F164" s="129"/>
      <c r="G164" s="371">
        <f>SUM(G161:G163)</f>
        <v>179173000</v>
      </c>
      <c r="I164" s="124"/>
      <c r="K164" s="309"/>
      <c r="L164" s="309"/>
    </row>
    <row r="165" spans="11:12" ht="12.75">
      <c r="K165" s="56"/>
      <c r="L165" s="56"/>
    </row>
    <row r="166" spans="11:12" ht="12.75">
      <c r="K166" s="56"/>
      <c r="L166" s="56"/>
    </row>
  </sheetData>
  <mergeCells count="1">
    <mergeCell ref="A158:C158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2005. december 1-i felvételre tervezett 179.173 eFt hitel</oddHeader>
    <oddFooter>&amp;L&amp;8&amp;D&amp;C&amp;8C:\Andi\adósságszolgálat\&amp;F\&amp;A&amp;R&amp;8&amp;P/&amp;N</oddFooter>
  </headerFooter>
  <rowBreaks count="2" manualBreakCount="2">
    <brk id="66" max="255" man="1"/>
    <brk id="12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4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58" customWidth="1"/>
    <col min="6" max="6" width="12.625" style="58" customWidth="1"/>
    <col min="7" max="7" width="13.125" style="58" bestFit="1" customWidth="1"/>
    <col min="8" max="9" width="12.625" style="58" bestFit="1" customWidth="1"/>
    <col min="10" max="10" width="2.125" style="58" customWidth="1"/>
    <col min="11" max="11" width="10.375" style="58" customWidth="1"/>
    <col min="12" max="12" width="11.50390625" style="58" customWidth="1"/>
    <col min="13" max="16384" width="9.375" style="58" customWidth="1"/>
  </cols>
  <sheetData>
    <row r="1" ht="12.75">
      <c r="A1" s="165" t="s">
        <v>144</v>
      </c>
    </row>
    <row r="2" spans="1:9" ht="12.75">
      <c r="A2" s="166" t="s">
        <v>137</v>
      </c>
      <c r="B2" s="165"/>
      <c r="C2" s="166" t="s">
        <v>138</v>
      </c>
      <c r="D2" s="166"/>
      <c r="G2" s="166"/>
      <c r="H2" s="166"/>
      <c r="I2" s="166"/>
    </row>
    <row r="3" spans="1:12" ht="12.75">
      <c r="A3" s="166" t="s">
        <v>145</v>
      </c>
      <c r="B3" s="136"/>
      <c r="C3" s="135"/>
      <c r="D3" s="135"/>
      <c r="E3" s="135"/>
      <c r="F3" s="135"/>
      <c r="G3" s="135"/>
      <c r="H3" s="135"/>
      <c r="I3" s="135"/>
      <c r="K3" s="135"/>
      <c r="L3" s="135"/>
    </row>
    <row r="4" spans="1:12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  <c r="K4" s="372" t="s">
        <v>130</v>
      </c>
      <c r="L4" s="373"/>
    </row>
    <row r="5" spans="1:12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  <c r="K5" s="316" t="s">
        <v>131</v>
      </c>
      <c r="L5" s="317" t="s">
        <v>128</v>
      </c>
    </row>
    <row r="6" spans="1:12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  <c r="K6" s="337" t="s">
        <v>132</v>
      </c>
      <c r="L6" s="338" t="s">
        <v>129</v>
      </c>
    </row>
    <row r="7" spans="1:12" ht="12.75">
      <c r="A7" s="103">
        <v>38702</v>
      </c>
      <c r="B7" s="365"/>
      <c r="C7" s="41">
        <v>425421000</v>
      </c>
      <c r="D7" s="42"/>
      <c r="E7" s="358"/>
      <c r="F7" s="42"/>
      <c r="G7" s="155"/>
      <c r="H7" s="155"/>
      <c r="I7" s="156"/>
      <c r="K7" s="318"/>
      <c r="L7" s="106"/>
    </row>
    <row r="8" spans="1:12" ht="12.75">
      <c r="A8" s="97">
        <v>38716</v>
      </c>
      <c r="B8" s="367">
        <f>A8-A7</f>
        <v>14</v>
      </c>
      <c r="C8" s="99">
        <f>C7-D8</f>
        <v>425421000</v>
      </c>
      <c r="D8" s="99"/>
      <c r="E8" s="362">
        <v>0.03876</v>
      </c>
      <c r="F8" s="99">
        <f>SUM(K8:L8)</f>
        <v>641252</v>
      </c>
      <c r="G8" s="101">
        <f>SUM(F8:F8)</f>
        <v>641252</v>
      </c>
      <c r="H8" s="101">
        <f>SUM(D8:D8)</f>
        <v>0</v>
      </c>
      <c r="I8" s="102">
        <f>SUM(G8:H8)</f>
        <v>641252</v>
      </c>
      <c r="K8" s="320">
        <v>575075</v>
      </c>
      <c r="L8" s="324">
        <v>66177</v>
      </c>
    </row>
    <row r="9" spans="1:12" ht="12.75">
      <c r="A9" s="103">
        <v>38807</v>
      </c>
      <c r="B9" s="365">
        <f>A9-A8</f>
        <v>91</v>
      </c>
      <c r="C9" s="42">
        <f>C8-D9</f>
        <v>425421000</v>
      </c>
      <c r="D9" s="42"/>
      <c r="E9" s="363">
        <f>E8</f>
        <v>0.03876</v>
      </c>
      <c r="F9" s="42">
        <f>SUM(K9:L9)</f>
        <v>4532034</v>
      </c>
      <c r="G9" s="104"/>
      <c r="H9" s="104"/>
      <c r="I9" s="253"/>
      <c r="K9" s="325">
        <v>4101886</v>
      </c>
      <c r="L9" s="96">
        <v>430148</v>
      </c>
    </row>
    <row r="10" spans="1:12" ht="12.75">
      <c r="A10" s="90">
        <v>38898</v>
      </c>
      <c r="B10" s="366">
        <f>A10-A9</f>
        <v>91</v>
      </c>
      <c r="C10" s="41">
        <f>C9-D10</f>
        <v>425421000</v>
      </c>
      <c r="D10" s="41"/>
      <c r="E10" s="361">
        <v>0.04527</v>
      </c>
      <c r="F10" s="41">
        <f>SUM(K10:L10)</f>
        <v>4864595</v>
      </c>
      <c r="G10" s="91"/>
      <c r="H10" s="91"/>
      <c r="I10" s="242"/>
      <c r="K10" s="325">
        <v>4434447</v>
      </c>
      <c r="L10" s="96">
        <v>430148</v>
      </c>
    </row>
    <row r="11" spans="1:12" ht="12.75">
      <c r="A11" s="90">
        <v>38953</v>
      </c>
      <c r="B11" s="366">
        <f>A11-A10</f>
        <v>55</v>
      </c>
      <c r="C11" s="41">
        <v>607314000</v>
      </c>
      <c r="D11" s="41"/>
      <c r="E11" s="361"/>
      <c r="F11" s="41"/>
      <c r="G11" s="91"/>
      <c r="H11" s="91"/>
      <c r="I11" s="242"/>
      <c r="K11" s="351"/>
      <c r="L11" s="109"/>
    </row>
    <row r="12" spans="1:12" ht="12.75">
      <c r="A12" s="90">
        <v>38989</v>
      </c>
      <c r="B12" s="366">
        <f aca="true" t="shared" si="0" ref="B12:B26">A12-A11</f>
        <v>36</v>
      </c>
      <c r="C12" s="41">
        <f>C11-D12</f>
        <v>607314000</v>
      </c>
      <c r="D12" s="41"/>
      <c r="E12" s="361">
        <v>0.04791</v>
      </c>
      <c r="F12" s="41">
        <f>SUM(K12:L12)</f>
        <v>6020426</v>
      </c>
      <c r="G12" s="91"/>
      <c r="H12" s="91"/>
      <c r="I12" s="242"/>
      <c r="K12" s="325">
        <v>5517521</v>
      </c>
      <c r="L12" s="96">
        <v>502905</v>
      </c>
    </row>
    <row r="13" spans="1:12" ht="12.75">
      <c r="A13" s="254">
        <v>38991</v>
      </c>
      <c r="B13" s="366">
        <f>A13-A12</f>
        <v>2</v>
      </c>
      <c r="C13" s="41">
        <f>C12-D13</f>
        <v>607314000</v>
      </c>
      <c r="D13" s="107"/>
      <c r="E13" s="364">
        <v>0.04791</v>
      </c>
      <c r="F13" s="107"/>
      <c r="G13" s="108"/>
      <c r="H13" s="108"/>
      <c r="I13" s="263"/>
      <c r="K13" s="351"/>
      <c r="L13" s="109"/>
    </row>
    <row r="14" spans="1:12" ht="12.75">
      <c r="A14" s="97">
        <v>39080</v>
      </c>
      <c r="B14" s="367">
        <f>A14-A13</f>
        <v>89</v>
      </c>
      <c r="C14" s="99">
        <f>C13-D14</f>
        <v>607314000</v>
      </c>
      <c r="D14" s="99"/>
      <c r="E14" s="362">
        <v>0.05106</v>
      </c>
      <c r="F14" s="99">
        <f>SUM(K14:L14)</f>
        <v>7827873</v>
      </c>
      <c r="G14" s="359">
        <f>SUM(F9:F14)</f>
        <v>23244928</v>
      </c>
      <c r="H14" s="359">
        <f>SUM(D9:D14)</f>
        <v>0</v>
      </c>
      <c r="I14" s="360">
        <f>SUM(G14:H14)</f>
        <v>23244928</v>
      </c>
      <c r="K14" s="320">
        <v>7213811</v>
      </c>
      <c r="L14" s="324">
        <v>614062</v>
      </c>
    </row>
    <row r="15" spans="1:12" ht="12.75">
      <c r="A15" s="90">
        <v>39172</v>
      </c>
      <c r="B15" s="414">
        <f t="shared" si="0"/>
        <v>92</v>
      </c>
      <c r="C15" s="86">
        <f aca="true" t="shared" si="1" ref="C15:C25">C14-D15</f>
        <v>607314000</v>
      </c>
      <c r="D15" s="41"/>
      <c r="E15" s="361">
        <v>0.05452</v>
      </c>
      <c r="F15" s="86">
        <f>((C15+D15)*E15/360*B15)</f>
        <v>8461638.482666668</v>
      </c>
      <c r="G15" s="91"/>
      <c r="H15" s="91"/>
      <c r="I15" s="242"/>
      <c r="K15" s="325"/>
      <c r="L15" s="96"/>
    </row>
    <row r="16" spans="1:12" ht="12.75">
      <c r="A16" s="90">
        <v>39263</v>
      </c>
      <c r="B16" s="366">
        <f t="shared" si="0"/>
        <v>91</v>
      </c>
      <c r="C16" s="41">
        <f t="shared" si="1"/>
        <v>607314000</v>
      </c>
      <c r="D16" s="41"/>
      <c r="E16" s="361">
        <f>E15</f>
        <v>0.05452</v>
      </c>
      <c r="F16" s="41">
        <f>((C16+D16)*E16/360*B16)</f>
        <v>8369664.151333334</v>
      </c>
      <c r="G16" s="91"/>
      <c r="H16" s="91"/>
      <c r="I16" s="242"/>
      <c r="K16" s="325"/>
      <c r="L16" s="96"/>
    </row>
    <row r="17" spans="1:12" ht="12.75">
      <c r="A17" s="90">
        <v>39355</v>
      </c>
      <c r="B17" s="366">
        <f t="shared" si="0"/>
        <v>92</v>
      </c>
      <c r="C17" s="41">
        <f t="shared" si="1"/>
        <v>607314000</v>
      </c>
      <c r="D17" s="41"/>
      <c r="E17" s="361">
        <f>E16</f>
        <v>0.05452</v>
      </c>
      <c r="F17" s="41">
        <f>((C17+D17)*E17/360*B17)</f>
        <v>8461638.482666668</v>
      </c>
      <c r="G17" s="91"/>
      <c r="H17" s="91"/>
      <c r="I17" s="242"/>
      <c r="K17" s="325"/>
      <c r="L17" s="96"/>
    </row>
    <row r="18" spans="1:12" ht="12.75">
      <c r="A18" s="97">
        <v>39447</v>
      </c>
      <c r="B18" s="367">
        <f t="shared" si="0"/>
        <v>92</v>
      </c>
      <c r="C18" s="99">
        <f t="shared" si="1"/>
        <v>607314000</v>
      </c>
      <c r="D18" s="99"/>
      <c r="E18" s="362">
        <f>E17</f>
        <v>0.05452</v>
      </c>
      <c r="F18" s="99">
        <f>((C18+D18)*E18/360*B18)</f>
        <v>8461638.482666668</v>
      </c>
      <c r="G18" s="359">
        <f>SUM(F15:F18)</f>
        <v>33754579.59933334</v>
      </c>
      <c r="H18" s="359">
        <f>SUM(D15:D18)</f>
        <v>0</v>
      </c>
      <c r="I18" s="360">
        <f>SUM(G18:H18)</f>
        <v>33754579.59933334</v>
      </c>
      <c r="K18" s="320"/>
      <c r="L18" s="324"/>
    </row>
    <row r="19" spans="1:12" ht="12.75">
      <c r="A19" s="103">
        <v>39538</v>
      </c>
      <c r="B19" s="369">
        <f t="shared" si="0"/>
        <v>91</v>
      </c>
      <c r="C19" s="42">
        <f t="shared" si="1"/>
        <v>607314000</v>
      </c>
      <c r="D19" s="42"/>
      <c r="E19" s="363">
        <f>E18</f>
        <v>0.05452</v>
      </c>
      <c r="F19" s="42">
        <f>((C19+D19)*E19/360*B19)</f>
        <v>8369664.151333334</v>
      </c>
      <c r="G19" s="104"/>
      <c r="H19" s="104"/>
      <c r="I19" s="253"/>
      <c r="K19" s="318"/>
      <c r="L19" s="106"/>
    </row>
    <row r="20" spans="1:12" ht="12.75">
      <c r="A20" s="90">
        <v>39604</v>
      </c>
      <c r="B20" s="368">
        <f t="shared" si="0"/>
        <v>66</v>
      </c>
      <c r="C20" s="41">
        <f t="shared" si="1"/>
        <v>598514000</v>
      </c>
      <c r="D20" s="41">
        <v>8800000</v>
      </c>
      <c r="E20" s="361"/>
      <c r="F20" s="41"/>
      <c r="G20" s="91"/>
      <c r="H20" s="91"/>
      <c r="I20" s="242"/>
      <c r="K20" s="325"/>
      <c r="L20" s="96"/>
    </row>
    <row r="21" spans="1:12" ht="12.75">
      <c r="A21" s="90">
        <v>39629</v>
      </c>
      <c r="B21" s="368">
        <f t="shared" si="0"/>
        <v>25</v>
      </c>
      <c r="C21" s="41">
        <f t="shared" si="1"/>
        <v>598514000</v>
      </c>
      <c r="D21" s="41"/>
      <c r="E21" s="361">
        <f>E19</f>
        <v>0.05452</v>
      </c>
      <c r="F21" s="41">
        <f>((C20+D20)*E21/360*B20)+((C21+D21)*E21/360*B21)</f>
        <v>8336346.373555556</v>
      </c>
      <c r="G21" s="91"/>
      <c r="H21" s="91"/>
      <c r="I21" s="242"/>
      <c r="K21" s="325"/>
      <c r="L21" s="96"/>
    </row>
    <row r="22" spans="1:12" ht="12.75">
      <c r="A22" s="90">
        <v>39696</v>
      </c>
      <c r="B22" s="368">
        <f t="shared" si="0"/>
        <v>67</v>
      </c>
      <c r="C22" s="41">
        <f t="shared" si="1"/>
        <v>589714000</v>
      </c>
      <c r="D22" s="41">
        <v>8800000</v>
      </c>
      <c r="E22" s="361"/>
      <c r="F22" s="41"/>
      <c r="G22" s="91"/>
      <c r="H22" s="91"/>
      <c r="I22" s="242"/>
      <c r="K22" s="325"/>
      <c r="L22" s="96"/>
    </row>
    <row r="23" spans="1:12" ht="12.75">
      <c r="A23" s="90">
        <v>39721</v>
      </c>
      <c r="B23" s="368">
        <f t="shared" si="0"/>
        <v>25</v>
      </c>
      <c r="C23" s="41">
        <f t="shared" si="1"/>
        <v>589714000</v>
      </c>
      <c r="D23" s="41"/>
      <c r="E23" s="361">
        <f>E21</f>
        <v>0.05452</v>
      </c>
      <c r="F23" s="41">
        <f>((C22+D22)*E23/360*B22)+((C23+D23)*E23/360*B23)</f>
        <v>8305711.282666667</v>
      </c>
      <c r="G23" s="91"/>
      <c r="H23" s="91"/>
      <c r="I23" s="242"/>
      <c r="K23" s="325"/>
      <c r="L23" s="96"/>
    </row>
    <row r="24" spans="1:12" ht="12.75">
      <c r="A24" s="254">
        <v>39787</v>
      </c>
      <c r="B24" s="368">
        <f t="shared" si="0"/>
        <v>66</v>
      </c>
      <c r="C24" s="41">
        <f t="shared" si="1"/>
        <v>580914000</v>
      </c>
      <c r="D24" s="107">
        <v>8800000</v>
      </c>
      <c r="E24" s="364"/>
      <c r="F24" s="107"/>
      <c r="G24" s="108"/>
      <c r="H24" s="108"/>
      <c r="I24" s="263"/>
      <c r="K24" s="351"/>
      <c r="L24" s="109"/>
    </row>
    <row r="25" spans="1:12" ht="12.75">
      <c r="A25" s="97">
        <v>39813</v>
      </c>
      <c r="B25" s="367">
        <f t="shared" si="0"/>
        <v>26</v>
      </c>
      <c r="C25" s="99">
        <f t="shared" si="1"/>
        <v>580914000</v>
      </c>
      <c r="D25" s="99"/>
      <c r="E25" s="362">
        <f>E23</f>
        <v>0.05452</v>
      </c>
      <c r="F25" s="99">
        <f>((C24+D24)*E25/360*B24)+((C25+D25)*E25/360*B25)</f>
        <v>8181769.149333334</v>
      </c>
      <c r="G25" s="359">
        <f>SUM(F19:F25)</f>
        <v>33193490.95688889</v>
      </c>
      <c r="H25" s="359">
        <f>SUM(D19:D25)</f>
        <v>26400000</v>
      </c>
      <c r="I25" s="360">
        <f>SUM(G25:H25)</f>
        <v>59593490.95688889</v>
      </c>
      <c r="K25" s="320"/>
      <c r="L25" s="324"/>
    </row>
    <row r="26" spans="1:12" ht="12.75">
      <c r="A26" s="103">
        <v>39877</v>
      </c>
      <c r="B26" s="365">
        <f t="shared" si="0"/>
        <v>64</v>
      </c>
      <c r="C26" s="42">
        <f aca="true" t="shared" si="2" ref="C26:C33">C25-D26</f>
        <v>572114000</v>
      </c>
      <c r="D26" s="42">
        <v>8800000</v>
      </c>
      <c r="E26" s="104"/>
      <c r="F26" s="104"/>
      <c r="G26" s="104"/>
      <c r="H26" s="104"/>
      <c r="I26" s="253"/>
      <c r="K26" s="374"/>
      <c r="L26" s="253"/>
    </row>
    <row r="27" spans="1:12" ht="12.75">
      <c r="A27" s="90">
        <v>39903</v>
      </c>
      <c r="B27" s="366">
        <f aca="true" t="shared" si="3" ref="B27:B91">A27-A26</f>
        <v>26</v>
      </c>
      <c r="C27" s="41">
        <f t="shared" si="2"/>
        <v>572114000</v>
      </c>
      <c r="D27" s="41"/>
      <c r="E27" s="361">
        <f>E25</f>
        <v>0.05452</v>
      </c>
      <c r="F27" s="41">
        <f>((C26+D26)*E27/360*B26)+((C27+D27)*E27/360*B27)</f>
        <v>7883207.331111111</v>
      </c>
      <c r="G27" s="91"/>
      <c r="H27" s="91"/>
      <c r="I27" s="242"/>
      <c r="K27" s="325"/>
      <c r="L27" s="96"/>
    </row>
    <row r="28" spans="1:12" ht="12.75">
      <c r="A28" s="90">
        <v>39969</v>
      </c>
      <c r="B28" s="366">
        <f t="shared" si="3"/>
        <v>66</v>
      </c>
      <c r="C28" s="41">
        <f t="shared" si="2"/>
        <v>563314000</v>
      </c>
      <c r="D28" s="41">
        <v>8800000</v>
      </c>
      <c r="E28" s="361"/>
      <c r="F28" s="41"/>
      <c r="G28" s="91"/>
      <c r="H28" s="91"/>
      <c r="I28" s="242"/>
      <c r="K28" s="325"/>
      <c r="L28" s="96"/>
    </row>
    <row r="29" spans="1:12" ht="12.75">
      <c r="A29" s="90">
        <v>39994</v>
      </c>
      <c r="B29" s="366">
        <f t="shared" si="3"/>
        <v>25</v>
      </c>
      <c r="C29" s="41">
        <f t="shared" si="2"/>
        <v>563314000</v>
      </c>
      <c r="D29" s="41"/>
      <c r="E29" s="361">
        <f>E27</f>
        <v>0.05452</v>
      </c>
      <c r="F29" s="41">
        <f>((C28+D28)*E29/360*B28)+((C29+D29)*E29/360*B29)</f>
        <v>7851239.529111112</v>
      </c>
      <c r="G29" s="91"/>
      <c r="H29" s="91"/>
      <c r="I29" s="242"/>
      <c r="K29" s="325"/>
      <c r="L29" s="96"/>
    </row>
    <row r="30" spans="1:12" ht="12.75">
      <c r="A30" s="90">
        <v>40061</v>
      </c>
      <c r="B30" s="366">
        <f t="shared" si="3"/>
        <v>67</v>
      </c>
      <c r="C30" s="41">
        <f t="shared" si="2"/>
        <v>554514000</v>
      </c>
      <c r="D30" s="41">
        <v>8800000</v>
      </c>
      <c r="E30" s="361"/>
      <c r="F30" s="41"/>
      <c r="G30" s="91"/>
      <c r="H30" s="91"/>
      <c r="I30" s="242"/>
      <c r="K30" s="325"/>
      <c r="L30" s="96"/>
    </row>
    <row r="31" spans="1:12" ht="12.75">
      <c r="A31" s="90">
        <v>40086</v>
      </c>
      <c r="B31" s="366">
        <f t="shared" si="3"/>
        <v>25</v>
      </c>
      <c r="C31" s="41">
        <f t="shared" si="2"/>
        <v>554514000</v>
      </c>
      <c r="D31" s="41"/>
      <c r="E31" s="361">
        <f>E29</f>
        <v>0.05452</v>
      </c>
      <c r="F31" s="41">
        <f>((C30+D30)*E31/360*B30)+((C31+D31)*E31/360*B31)</f>
        <v>7815273.593777778</v>
      </c>
      <c r="G31" s="91"/>
      <c r="H31" s="91"/>
      <c r="I31" s="242"/>
      <c r="K31" s="325"/>
      <c r="L31" s="96"/>
    </row>
    <row r="32" spans="1:12" ht="12.75">
      <c r="A32" s="90">
        <v>40152</v>
      </c>
      <c r="B32" s="366">
        <f t="shared" si="3"/>
        <v>66</v>
      </c>
      <c r="C32" s="41">
        <f t="shared" si="2"/>
        <v>545714000</v>
      </c>
      <c r="D32" s="41">
        <v>8800000</v>
      </c>
      <c r="E32" s="361"/>
      <c r="F32" s="41"/>
      <c r="G32" s="91"/>
      <c r="H32" s="91"/>
      <c r="I32" s="242"/>
      <c r="K32" s="325"/>
      <c r="L32" s="96"/>
    </row>
    <row r="33" spans="1:12" ht="12.75">
      <c r="A33" s="97">
        <v>40178</v>
      </c>
      <c r="B33" s="367">
        <f t="shared" si="3"/>
        <v>26</v>
      </c>
      <c r="C33" s="99">
        <f t="shared" si="2"/>
        <v>545714000</v>
      </c>
      <c r="D33" s="99"/>
      <c r="E33" s="362">
        <f>E31</f>
        <v>0.05452</v>
      </c>
      <c r="F33" s="99">
        <f>((C32+D32)*E33/360*B32)+((C33+D33)*E33/360*B33)</f>
        <v>7691331.460444445</v>
      </c>
      <c r="G33" s="359">
        <f>SUM(F27:F33)</f>
        <v>31241051.914444447</v>
      </c>
      <c r="H33" s="359">
        <f>SUM(D26:D33)</f>
        <v>35200000</v>
      </c>
      <c r="I33" s="360">
        <f>SUM(G33:H33)</f>
        <v>66441051.91444445</v>
      </c>
      <c r="K33" s="320"/>
      <c r="L33" s="324"/>
    </row>
    <row r="34" spans="1:12" ht="12.75">
      <c r="A34" s="103">
        <v>40242</v>
      </c>
      <c r="B34" s="365">
        <f>A34-A33</f>
        <v>64</v>
      </c>
      <c r="C34" s="42">
        <f aca="true" t="shared" si="4" ref="C34:C97">C33-D34</f>
        <v>536914000</v>
      </c>
      <c r="D34" s="42">
        <v>8800000</v>
      </c>
      <c r="E34" s="104"/>
      <c r="F34" s="104"/>
      <c r="G34" s="104"/>
      <c r="H34" s="104"/>
      <c r="I34" s="253"/>
      <c r="K34" s="374"/>
      <c r="L34" s="253"/>
    </row>
    <row r="35" spans="1:12" ht="12.75">
      <c r="A35" s="90">
        <v>40268</v>
      </c>
      <c r="B35" s="366">
        <f t="shared" si="3"/>
        <v>26</v>
      </c>
      <c r="C35" s="41">
        <f t="shared" si="4"/>
        <v>536914000</v>
      </c>
      <c r="D35" s="41"/>
      <c r="E35" s="361">
        <f>E33</f>
        <v>0.05452</v>
      </c>
      <c r="F35" s="41">
        <f>((C34+D34)*E35/360*B34)+((C35+D35)*E35/360*B35)</f>
        <v>7403431.331111111</v>
      </c>
      <c r="G35" s="91"/>
      <c r="H35" s="91"/>
      <c r="I35" s="242"/>
      <c r="K35" s="325"/>
      <c r="L35" s="96"/>
    </row>
    <row r="36" spans="1:12" ht="12.75">
      <c r="A36" s="90">
        <v>40334</v>
      </c>
      <c r="B36" s="366">
        <f t="shared" si="3"/>
        <v>66</v>
      </c>
      <c r="C36" s="41">
        <f t="shared" si="4"/>
        <v>528114000</v>
      </c>
      <c r="D36" s="41">
        <v>8800000</v>
      </c>
      <c r="E36" s="361"/>
      <c r="F36" s="41"/>
      <c r="G36" s="91"/>
      <c r="H36" s="91"/>
      <c r="I36" s="242"/>
      <c r="K36" s="325"/>
      <c r="L36" s="96"/>
    </row>
    <row r="37" spans="1:12" ht="12.75">
      <c r="A37" s="90">
        <v>40359</v>
      </c>
      <c r="B37" s="366">
        <f t="shared" si="3"/>
        <v>25</v>
      </c>
      <c r="C37" s="41">
        <f t="shared" si="4"/>
        <v>528114000</v>
      </c>
      <c r="D37" s="41"/>
      <c r="E37" s="361">
        <f>E35</f>
        <v>0.05452</v>
      </c>
      <c r="F37" s="41">
        <f>((C36+D36)*E37/360*B36)+((C37+D37)*E37/360*B37)</f>
        <v>7366132.684666666</v>
      </c>
      <c r="G37" s="91"/>
      <c r="H37" s="91"/>
      <c r="I37" s="242"/>
      <c r="K37" s="325"/>
      <c r="L37" s="96"/>
    </row>
    <row r="38" spans="1:12" ht="12.75">
      <c r="A38" s="90">
        <v>40426</v>
      </c>
      <c r="B38" s="366">
        <f t="shared" si="3"/>
        <v>67</v>
      </c>
      <c r="C38" s="41">
        <f t="shared" si="4"/>
        <v>519314000</v>
      </c>
      <c r="D38" s="41">
        <v>8800000</v>
      </c>
      <c r="E38" s="361"/>
      <c r="F38" s="41"/>
      <c r="G38" s="91"/>
      <c r="H38" s="91"/>
      <c r="I38" s="242"/>
      <c r="K38" s="325"/>
      <c r="L38" s="96"/>
    </row>
    <row r="39" spans="1:12" ht="12.75">
      <c r="A39" s="90">
        <v>40451</v>
      </c>
      <c r="B39" s="366">
        <f t="shared" si="3"/>
        <v>25</v>
      </c>
      <c r="C39" s="41">
        <f t="shared" si="4"/>
        <v>519314000</v>
      </c>
      <c r="D39" s="41"/>
      <c r="E39" s="361">
        <f>E37</f>
        <v>0.05452</v>
      </c>
      <c r="F39" s="41">
        <f>((C38+D38)*E39/360*B38)+((C39+D39)*E39/360*B39)</f>
        <v>7324835.904888889</v>
      </c>
      <c r="G39" s="91"/>
      <c r="H39" s="91"/>
      <c r="I39" s="242"/>
      <c r="K39" s="325"/>
      <c r="L39" s="96"/>
    </row>
    <row r="40" spans="1:12" ht="12.75">
      <c r="A40" s="90">
        <v>40517</v>
      </c>
      <c r="B40" s="366">
        <f t="shared" si="3"/>
        <v>66</v>
      </c>
      <c r="C40" s="41">
        <f t="shared" si="4"/>
        <v>510514000</v>
      </c>
      <c r="D40" s="41">
        <v>8800000</v>
      </c>
      <c r="E40" s="361"/>
      <c r="F40" s="41"/>
      <c r="G40" s="91"/>
      <c r="H40" s="91"/>
      <c r="I40" s="242"/>
      <c r="K40" s="325"/>
      <c r="L40" s="96"/>
    </row>
    <row r="41" spans="1:12" ht="12.75">
      <c r="A41" s="97">
        <v>40543</v>
      </c>
      <c r="B41" s="367">
        <f t="shared" si="3"/>
        <v>26</v>
      </c>
      <c r="C41" s="99">
        <f t="shared" si="4"/>
        <v>510514000</v>
      </c>
      <c r="D41" s="99"/>
      <c r="E41" s="362">
        <f>E39</f>
        <v>0.05452</v>
      </c>
      <c r="F41" s="99">
        <f>((C40+D40)*E41/360*B40)+((C41+D41)*E41/360*B41)</f>
        <v>7200893.771555556</v>
      </c>
      <c r="G41" s="359">
        <f>SUM(F35:F41)</f>
        <v>29295293.692222223</v>
      </c>
      <c r="H41" s="359">
        <f>SUM(D34:D41)</f>
        <v>35200000</v>
      </c>
      <c r="I41" s="360">
        <f>SUM(G41:H41)</f>
        <v>64495293.69222222</v>
      </c>
      <c r="K41" s="320"/>
      <c r="L41" s="324"/>
    </row>
    <row r="42" spans="1:12" ht="12.75">
      <c r="A42" s="103">
        <v>40607</v>
      </c>
      <c r="B42" s="365">
        <f>A42-A41</f>
        <v>64</v>
      </c>
      <c r="C42" s="42">
        <f t="shared" si="4"/>
        <v>501714000</v>
      </c>
      <c r="D42" s="42">
        <v>8800000</v>
      </c>
      <c r="E42" s="104"/>
      <c r="F42" s="104"/>
      <c r="G42" s="104"/>
      <c r="H42" s="104"/>
      <c r="I42" s="253"/>
      <c r="K42" s="374"/>
      <c r="L42" s="253"/>
    </row>
    <row r="43" spans="1:12" ht="12.75">
      <c r="A43" s="90">
        <v>40633</v>
      </c>
      <c r="B43" s="366">
        <f t="shared" si="3"/>
        <v>26</v>
      </c>
      <c r="C43" s="41">
        <f t="shared" si="4"/>
        <v>501714000</v>
      </c>
      <c r="D43" s="41"/>
      <c r="E43" s="361">
        <f>E41</f>
        <v>0.05452</v>
      </c>
      <c r="F43" s="41">
        <f>((C42+D42)*E43/360*B42)+((C43+D43)*E43/360*B43)</f>
        <v>6923655.331111111</v>
      </c>
      <c r="G43" s="91"/>
      <c r="H43" s="91"/>
      <c r="I43" s="242"/>
      <c r="K43" s="325"/>
      <c r="L43" s="96"/>
    </row>
    <row r="44" spans="1:12" ht="12.75">
      <c r="A44" s="90">
        <v>40699</v>
      </c>
      <c r="B44" s="366">
        <f t="shared" si="3"/>
        <v>66</v>
      </c>
      <c r="C44" s="41">
        <f t="shared" si="4"/>
        <v>492914000</v>
      </c>
      <c r="D44" s="41">
        <v>8800000</v>
      </c>
      <c r="E44" s="361"/>
      <c r="F44" s="41"/>
      <c r="G44" s="91"/>
      <c r="H44" s="91"/>
      <c r="I44" s="242"/>
      <c r="K44" s="325"/>
      <c r="L44" s="96"/>
    </row>
    <row r="45" spans="1:12" ht="12.75">
      <c r="A45" s="90">
        <v>40724</v>
      </c>
      <c r="B45" s="366">
        <f t="shared" si="3"/>
        <v>25</v>
      </c>
      <c r="C45" s="41">
        <f t="shared" si="4"/>
        <v>492914000</v>
      </c>
      <c r="D45" s="41"/>
      <c r="E45" s="361">
        <f>E43</f>
        <v>0.05452</v>
      </c>
      <c r="F45" s="41">
        <f>((C44+D44)*E45/360*B44)+((C45+D45)*E45/360*B45)</f>
        <v>6881025.840222223</v>
      </c>
      <c r="G45" s="91"/>
      <c r="H45" s="91"/>
      <c r="I45" s="242"/>
      <c r="K45" s="325"/>
      <c r="L45" s="96"/>
    </row>
    <row r="46" spans="1:12" ht="12.75">
      <c r="A46" s="90">
        <v>40791</v>
      </c>
      <c r="B46" s="366">
        <f t="shared" si="3"/>
        <v>67</v>
      </c>
      <c r="C46" s="41">
        <f t="shared" si="4"/>
        <v>484114000</v>
      </c>
      <c r="D46" s="41">
        <v>8800000</v>
      </c>
      <c r="E46" s="361"/>
      <c r="F46" s="41"/>
      <c r="G46" s="91"/>
      <c r="H46" s="91"/>
      <c r="I46" s="242"/>
      <c r="K46" s="325"/>
      <c r="L46" s="96"/>
    </row>
    <row r="47" spans="1:12" ht="12.75">
      <c r="A47" s="90">
        <v>40816</v>
      </c>
      <c r="B47" s="366">
        <f t="shared" si="3"/>
        <v>25</v>
      </c>
      <c r="C47" s="41">
        <f t="shared" si="4"/>
        <v>484114000</v>
      </c>
      <c r="D47" s="41"/>
      <c r="E47" s="361">
        <f>E45</f>
        <v>0.05452</v>
      </c>
      <c r="F47" s="41">
        <f>((C46+D46)*E47/360*B46)+((C47+D47)*E47/360*B47)</f>
        <v>6834398.216</v>
      </c>
      <c r="G47" s="91"/>
      <c r="H47" s="91"/>
      <c r="I47" s="242"/>
      <c r="K47" s="325"/>
      <c r="L47" s="96"/>
    </row>
    <row r="48" spans="1:12" ht="12.75">
      <c r="A48" s="90">
        <v>40882</v>
      </c>
      <c r="B48" s="366">
        <f t="shared" si="3"/>
        <v>66</v>
      </c>
      <c r="C48" s="41">
        <f t="shared" si="4"/>
        <v>475314000</v>
      </c>
      <c r="D48" s="41">
        <v>8800000</v>
      </c>
      <c r="E48" s="361"/>
      <c r="F48" s="41"/>
      <c r="G48" s="91"/>
      <c r="H48" s="91"/>
      <c r="I48" s="242"/>
      <c r="K48" s="325"/>
      <c r="L48" s="96"/>
    </row>
    <row r="49" spans="1:12" ht="12.75">
      <c r="A49" s="97">
        <v>40908</v>
      </c>
      <c r="B49" s="367">
        <f t="shared" si="3"/>
        <v>26</v>
      </c>
      <c r="C49" s="99">
        <f t="shared" si="4"/>
        <v>475314000</v>
      </c>
      <c r="D49" s="99"/>
      <c r="E49" s="362">
        <f>E47</f>
        <v>0.05452</v>
      </c>
      <c r="F49" s="99">
        <f>((C48+D48)*E49/360*B48)+((C49+D49)*E49/360*B49)</f>
        <v>6710456.082666667</v>
      </c>
      <c r="G49" s="359">
        <f>SUM(F43:F49)</f>
        <v>27349535.47</v>
      </c>
      <c r="H49" s="359">
        <f>SUM(D42:D49)</f>
        <v>35200000</v>
      </c>
      <c r="I49" s="360">
        <f>SUM(G49:H49)</f>
        <v>62549535.47</v>
      </c>
      <c r="K49" s="320"/>
      <c r="L49" s="324"/>
    </row>
    <row r="50" spans="1:12" ht="12.75">
      <c r="A50" s="103">
        <v>40973</v>
      </c>
      <c r="B50" s="365">
        <f>A50-A49</f>
        <v>65</v>
      </c>
      <c r="C50" s="42">
        <f t="shared" si="4"/>
        <v>466514000</v>
      </c>
      <c r="D50" s="42">
        <v>8800000</v>
      </c>
      <c r="E50" s="104"/>
      <c r="F50" s="104"/>
      <c r="G50" s="104"/>
      <c r="H50" s="104"/>
      <c r="I50" s="253"/>
      <c r="K50" s="374"/>
      <c r="L50" s="253"/>
    </row>
    <row r="51" spans="1:12" ht="12.75">
      <c r="A51" s="90">
        <v>40999</v>
      </c>
      <c r="B51" s="366">
        <f t="shared" si="3"/>
        <v>26</v>
      </c>
      <c r="C51" s="41">
        <f t="shared" si="4"/>
        <v>466514000</v>
      </c>
      <c r="D51" s="41"/>
      <c r="E51" s="361">
        <f>E49</f>
        <v>0.05452</v>
      </c>
      <c r="F51" s="41">
        <f>((C50+D50)*E51/360*B50)+((C51+D51)*E51/360*B51)</f>
        <v>6515862.995777778</v>
      </c>
      <c r="G51" s="91"/>
      <c r="H51" s="91"/>
      <c r="I51" s="242"/>
      <c r="K51" s="325"/>
      <c r="L51" s="96"/>
    </row>
    <row r="52" spans="1:12" ht="12.75">
      <c r="A52" s="90">
        <v>41065</v>
      </c>
      <c r="B52" s="366">
        <f t="shared" si="3"/>
        <v>66</v>
      </c>
      <c r="C52" s="41">
        <f t="shared" si="4"/>
        <v>457714000</v>
      </c>
      <c r="D52" s="41">
        <v>8800000</v>
      </c>
      <c r="E52" s="361"/>
      <c r="F52" s="41"/>
      <c r="G52" s="91"/>
      <c r="H52" s="91"/>
      <c r="I52" s="242"/>
      <c r="K52" s="325"/>
      <c r="L52" s="96"/>
    </row>
    <row r="53" spans="1:12" ht="12.75">
      <c r="A53" s="90">
        <v>41090</v>
      </c>
      <c r="B53" s="366">
        <f t="shared" si="3"/>
        <v>25</v>
      </c>
      <c r="C53" s="41">
        <f t="shared" si="4"/>
        <v>457714000</v>
      </c>
      <c r="D53" s="41"/>
      <c r="E53" s="361">
        <f>E51</f>
        <v>0.05452</v>
      </c>
      <c r="F53" s="41">
        <f>((C52+D52)*E53/360*B52)+((C53+D53)*E53/360*B53)</f>
        <v>6395918.995777778</v>
      </c>
      <c r="G53" s="91"/>
      <c r="H53" s="91"/>
      <c r="I53" s="242"/>
      <c r="K53" s="325"/>
      <c r="L53" s="96"/>
    </row>
    <row r="54" spans="1:12" ht="12.75">
      <c r="A54" s="90">
        <v>41157</v>
      </c>
      <c r="B54" s="366">
        <f t="shared" si="3"/>
        <v>67</v>
      </c>
      <c r="C54" s="41">
        <f t="shared" si="4"/>
        <v>448914000</v>
      </c>
      <c r="D54" s="41">
        <v>8800000</v>
      </c>
      <c r="E54" s="361"/>
      <c r="F54" s="41"/>
      <c r="G54" s="91"/>
      <c r="H54" s="91"/>
      <c r="I54" s="242"/>
      <c r="K54" s="325"/>
      <c r="L54" s="96"/>
    </row>
    <row r="55" spans="1:12" ht="12.75">
      <c r="A55" s="90">
        <v>41182</v>
      </c>
      <c r="B55" s="366">
        <f t="shared" si="3"/>
        <v>25</v>
      </c>
      <c r="C55" s="41">
        <f t="shared" si="4"/>
        <v>448914000</v>
      </c>
      <c r="D55" s="41"/>
      <c r="E55" s="361">
        <f>E53</f>
        <v>0.05452</v>
      </c>
      <c r="F55" s="41">
        <f>((C54+D54)*E55/360*B54)+((C55+D55)*E55/360*B55)</f>
        <v>6343960.527111111</v>
      </c>
      <c r="G55" s="91"/>
      <c r="H55" s="91"/>
      <c r="I55" s="242"/>
      <c r="K55" s="325"/>
      <c r="L55" s="96"/>
    </row>
    <row r="56" spans="1:12" ht="12.75">
      <c r="A56" s="90">
        <v>41248</v>
      </c>
      <c r="B56" s="366">
        <f t="shared" si="3"/>
        <v>66</v>
      </c>
      <c r="C56" s="41">
        <f t="shared" si="4"/>
        <v>440114000</v>
      </c>
      <c r="D56" s="41">
        <v>8800000</v>
      </c>
      <c r="E56" s="361"/>
      <c r="F56" s="41"/>
      <c r="G56" s="91"/>
      <c r="H56" s="91"/>
      <c r="I56" s="242"/>
      <c r="K56" s="325"/>
      <c r="L56" s="96"/>
    </row>
    <row r="57" spans="1:12" ht="12.75">
      <c r="A57" s="97">
        <v>41274</v>
      </c>
      <c r="B57" s="367">
        <f t="shared" si="3"/>
        <v>26</v>
      </c>
      <c r="C57" s="99">
        <f t="shared" si="4"/>
        <v>440114000</v>
      </c>
      <c r="D57" s="99"/>
      <c r="E57" s="362">
        <f>E55</f>
        <v>0.05452</v>
      </c>
      <c r="F57" s="99">
        <f>((C56+D56)*E57/360*B56)+((C57+D57)*E57/360*B57)</f>
        <v>6220018.393777778</v>
      </c>
      <c r="G57" s="359">
        <f>SUM(F51:F57)</f>
        <v>25475760.91244445</v>
      </c>
      <c r="H57" s="359">
        <f>SUM(D50:D57)</f>
        <v>35200000</v>
      </c>
      <c r="I57" s="360">
        <f>SUM(G57:H57)</f>
        <v>60675760.91244445</v>
      </c>
      <c r="K57" s="320"/>
      <c r="L57" s="324"/>
    </row>
    <row r="58" spans="1:12" ht="12.75">
      <c r="A58" s="103">
        <v>41338</v>
      </c>
      <c r="B58" s="365">
        <f>A58-A57</f>
        <v>64</v>
      </c>
      <c r="C58" s="42">
        <f t="shared" si="4"/>
        <v>431314000</v>
      </c>
      <c r="D58" s="42">
        <v>8800000</v>
      </c>
      <c r="E58" s="104"/>
      <c r="F58" s="104"/>
      <c r="G58" s="104"/>
      <c r="H58" s="104"/>
      <c r="I58" s="253"/>
      <c r="K58" s="374"/>
      <c r="L58" s="253"/>
    </row>
    <row r="59" spans="1:12" ht="12.75">
      <c r="A59" s="90">
        <v>41364</v>
      </c>
      <c r="B59" s="366">
        <f t="shared" si="3"/>
        <v>26</v>
      </c>
      <c r="C59" s="41">
        <f t="shared" si="4"/>
        <v>431314000</v>
      </c>
      <c r="D59" s="41"/>
      <c r="E59" s="361">
        <f>E57</f>
        <v>0.05452</v>
      </c>
      <c r="F59" s="41">
        <f>((C58+D58)*E59/360*B58)+((C59+D59)*E59/360*B59)</f>
        <v>5964103.331111112</v>
      </c>
      <c r="G59" s="91"/>
      <c r="H59" s="91"/>
      <c r="I59" s="242"/>
      <c r="K59" s="325"/>
      <c r="L59" s="96"/>
    </row>
    <row r="60" spans="1:12" ht="12.75">
      <c r="A60" s="90">
        <v>41430</v>
      </c>
      <c r="B60" s="366">
        <f t="shared" si="3"/>
        <v>66</v>
      </c>
      <c r="C60" s="41">
        <f t="shared" si="4"/>
        <v>422514000</v>
      </c>
      <c r="D60" s="41">
        <v>8800000</v>
      </c>
      <c r="E60" s="361"/>
      <c r="F60" s="41"/>
      <c r="G60" s="91"/>
      <c r="H60" s="91"/>
      <c r="I60" s="242"/>
      <c r="K60" s="325"/>
      <c r="L60" s="96"/>
    </row>
    <row r="61" spans="1:12" ht="12.75">
      <c r="A61" s="90">
        <v>41455</v>
      </c>
      <c r="B61" s="366">
        <f t="shared" si="3"/>
        <v>25</v>
      </c>
      <c r="C61" s="41">
        <f t="shared" si="4"/>
        <v>422514000</v>
      </c>
      <c r="D61" s="41"/>
      <c r="E61" s="361">
        <f>E59</f>
        <v>0.05452</v>
      </c>
      <c r="F61" s="41">
        <f>((C60+D60)*E61/360*B60)+((C61+D61)*E61/360*B61)</f>
        <v>5910812.151333334</v>
      </c>
      <c r="G61" s="91"/>
      <c r="H61" s="91"/>
      <c r="I61" s="242"/>
      <c r="K61" s="325"/>
      <c r="L61" s="96"/>
    </row>
    <row r="62" spans="1:12" ht="12.75">
      <c r="A62" s="90">
        <v>41522</v>
      </c>
      <c r="B62" s="366">
        <f t="shared" si="3"/>
        <v>67</v>
      </c>
      <c r="C62" s="41">
        <f t="shared" si="4"/>
        <v>413714000</v>
      </c>
      <c r="D62" s="41">
        <v>8800000</v>
      </c>
      <c r="E62" s="361"/>
      <c r="F62" s="41"/>
      <c r="G62" s="91"/>
      <c r="H62" s="91"/>
      <c r="I62" s="242"/>
      <c r="K62" s="325"/>
      <c r="L62" s="96"/>
    </row>
    <row r="63" spans="1:12" ht="12.75">
      <c r="A63" s="90">
        <v>41547</v>
      </c>
      <c r="B63" s="366">
        <f t="shared" si="3"/>
        <v>25</v>
      </c>
      <c r="C63" s="41">
        <f t="shared" si="4"/>
        <v>413714000</v>
      </c>
      <c r="D63" s="41"/>
      <c r="E63" s="361">
        <f>E61</f>
        <v>0.05452</v>
      </c>
      <c r="F63" s="41">
        <f>((C62+D62)*E63/360*B62)+((C63+D63)*E63/360*B63)</f>
        <v>5853522.838222222</v>
      </c>
      <c r="G63" s="91"/>
      <c r="H63" s="91"/>
      <c r="I63" s="242"/>
      <c r="K63" s="325"/>
      <c r="L63" s="96"/>
    </row>
    <row r="64" spans="1:12" ht="12.75">
      <c r="A64" s="90">
        <v>41613</v>
      </c>
      <c r="B64" s="366">
        <f t="shared" si="3"/>
        <v>66</v>
      </c>
      <c r="C64" s="41">
        <f t="shared" si="4"/>
        <v>404914000</v>
      </c>
      <c r="D64" s="41">
        <v>8800000</v>
      </c>
      <c r="E64" s="361"/>
      <c r="F64" s="41"/>
      <c r="G64" s="91"/>
      <c r="H64" s="91"/>
      <c r="I64" s="242"/>
      <c r="K64" s="325"/>
      <c r="L64" s="96"/>
    </row>
    <row r="65" spans="1:12" ht="12.75">
      <c r="A65" s="97">
        <v>41639</v>
      </c>
      <c r="B65" s="367">
        <f t="shared" si="3"/>
        <v>26</v>
      </c>
      <c r="C65" s="99">
        <f t="shared" si="4"/>
        <v>404914000</v>
      </c>
      <c r="D65" s="99"/>
      <c r="E65" s="362">
        <f>E63</f>
        <v>0.05452</v>
      </c>
      <c r="F65" s="99">
        <f>((C64+D64)*E65/360*B64)+((C65+D65)*E65/360*B65)</f>
        <v>5729580.70488889</v>
      </c>
      <c r="G65" s="359">
        <f>SUM(F59:F65)</f>
        <v>23458019.02555556</v>
      </c>
      <c r="H65" s="359">
        <f>SUM(D58:D65)</f>
        <v>35200000</v>
      </c>
      <c r="I65" s="360">
        <f>SUM(G65:H65)</f>
        <v>58658019.02555556</v>
      </c>
      <c r="K65" s="320"/>
      <c r="L65" s="324"/>
    </row>
    <row r="66" spans="1:12" ht="12.75">
      <c r="A66" s="103">
        <v>41703</v>
      </c>
      <c r="B66" s="365">
        <f>A66-A65</f>
        <v>64</v>
      </c>
      <c r="C66" s="42">
        <f t="shared" si="4"/>
        <v>396114000</v>
      </c>
      <c r="D66" s="42">
        <v>8800000</v>
      </c>
      <c r="E66" s="104"/>
      <c r="F66" s="104"/>
      <c r="G66" s="104"/>
      <c r="H66" s="104"/>
      <c r="I66" s="253"/>
      <c r="K66" s="374"/>
      <c r="L66" s="253"/>
    </row>
    <row r="67" spans="1:12" ht="12.75">
      <c r="A67" s="90">
        <v>41729</v>
      </c>
      <c r="B67" s="366">
        <f t="shared" si="3"/>
        <v>26</v>
      </c>
      <c r="C67" s="41">
        <f t="shared" si="4"/>
        <v>396114000</v>
      </c>
      <c r="D67" s="41"/>
      <c r="E67" s="361">
        <f>E65</f>
        <v>0.05452</v>
      </c>
      <c r="F67" s="41">
        <f>((C66+D66)*E67/360*B66)+((C67+D67)*E67/360*B67)</f>
        <v>5484327.331111111</v>
      </c>
      <c r="G67" s="91"/>
      <c r="H67" s="91"/>
      <c r="I67" s="242"/>
      <c r="K67" s="325"/>
      <c r="L67" s="96"/>
    </row>
    <row r="68" spans="1:12" ht="12.75">
      <c r="A68" s="90">
        <v>41795</v>
      </c>
      <c r="B68" s="366">
        <f t="shared" si="3"/>
        <v>66</v>
      </c>
      <c r="C68" s="41">
        <f t="shared" si="4"/>
        <v>387314000</v>
      </c>
      <c r="D68" s="41">
        <v>8800000</v>
      </c>
      <c r="E68" s="361"/>
      <c r="F68" s="41"/>
      <c r="G68" s="91"/>
      <c r="H68" s="91"/>
      <c r="I68" s="242"/>
      <c r="K68" s="325"/>
      <c r="L68" s="96"/>
    </row>
    <row r="69" spans="1:12" ht="12.75">
      <c r="A69" s="90">
        <v>41820</v>
      </c>
      <c r="B69" s="366">
        <f t="shared" si="3"/>
        <v>25</v>
      </c>
      <c r="C69" s="41">
        <f t="shared" si="4"/>
        <v>387314000</v>
      </c>
      <c r="D69" s="41"/>
      <c r="E69" s="361">
        <f>E67</f>
        <v>0.05452</v>
      </c>
      <c r="F69" s="41">
        <f>((C68+D68)*E69/360*B68)+((C69+D69)*E69/360*B69)</f>
        <v>5425705.3068888895</v>
      </c>
      <c r="G69" s="91"/>
      <c r="H69" s="91"/>
      <c r="I69" s="242"/>
      <c r="K69" s="325"/>
      <c r="L69" s="96"/>
    </row>
    <row r="70" spans="1:12" ht="12.75">
      <c r="A70" s="90">
        <v>41887</v>
      </c>
      <c r="B70" s="366">
        <f t="shared" si="3"/>
        <v>67</v>
      </c>
      <c r="C70" s="41">
        <f t="shared" si="4"/>
        <v>378514000</v>
      </c>
      <c r="D70" s="41">
        <v>8800000</v>
      </c>
      <c r="E70" s="361"/>
      <c r="F70" s="41"/>
      <c r="G70" s="91"/>
      <c r="H70" s="91"/>
      <c r="I70" s="242"/>
      <c r="K70" s="325"/>
      <c r="L70" s="96"/>
    </row>
    <row r="71" spans="1:12" ht="12.75">
      <c r="A71" s="90">
        <v>41912</v>
      </c>
      <c r="B71" s="366">
        <f t="shared" si="3"/>
        <v>25</v>
      </c>
      <c r="C71" s="41">
        <f t="shared" si="4"/>
        <v>378514000</v>
      </c>
      <c r="D71" s="41"/>
      <c r="E71" s="361">
        <f>E69</f>
        <v>0.05452</v>
      </c>
      <c r="F71" s="41">
        <f>((C70+D70)*E71/360*B70)+((C71+D71)*E71/360*B71)</f>
        <v>5363085.149333334</v>
      </c>
      <c r="G71" s="91"/>
      <c r="H71" s="91"/>
      <c r="I71" s="242"/>
      <c r="K71" s="325"/>
      <c r="L71" s="96"/>
    </row>
    <row r="72" spans="1:12" ht="12.75">
      <c r="A72" s="90">
        <v>41978</v>
      </c>
      <c r="B72" s="366">
        <f t="shared" si="3"/>
        <v>66</v>
      </c>
      <c r="C72" s="41">
        <f t="shared" si="4"/>
        <v>369714000</v>
      </c>
      <c r="D72" s="41">
        <v>8800000</v>
      </c>
      <c r="E72" s="361"/>
      <c r="F72" s="41"/>
      <c r="G72" s="91"/>
      <c r="H72" s="91"/>
      <c r="I72" s="242"/>
      <c r="K72" s="325"/>
      <c r="L72" s="96"/>
    </row>
    <row r="73" spans="1:12" ht="12.75">
      <c r="A73" s="97">
        <v>42004</v>
      </c>
      <c r="B73" s="367">
        <f t="shared" si="3"/>
        <v>26</v>
      </c>
      <c r="C73" s="99">
        <f t="shared" si="4"/>
        <v>369714000</v>
      </c>
      <c r="D73" s="99"/>
      <c r="E73" s="362">
        <f>E71</f>
        <v>0.05452</v>
      </c>
      <c r="F73" s="99">
        <f>((C72+D72)*E73/360*B72)+((C73+D73)*E73/360*B73)</f>
        <v>5239143.016000001</v>
      </c>
      <c r="G73" s="359">
        <f>SUM(F67:F73)</f>
        <v>21512260.803333335</v>
      </c>
      <c r="H73" s="359">
        <f>SUM(D66:D73)</f>
        <v>35200000</v>
      </c>
      <c r="I73" s="360">
        <f>SUM(G73:H73)</f>
        <v>56712260.803333335</v>
      </c>
      <c r="K73" s="320"/>
      <c r="L73" s="324"/>
    </row>
    <row r="74" spans="1:12" ht="12.75">
      <c r="A74" s="103">
        <v>42068</v>
      </c>
      <c r="B74" s="365">
        <f>A74-A73</f>
        <v>64</v>
      </c>
      <c r="C74" s="42">
        <f t="shared" si="4"/>
        <v>360914000</v>
      </c>
      <c r="D74" s="42">
        <v>8800000</v>
      </c>
      <c r="E74" s="104"/>
      <c r="F74" s="104"/>
      <c r="G74" s="104"/>
      <c r="H74" s="104"/>
      <c r="I74" s="253"/>
      <c r="K74" s="374"/>
      <c r="L74" s="253"/>
    </row>
    <row r="75" spans="1:12" ht="12.75">
      <c r="A75" s="90">
        <v>42094</v>
      </c>
      <c r="B75" s="366">
        <f t="shared" si="3"/>
        <v>26</v>
      </c>
      <c r="C75" s="41">
        <f t="shared" si="4"/>
        <v>360914000</v>
      </c>
      <c r="D75" s="41"/>
      <c r="E75" s="361">
        <f>E73</f>
        <v>0.05452</v>
      </c>
      <c r="F75" s="41">
        <f>((C74+D74)*E75/360*B74)+((C75+D75)*E75/360*B75)</f>
        <v>5004551.331111112</v>
      </c>
      <c r="G75" s="91"/>
      <c r="H75" s="91"/>
      <c r="I75" s="242"/>
      <c r="K75" s="325"/>
      <c r="L75" s="96"/>
    </row>
    <row r="76" spans="1:12" ht="12.75">
      <c r="A76" s="90">
        <v>42160</v>
      </c>
      <c r="B76" s="366">
        <f t="shared" si="3"/>
        <v>66</v>
      </c>
      <c r="C76" s="41">
        <f t="shared" si="4"/>
        <v>352114000</v>
      </c>
      <c r="D76" s="41">
        <v>8800000</v>
      </c>
      <c r="E76" s="361"/>
      <c r="F76" s="41"/>
      <c r="G76" s="91"/>
      <c r="H76" s="91"/>
      <c r="I76" s="242"/>
      <c r="K76" s="325"/>
      <c r="L76" s="96"/>
    </row>
    <row r="77" spans="1:12" ht="12.75">
      <c r="A77" s="90">
        <v>42185</v>
      </c>
      <c r="B77" s="366">
        <f t="shared" si="3"/>
        <v>25</v>
      </c>
      <c r="C77" s="41">
        <f t="shared" si="4"/>
        <v>352114000</v>
      </c>
      <c r="D77" s="41"/>
      <c r="E77" s="361">
        <f>E75</f>
        <v>0.05452</v>
      </c>
      <c r="F77" s="41">
        <f>((C76+D76)*E77/360*B76)+((C77+D77)*E77/360*B77)</f>
        <v>4940598.462444445</v>
      </c>
      <c r="G77" s="91"/>
      <c r="H77" s="91"/>
      <c r="I77" s="242"/>
      <c r="K77" s="325"/>
      <c r="L77" s="96"/>
    </row>
    <row r="78" spans="1:12" ht="12.75">
      <c r="A78" s="90">
        <v>42252</v>
      </c>
      <c r="B78" s="366">
        <f t="shared" si="3"/>
        <v>67</v>
      </c>
      <c r="C78" s="41">
        <f t="shared" si="4"/>
        <v>343314000</v>
      </c>
      <c r="D78" s="41">
        <v>8800000</v>
      </c>
      <c r="E78" s="361"/>
      <c r="F78" s="41"/>
      <c r="G78" s="91"/>
      <c r="H78" s="91"/>
      <c r="I78" s="242"/>
      <c r="K78" s="325"/>
      <c r="L78" s="96"/>
    </row>
    <row r="79" spans="1:12" ht="12.75">
      <c r="A79" s="90">
        <v>42277</v>
      </c>
      <c r="B79" s="366">
        <f t="shared" si="3"/>
        <v>25</v>
      </c>
      <c r="C79" s="41">
        <f t="shared" si="4"/>
        <v>343314000</v>
      </c>
      <c r="D79" s="41"/>
      <c r="E79" s="361">
        <f>E77</f>
        <v>0.05452</v>
      </c>
      <c r="F79" s="41">
        <f>((C78+D78)*E79/360*B78)+((C79+D79)*E79/360*B79)</f>
        <v>4872647.460444445</v>
      </c>
      <c r="G79" s="91"/>
      <c r="H79" s="91"/>
      <c r="I79" s="242"/>
      <c r="K79" s="325"/>
      <c r="L79" s="96"/>
    </row>
    <row r="80" spans="1:12" ht="12.75">
      <c r="A80" s="90">
        <v>42343</v>
      </c>
      <c r="B80" s="366">
        <f t="shared" si="3"/>
        <v>66</v>
      </c>
      <c r="C80" s="41">
        <f t="shared" si="4"/>
        <v>334514000</v>
      </c>
      <c r="D80" s="41">
        <v>8800000</v>
      </c>
      <c r="E80" s="361"/>
      <c r="F80" s="41"/>
      <c r="G80" s="91"/>
      <c r="H80" s="91"/>
      <c r="I80" s="242"/>
      <c r="K80" s="325"/>
      <c r="L80" s="96"/>
    </row>
    <row r="81" spans="1:12" ht="12.75">
      <c r="A81" s="97">
        <v>42369</v>
      </c>
      <c r="B81" s="367">
        <f t="shared" si="3"/>
        <v>26</v>
      </c>
      <c r="C81" s="99">
        <f t="shared" si="4"/>
        <v>334514000</v>
      </c>
      <c r="D81" s="99"/>
      <c r="E81" s="362">
        <f>E79</f>
        <v>0.05452</v>
      </c>
      <c r="F81" s="99">
        <f>((C80+D80)*E81/360*B80)+((C81+D81)*E81/360*B81)</f>
        <v>4748705.327111112</v>
      </c>
      <c r="G81" s="359">
        <f>SUM(F75:F81)</f>
        <v>19566502.581111114</v>
      </c>
      <c r="H81" s="359">
        <f>SUM(D74:D81)</f>
        <v>35200000</v>
      </c>
      <c r="I81" s="360">
        <f>SUM(G81:H81)</f>
        <v>54766502.58111112</v>
      </c>
      <c r="K81" s="320"/>
      <c r="L81" s="324"/>
    </row>
    <row r="82" spans="1:12" ht="12.75">
      <c r="A82" s="103">
        <v>42434</v>
      </c>
      <c r="B82" s="365">
        <f>A82-A81</f>
        <v>65</v>
      </c>
      <c r="C82" s="42">
        <f t="shared" si="4"/>
        <v>325714000</v>
      </c>
      <c r="D82" s="42">
        <v>8800000</v>
      </c>
      <c r="E82" s="104"/>
      <c r="F82" s="104"/>
      <c r="G82" s="104"/>
      <c r="H82" s="104"/>
      <c r="I82" s="253"/>
      <c r="K82" s="374"/>
      <c r="L82" s="253"/>
    </row>
    <row r="83" spans="1:12" ht="12.75">
      <c r="A83" s="90">
        <v>42460</v>
      </c>
      <c r="B83" s="366">
        <f t="shared" si="3"/>
        <v>26</v>
      </c>
      <c r="C83" s="41">
        <f t="shared" si="4"/>
        <v>325714000</v>
      </c>
      <c r="D83" s="41"/>
      <c r="E83" s="361">
        <f>E81</f>
        <v>0.05452</v>
      </c>
      <c r="F83" s="41">
        <f>((C82+D82)*E83/360*B82)+((C83+D83)*E83/360*B83)</f>
        <v>4575435.618000001</v>
      </c>
      <c r="G83" s="91"/>
      <c r="H83" s="91"/>
      <c r="I83" s="242"/>
      <c r="K83" s="325"/>
      <c r="L83" s="96"/>
    </row>
    <row r="84" spans="1:12" ht="12.75">
      <c r="A84" s="90">
        <v>42526</v>
      </c>
      <c r="B84" s="366">
        <f t="shared" si="3"/>
        <v>66</v>
      </c>
      <c r="C84" s="41">
        <f t="shared" si="4"/>
        <v>316914000</v>
      </c>
      <c r="D84" s="41">
        <v>8800000</v>
      </c>
      <c r="E84" s="361"/>
      <c r="F84" s="41"/>
      <c r="G84" s="91"/>
      <c r="H84" s="91"/>
      <c r="I84" s="242"/>
      <c r="K84" s="325"/>
      <c r="L84" s="96"/>
    </row>
    <row r="85" spans="1:12" ht="12.75">
      <c r="A85" s="90">
        <v>42551</v>
      </c>
      <c r="B85" s="366">
        <f t="shared" si="3"/>
        <v>25</v>
      </c>
      <c r="C85" s="41">
        <f t="shared" si="4"/>
        <v>316914000</v>
      </c>
      <c r="D85" s="41"/>
      <c r="E85" s="361">
        <f>E83</f>
        <v>0.05452</v>
      </c>
      <c r="F85" s="41">
        <f>((C84+D84)*E85/360*B84)+((C85+D85)*E85/360*B85)</f>
        <v>4455491.618000001</v>
      </c>
      <c r="G85" s="91"/>
      <c r="H85" s="91"/>
      <c r="I85" s="242"/>
      <c r="K85" s="325"/>
      <c r="L85" s="96"/>
    </row>
    <row r="86" spans="1:12" ht="12.75">
      <c r="A86" s="90">
        <v>42618</v>
      </c>
      <c r="B86" s="366">
        <f t="shared" si="3"/>
        <v>67</v>
      </c>
      <c r="C86" s="41">
        <f t="shared" si="4"/>
        <v>308114000</v>
      </c>
      <c r="D86" s="41">
        <v>8800000</v>
      </c>
      <c r="E86" s="361"/>
      <c r="F86" s="41"/>
      <c r="G86" s="91"/>
      <c r="H86" s="91"/>
      <c r="I86" s="242"/>
      <c r="K86" s="325"/>
      <c r="L86" s="96"/>
    </row>
    <row r="87" spans="1:12" ht="12.75">
      <c r="A87" s="90">
        <v>42643</v>
      </c>
      <c r="B87" s="366">
        <f t="shared" si="3"/>
        <v>25</v>
      </c>
      <c r="C87" s="41">
        <f t="shared" si="4"/>
        <v>308114000</v>
      </c>
      <c r="D87" s="41"/>
      <c r="E87" s="361">
        <f>E85</f>
        <v>0.05452</v>
      </c>
      <c r="F87" s="41">
        <f>((C86+D86)*E87/360*B86)+((C87+D87)*E87/360*B87)</f>
        <v>4382209.771555556</v>
      </c>
      <c r="G87" s="91"/>
      <c r="H87" s="91"/>
      <c r="I87" s="242"/>
      <c r="K87" s="325"/>
      <c r="L87" s="96"/>
    </row>
    <row r="88" spans="1:12" ht="12.75">
      <c r="A88" s="90">
        <v>42709</v>
      </c>
      <c r="B88" s="366">
        <f t="shared" si="3"/>
        <v>66</v>
      </c>
      <c r="C88" s="41">
        <f t="shared" si="4"/>
        <v>299314000</v>
      </c>
      <c r="D88" s="41">
        <v>8800000</v>
      </c>
      <c r="E88" s="361"/>
      <c r="F88" s="41"/>
      <c r="G88" s="91"/>
      <c r="H88" s="91"/>
      <c r="I88" s="242"/>
      <c r="K88" s="325"/>
      <c r="L88" s="96"/>
    </row>
    <row r="89" spans="1:12" ht="12.75">
      <c r="A89" s="97">
        <v>42735</v>
      </c>
      <c r="B89" s="367">
        <f t="shared" si="3"/>
        <v>26</v>
      </c>
      <c r="C89" s="99">
        <f t="shared" si="4"/>
        <v>299314000</v>
      </c>
      <c r="D89" s="99"/>
      <c r="E89" s="362">
        <f>E87</f>
        <v>0.05452</v>
      </c>
      <c r="F89" s="99">
        <f>((C88+D88)*E89/360*B88)+((C89+D89)*E89/360*B89)</f>
        <v>4258267.638222222</v>
      </c>
      <c r="G89" s="359">
        <f>SUM(F83:F89)</f>
        <v>17671404.64577778</v>
      </c>
      <c r="H89" s="359">
        <f>SUM(D82:D89)</f>
        <v>35200000</v>
      </c>
      <c r="I89" s="360">
        <f>SUM(G89:H89)</f>
        <v>52871404.64577778</v>
      </c>
      <c r="K89" s="320"/>
      <c r="L89" s="324"/>
    </row>
    <row r="90" spans="1:12" ht="12.75">
      <c r="A90" s="103">
        <v>42799</v>
      </c>
      <c r="B90" s="365">
        <f>A90-A89</f>
        <v>64</v>
      </c>
      <c r="C90" s="42">
        <f t="shared" si="4"/>
        <v>290514000</v>
      </c>
      <c r="D90" s="42">
        <v>8800000</v>
      </c>
      <c r="E90" s="104"/>
      <c r="F90" s="104"/>
      <c r="G90" s="104"/>
      <c r="H90" s="104"/>
      <c r="I90" s="253"/>
      <c r="K90" s="374"/>
      <c r="L90" s="253"/>
    </row>
    <row r="91" spans="1:12" ht="12.75">
      <c r="A91" s="90">
        <v>42825</v>
      </c>
      <c r="B91" s="366">
        <f t="shared" si="3"/>
        <v>26</v>
      </c>
      <c r="C91" s="41">
        <f t="shared" si="4"/>
        <v>290514000</v>
      </c>
      <c r="D91" s="41"/>
      <c r="E91" s="361">
        <f>E89</f>
        <v>0.05452</v>
      </c>
      <c r="F91" s="41">
        <f>((C90+D90)*E91/360*B90)+((C91+D91)*E91/360*B91)</f>
        <v>4044999.3311111107</v>
      </c>
      <c r="G91" s="91"/>
      <c r="H91" s="91"/>
      <c r="I91" s="242"/>
      <c r="K91" s="325"/>
      <c r="L91" s="96"/>
    </row>
    <row r="92" spans="1:12" ht="12.75">
      <c r="A92" s="90">
        <v>42891</v>
      </c>
      <c r="B92" s="366">
        <f aca="true" t="shared" si="5" ref="B92:B97">A92-A91</f>
        <v>66</v>
      </c>
      <c r="C92" s="41">
        <f t="shared" si="4"/>
        <v>281714000</v>
      </c>
      <c r="D92" s="41">
        <v>8800000</v>
      </c>
      <c r="E92" s="361"/>
      <c r="F92" s="41"/>
      <c r="G92" s="91"/>
      <c r="H92" s="91"/>
      <c r="I92" s="242"/>
      <c r="K92" s="325"/>
      <c r="L92" s="96"/>
    </row>
    <row r="93" spans="1:12" ht="12.75">
      <c r="A93" s="90">
        <v>42916</v>
      </c>
      <c r="B93" s="366">
        <f t="shared" si="5"/>
        <v>25</v>
      </c>
      <c r="C93" s="41">
        <f t="shared" si="4"/>
        <v>281714000</v>
      </c>
      <c r="D93" s="41"/>
      <c r="E93" s="361">
        <f>E91</f>
        <v>0.05452</v>
      </c>
      <c r="F93" s="41">
        <f>((C92+D92)*E93/360*B92)+((C93+D93)*E93/360*B93)</f>
        <v>3970384.7735555554</v>
      </c>
      <c r="G93" s="91"/>
      <c r="H93" s="91"/>
      <c r="I93" s="242"/>
      <c r="K93" s="325"/>
      <c r="L93" s="96"/>
    </row>
    <row r="94" spans="1:12" ht="12.75">
      <c r="A94" s="90">
        <v>42983</v>
      </c>
      <c r="B94" s="366">
        <f t="shared" si="5"/>
        <v>67</v>
      </c>
      <c r="C94" s="41">
        <f t="shared" si="4"/>
        <v>272914000</v>
      </c>
      <c r="D94" s="41">
        <v>8800000</v>
      </c>
      <c r="E94" s="361"/>
      <c r="F94" s="41"/>
      <c r="G94" s="91"/>
      <c r="H94" s="91"/>
      <c r="I94" s="242"/>
      <c r="K94" s="325"/>
      <c r="L94" s="96"/>
    </row>
    <row r="95" spans="1:12" ht="12.75">
      <c r="A95" s="90">
        <v>43008</v>
      </c>
      <c r="B95" s="366">
        <f t="shared" si="5"/>
        <v>25</v>
      </c>
      <c r="C95" s="41">
        <f t="shared" si="4"/>
        <v>272914000</v>
      </c>
      <c r="D95" s="41"/>
      <c r="E95" s="361">
        <f>E93</f>
        <v>0.05452</v>
      </c>
      <c r="F95" s="41">
        <f>((C94+D94)*E95/360*B94)+((C95+D95)*E95/360*B95)</f>
        <v>3891772.0826666667</v>
      </c>
      <c r="G95" s="91"/>
      <c r="H95" s="91"/>
      <c r="I95" s="242"/>
      <c r="K95" s="325"/>
      <c r="L95" s="96"/>
    </row>
    <row r="96" spans="1:12" ht="12.75">
      <c r="A96" s="90">
        <v>43074</v>
      </c>
      <c r="B96" s="366">
        <f t="shared" si="5"/>
        <v>66</v>
      </c>
      <c r="C96" s="41">
        <f t="shared" si="4"/>
        <v>264114000</v>
      </c>
      <c r="D96" s="41">
        <v>8800000</v>
      </c>
      <c r="E96" s="361"/>
      <c r="F96" s="41"/>
      <c r="G96" s="91"/>
      <c r="H96" s="91"/>
      <c r="I96" s="242"/>
      <c r="K96" s="325"/>
      <c r="L96" s="96"/>
    </row>
    <row r="97" spans="1:12" ht="12.75">
      <c r="A97" s="97">
        <v>43100</v>
      </c>
      <c r="B97" s="367">
        <f t="shared" si="5"/>
        <v>26</v>
      </c>
      <c r="C97" s="99">
        <f t="shared" si="4"/>
        <v>264114000</v>
      </c>
      <c r="D97" s="99"/>
      <c r="E97" s="362">
        <f>E95</f>
        <v>0.05452</v>
      </c>
      <c r="F97" s="99">
        <f>((C96+D96)*E97/360*B96)+((C97+D97)*E97/360*B97)</f>
        <v>3767829.949333333</v>
      </c>
      <c r="G97" s="359">
        <f>SUM(F91:F97)</f>
        <v>15674986.136666665</v>
      </c>
      <c r="H97" s="359">
        <f>SUM(D90:D97)</f>
        <v>35200000</v>
      </c>
      <c r="I97" s="360">
        <f>SUM(G97:H97)</f>
        <v>50874986.13666666</v>
      </c>
      <c r="K97" s="320"/>
      <c r="L97" s="324"/>
    </row>
    <row r="98" spans="1:12" ht="12.75">
      <c r="A98" s="103">
        <v>43164</v>
      </c>
      <c r="B98" s="365">
        <f>A98-A97</f>
        <v>64</v>
      </c>
      <c r="C98" s="42">
        <f aca="true" t="shared" si="6" ref="C98:C156">C97-D98</f>
        <v>255314000</v>
      </c>
      <c r="D98" s="42">
        <v>8800000</v>
      </c>
      <c r="E98" s="104"/>
      <c r="F98" s="104"/>
      <c r="G98" s="104"/>
      <c r="H98" s="104"/>
      <c r="I98" s="253"/>
      <c r="K98" s="374"/>
      <c r="L98" s="253"/>
    </row>
    <row r="99" spans="1:12" ht="12.75">
      <c r="A99" s="90">
        <v>43190</v>
      </c>
      <c r="B99" s="366">
        <f aca="true" t="shared" si="7" ref="B99:B105">A99-A98</f>
        <v>26</v>
      </c>
      <c r="C99" s="41">
        <f t="shared" si="6"/>
        <v>255314000</v>
      </c>
      <c r="D99" s="41"/>
      <c r="E99" s="361">
        <f>E97</f>
        <v>0.05452</v>
      </c>
      <c r="F99" s="41">
        <f>((C98+D98)*E99/360*B98)+((C99+D99)*E99/360*B99)</f>
        <v>3565223.3311111107</v>
      </c>
      <c r="G99" s="91"/>
      <c r="H99" s="91"/>
      <c r="I99" s="242"/>
      <c r="K99" s="325"/>
      <c r="L99" s="96"/>
    </row>
    <row r="100" spans="1:12" ht="12.75">
      <c r="A100" s="90">
        <v>43256</v>
      </c>
      <c r="B100" s="366">
        <f t="shared" si="7"/>
        <v>66</v>
      </c>
      <c r="C100" s="41">
        <f t="shared" si="6"/>
        <v>246514000</v>
      </c>
      <c r="D100" s="41">
        <v>8800000</v>
      </c>
      <c r="E100" s="361"/>
      <c r="F100" s="41"/>
      <c r="G100" s="91"/>
      <c r="H100" s="91"/>
      <c r="I100" s="242"/>
      <c r="K100" s="325"/>
      <c r="L100" s="96"/>
    </row>
    <row r="101" spans="1:12" ht="12.75">
      <c r="A101" s="90">
        <v>43281</v>
      </c>
      <c r="B101" s="366">
        <f t="shared" si="7"/>
        <v>25</v>
      </c>
      <c r="C101" s="41">
        <f t="shared" si="6"/>
        <v>246514000</v>
      </c>
      <c r="D101" s="41"/>
      <c r="E101" s="361">
        <f>E99</f>
        <v>0.05452</v>
      </c>
      <c r="F101" s="41">
        <f>((C100+D100)*E101/360*B100)+((C101+D101)*E101/360*B101)</f>
        <v>3485277.929111111</v>
      </c>
      <c r="G101" s="91"/>
      <c r="H101" s="91"/>
      <c r="I101" s="242"/>
      <c r="K101" s="325"/>
      <c r="L101" s="96"/>
    </row>
    <row r="102" spans="1:12" ht="12.75">
      <c r="A102" s="90">
        <v>43348</v>
      </c>
      <c r="B102" s="366">
        <f t="shared" si="7"/>
        <v>67</v>
      </c>
      <c r="C102" s="41">
        <f t="shared" si="6"/>
        <v>237714000</v>
      </c>
      <c r="D102" s="41">
        <v>8800000</v>
      </c>
      <c r="E102" s="361"/>
      <c r="F102" s="41"/>
      <c r="G102" s="91"/>
      <c r="H102" s="91"/>
      <c r="I102" s="242"/>
      <c r="K102" s="325"/>
      <c r="L102" s="96"/>
    </row>
    <row r="103" spans="1:12" ht="12.75">
      <c r="A103" s="90">
        <v>43373</v>
      </c>
      <c r="B103" s="366">
        <f t="shared" si="7"/>
        <v>25</v>
      </c>
      <c r="C103" s="41">
        <f t="shared" si="6"/>
        <v>237714000</v>
      </c>
      <c r="D103" s="41"/>
      <c r="E103" s="361">
        <f>E101</f>
        <v>0.05452</v>
      </c>
      <c r="F103" s="41">
        <f>((C102+D102)*E103/360*B102)+((C103+D103)*E103/360*B103)</f>
        <v>3401334.3937777774</v>
      </c>
      <c r="G103" s="91"/>
      <c r="H103" s="91"/>
      <c r="I103" s="242"/>
      <c r="K103" s="325"/>
      <c r="L103" s="96"/>
    </row>
    <row r="104" spans="1:12" ht="12.75">
      <c r="A104" s="90">
        <v>43439</v>
      </c>
      <c r="B104" s="366">
        <f t="shared" si="7"/>
        <v>66</v>
      </c>
      <c r="C104" s="41">
        <f t="shared" si="6"/>
        <v>228914000</v>
      </c>
      <c r="D104" s="41">
        <v>8800000</v>
      </c>
      <c r="E104" s="361"/>
      <c r="F104" s="41"/>
      <c r="G104" s="91"/>
      <c r="H104" s="91"/>
      <c r="I104" s="242"/>
      <c r="K104" s="325"/>
      <c r="L104" s="96"/>
    </row>
    <row r="105" spans="1:12" ht="12.75">
      <c r="A105" s="97">
        <v>43465</v>
      </c>
      <c r="B105" s="367">
        <f t="shared" si="7"/>
        <v>26</v>
      </c>
      <c r="C105" s="99">
        <f t="shared" si="6"/>
        <v>228914000</v>
      </c>
      <c r="D105" s="99"/>
      <c r="E105" s="362">
        <f>E103</f>
        <v>0.05452</v>
      </c>
      <c r="F105" s="99">
        <f>((C104+D104)*E105/360*B104)+((C105+D105)*E105/360*B105)</f>
        <v>3277392.2604444446</v>
      </c>
      <c r="G105" s="359">
        <f>SUM(F99:F105)</f>
        <v>13729227.914444443</v>
      </c>
      <c r="H105" s="359">
        <f>SUM(D98:D105)</f>
        <v>35200000</v>
      </c>
      <c r="I105" s="360">
        <f>SUM(G105:H105)</f>
        <v>48929227.91444445</v>
      </c>
      <c r="K105" s="320"/>
      <c r="L105" s="324"/>
    </row>
    <row r="106" spans="1:12" ht="12.75">
      <c r="A106" s="103">
        <v>43529</v>
      </c>
      <c r="B106" s="365">
        <f>A106-A105</f>
        <v>64</v>
      </c>
      <c r="C106" s="42">
        <f t="shared" si="6"/>
        <v>220114000</v>
      </c>
      <c r="D106" s="42">
        <v>8800000</v>
      </c>
      <c r="E106" s="104"/>
      <c r="F106" s="104"/>
      <c r="G106" s="104"/>
      <c r="H106" s="104"/>
      <c r="I106" s="253"/>
      <c r="K106" s="374"/>
      <c r="L106" s="253"/>
    </row>
    <row r="107" spans="1:12" ht="12.75">
      <c r="A107" s="90">
        <v>43555</v>
      </c>
      <c r="B107" s="366">
        <f aca="true" t="shared" si="8" ref="B107:B113">A107-A106</f>
        <v>26</v>
      </c>
      <c r="C107" s="41">
        <f t="shared" si="6"/>
        <v>220114000</v>
      </c>
      <c r="D107" s="41"/>
      <c r="E107" s="361">
        <f>E105</f>
        <v>0.05452</v>
      </c>
      <c r="F107" s="41">
        <f>((C106+D106)*E107/360*B106)+((C107+D107)*E107/360*B107)</f>
        <v>3085447.3311111107</v>
      </c>
      <c r="G107" s="91"/>
      <c r="H107" s="91"/>
      <c r="I107" s="242"/>
      <c r="K107" s="325"/>
      <c r="L107" s="96"/>
    </row>
    <row r="108" spans="1:12" ht="12.75">
      <c r="A108" s="90">
        <v>43621</v>
      </c>
      <c r="B108" s="366">
        <f t="shared" si="8"/>
        <v>66</v>
      </c>
      <c r="C108" s="41">
        <f t="shared" si="6"/>
        <v>211314000</v>
      </c>
      <c r="D108" s="41">
        <v>8800000</v>
      </c>
      <c r="E108" s="361"/>
      <c r="F108" s="41"/>
      <c r="G108" s="91"/>
      <c r="H108" s="91"/>
      <c r="I108" s="242"/>
      <c r="K108" s="325"/>
      <c r="L108" s="96"/>
    </row>
    <row r="109" spans="1:12" ht="12.75">
      <c r="A109" s="90">
        <v>43646</v>
      </c>
      <c r="B109" s="366">
        <f t="shared" si="8"/>
        <v>25</v>
      </c>
      <c r="C109" s="41">
        <f t="shared" si="6"/>
        <v>211314000</v>
      </c>
      <c r="D109" s="41"/>
      <c r="E109" s="361">
        <f>E107</f>
        <v>0.05452</v>
      </c>
      <c r="F109" s="41">
        <f>((C108+D108)*E109/360*B108)+((C109+D109)*E109/360*B109)</f>
        <v>3000171.0846666666</v>
      </c>
      <c r="G109" s="91"/>
      <c r="H109" s="91"/>
      <c r="I109" s="242"/>
      <c r="K109" s="325"/>
      <c r="L109" s="96"/>
    </row>
    <row r="110" spans="1:12" ht="12.75">
      <c r="A110" s="90">
        <v>43713</v>
      </c>
      <c r="B110" s="366">
        <f t="shared" si="8"/>
        <v>67</v>
      </c>
      <c r="C110" s="41">
        <f t="shared" si="6"/>
        <v>202514000</v>
      </c>
      <c r="D110" s="41">
        <v>8800000</v>
      </c>
      <c r="E110" s="361"/>
      <c r="F110" s="41"/>
      <c r="G110" s="91"/>
      <c r="H110" s="91"/>
      <c r="I110" s="242"/>
      <c r="K110" s="325"/>
      <c r="L110" s="96"/>
    </row>
    <row r="111" spans="1:12" ht="12.75">
      <c r="A111" s="90">
        <v>43738</v>
      </c>
      <c r="B111" s="366">
        <f t="shared" si="8"/>
        <v>25</v>
      </c>
      <c r="C111" s="41">
        <f t="shared" si="6"/>
        <v>202514000</v>
      </c>
      <c r="D111" s="41"/>
      <c r="E111" s="361">
        <f>E109</f>
        <v>0.05452</v>
      </c>
      <c r="F111" s="41">
        <f>((C110+D110)*E111/360*B110)+((C111+D111)*E111/360*B111)</f>
        <v>2910896.7048888886</v>
      </c>
      <c r="G111" s="91"/>
      <c r="H111" s="91"/>
      <c r="I111" s="242"/>
      <c r="K111" s="325"/>
      <c r="L111" s="96"/>
    </row>
    <row r="112" spans="1:12" ht="12.75">
      <c r="A112" s="90">
        <v>43804</v>
      </c>
      <c r="B112" s="366">
        <f t="shared" si="8"/>
        <v>66</v>
      </c>
      <c r="C112" s="41">
        <f t="shared" si="6"/>
        <v>193714000</v>
      </c>
      <c r="D112" s="41">
        <v>8800000</v>
      </c>
      <c r="E112" s="361"/>
      <c r="F112" s="41"/>
      <c r="G112" s="91"/>
      <c r="H112" s="91"/>
      <c r="I112" s="242"/>
      <c r="K112" s="325"/>
      <c r="L112" s="96"/>
    </row>
    <row r="113" spans="1:12" ht="12.75">
      <c r="A113" s="97">
        <v>43830</v>
      </c>
      <c r="B113" s="367">
        <f t="shared" si="8"/>
        <v>26</v>
      </c>
      <c r="C113" s="99">
        <f t="shared" si="6"/>
        <v>193714000</v>
      </c>
      <c r="D113" s="99"/>
      <c r="E113" s="362">
        <f>E111</f>
        <v>0.05452</v>
      </c>
      <c r="F113" s="99">
        <f>((C112+D112)*E113/360*B112)+((C113+D113)*E113/360*B113)</f>
        <v>2786954.5715555553</v>
      </c>
      <c r="G113" s="359">
        <f>SUM(F107:F113)</f>
        <v>11783469.69222222</v>
      </c>
      <c r="H113" s="359">
        <f>SUM(D106:D113)</f>
        <v>35200000</v>
      </c>
      <c r="I113" s="360">
        <f>SUM(G113:H113)</f>
        <v>46983469.69222222</v>
      </c>
      <c r="K113" s="320"/>
      <c r="L113" s="324"/>
    </row>
    <row r="114" spans="1:12" ht="12.75">
      <c r="A114" s="103">
        <v>43895</v>
      </c>
      <c r="B114" s="365">
        <f>A114-A113</f>
        <v>65</v>
      </c>
      <c r="C114" s="42">
        <f t="shared" si="6"/>
        <v>184914000</v>
      </c>
      <c r="D114" s="42">
        <v>8800000</v>
      </c>
      <c r="E114" s="104"/>
      <c r="F114" s="104"/>
      <c r="G114" s="104"/>
      <c r="H114" s="104"/>
      <c r="I114" s="253"/>
      <c r="K114" s="374"/>
      <c r="L114" s="253"/>
    </row>
    <row r="115" spans="1:12" ht="12.75">
      <c r="A115" s="90">
        <v>43921</v>
      </c>
      <c r="B115" s="366">
        <f aca="true" t="shared" si="9" ref="B115:B121">A115-A114</f>
        <v>26</v>
      </c>
      <c r="C115" s="41">
        <f t="shared" si="6"/>
        <v>184914000</v>
      </c>
      <c r="D115" s="41"/>
      <c r="E115" s="361">
        <f>E113</f>
        <v>0.05452</v>
      </c>
      <c r="F115" s="41">
        <f>((C114+D114)*E115/360*B114)+((C115+D115)*E115/360*B115)</f>
        <v>2635008.240222222</v>
      </c>
      <c r="G115" s="91"/>
      <c r="H115" s="91"/>
      <c r="I115" s="242"/>
      <c r="K115" s="325"/>
      <c r="L115" s="96"/>
    </row>
    <row r="116" spans="1:12" ht="12.75">
      <c r="A116" s="90">
        <v>43987</v>
      </c>
      <c r="B116" s="366">
        <f t="shared" si="9"/>
        <v>66</v>
      </c>
      <c r="C116" s="41">
        <f t="shared" si="6"/>
        <v>176114000</v>
      </c>
      <c r="D116" s="41">
        <v>8800000</v>
      </c>
      <c r="E116" s="361"/>
      <c r="F116" s="41"/>
      <c r="G116" s="91"/>
      <c r="H116" s="91"/>
      <c r="I116" s="242"/>
      <c r="K116" s="325"/>
      <c r="L116" s="96"/>
    </row>
    <row r="117" spans="1:12" ht="12.75">
      <c r="A117" s="90">
        <v>44012</v>
      </c>
      <c r="B117" s="366">
        <f t="shared" si="9"/>
        <v>25</v>
      </c>
      <c r="C117" s="41">
        <f t="shared" si="6"/>
        <v>176114000</v>
      </c>
      <c r="D117" s="41"/>
      <c r="E117" s="361">
        <f>E115</f>
        <v>0.05452</v>
      </c>
      <c r="F117" s="41">
        <f>((C116+D116)*E117/360*B116)+((C117+D117)*E117/360*B117)</f>
        <v>2515064.240222222</v>
      </c>
      <c r="G117" s="91"/>
      <c r="H117" s="91"/>
      <c r="I117" s="242"/>
      <c r="K117" s="325"/>
      <c r="L117" s="96"/>
    </row>
    <row r="118" spans="1:12" ht="12.75">
      <c r="A118" s="90">
        <v>44079</v>
      </c>
      <c r="B118" s="366">
        <f t="shared" si="9"/>
        <v>67</v>
      </c>
      <c r="C118" s="41">
        <f t="shared" si="6"/>
        <v>167314000</v>
      </c>
      <c r="D118" s="41">
        <v>8800000</v>
      </c>
      <c r="E118" s="361"/>
      <c r="F118" s="41"/>
      <c r="G118" s="91"/>
      <c r="H118" s="91"/>
      <c r="I118" s="242"/>
      <c r="K118" s="325"/>
      <c r="L118" s="96"/>
    </row>
    <row r="119" spans="1:12" ht="12.75">
      <c r="A119" s="90">
        <v>44104</v>
      </c>
      <c r="B119" s="366">
        <f t="shared" si="9"/>
        <v>25</v>
      </c>
      <c r="C119" s="41">
        <f t="shared" si="6"/>
        <v>167314000</v>
      </c>
      <c r="D119" s="41"/>
      <c r="E119" s="361">
        <f>E117</f>
        <v>0.05452</v>
      </c>
      <c r="F119" s="41">
        <f>((C118+D118)*E119/360*B118)+((C119+D119)*E119/360*B119)</f>
        <v>2420459.016</v>
      </c>
      <c r="G119" s="91"/>
      <c r="H119" s="91"/>
      <c r="I119" s="242"/>
      <c r="K119" s="325"/>
      <c r="L119" s="96"/>
    </row>
    <row r="120" spans="1:12" ht="12.75">
      <c r="A120" s="90">
        <v>44170</v>
      </c>
      <c r="B120" s="366">
        <f t="shared" si="9"/>
        <v>66</v>
      </c>
      <c r="C120" s="41">
        <f t="shared" si="6"/>
        <v>158514000</v>
      </c>
      <c r="D120" s="41">
        <v>8800000</v>
      </c>
      <c r="E120" s="361"/>
      <c r="F120" s="41"/>
      <c r="G120" s="91"/>
      <c r="H120" s="91"/>
      <c r="I120" s="242"/>
      <c r="K120" s="325"/>
      <c r="L120" s="96"/>
    </row>
    <row r="121" spans="1:12" ht="12.75">
      <c r="A121" s="97">
        <v>44196</v>
      </c>
      <c r="B121" s="367">
        <f t="shared" si="9"/>
        <v>26</v>
      </c>
      <c r="C121" s="99">
        <f t="shared" si="6"/>
        <v>158514000</v>
      </c>
      <c r="D121" s="99"/>
      <c r="E121" s="362">
        <f>E119</f>
        <v>0.05452</v>
      </c>
      <c r="F121" s="99">
        <f>((C120+D120)*E121/360*B120)+((C121+D121)*E121/360*B121)</f>
        <v>2296516.8826666665</v>
      </c>
      <c r="G121" s="359">
        <f>SUM(F115:F121)</f>
        <v>9867048.379111111</v>
      </c>
      <c r="H121" s="359">
        <f>SUM(D114:D121)</f>
        <v>35200000</v>
      </c>
      <c r="I121" s="360">
        <f>SUM(G121:H121)</f>
        <v>45067048.37911111</v>
      </c>
      <c r="K121" s="320"/>
      <c r="L121" s="324"/>
    </row>
    <row r="122" spans="1:12" ht="12.75">
      <c r="A122" s="103">
        <v>44260</v>
      </c>
      <c r="B122" s="365">
        <f>A122-A121</f>
        <v>64</v>
      </c>
      <c r="C122" s="42">
        <f t="shared" si="6"/>
        <v>149714000</v>
      </c>
      <c r="D122" s="42">
        <v>8800000</v>
      </c>
      <c r="E122" s="104"/>
      <c r="F122" s="104"/>
      <c r="G122" s="104"/>
      <c r="H122" s="104"/>
      <c r="I122" s="253"/>
      <c r="K122" s="374"/>
      <c r="L122" s="253"/>
    </row>
    <row r="123" spans="1:12" ht="12.75">
      <c r="A123" s="90">
        <v>44286</v>
      </c>
      <c r="B123" s="366">
        <f aca="true" t="shared" si="10" ref="B123:B129">A123-A122</f>
        <v>26</v>
      </c>
      <c r="C123" s="41">
        <f t="shared" si="6"/>
        <v>149714000</v>
      </c>
      <c r="D123" s="41"/>
      <c r="E123" s="361">
        <f>E121</f>
        <v>0.05452</v>
      </c>
      <c r="F123" s="41">
        <f>((C122+D122)*E123/360*B122)+((C123+D123)*E123/360*B123)</f>
        <v>2125895.331111111</v>
      </c>
      <c r="G123" s="91"/>
      <c r="H123" s="91"/>
      <c r="I123" s="242"/>
      <c r="K123" s="325"/>
      <c r="L123" s="96"/>
    </row>
    <row r="124" spans="1:12" ht="12.75">
      <c r="A124" s="90">
        <v>44352</v>
      </c>
      <c r="B124" s="366">
        <f t="shared" si="10"/>
        <v>66</v>
      </c>
      <c r="C124" s="41">
        <f t="shared" si="6"/>
        <v>140914000</v>
      </c>
      <c r="D124" s="41">
        <v>8800000</v>
      </c>
      <c r="E124" s="361"/>
      <c r="F124" s="41"/>
      <c r="G124" s="91"/>
      <c r="H124" s="91"/>
      <c r="I124" s="242"/>
      <c r="K124" s="325"/>
      <c r="L124" s="96"/>
    </row>
    <row r="125" spans="1:12" ht="12.75">
      <c r="A125" s="90">
        <v>44377</v>
      </c>
      <c r="B125" s="366">
        <f t="shared" si="10"/>
        <v>25</v>
      </c>
      <c r="C125" s="41">
        <f t="shared" si="6"/>
        <v>140914000</v>
      </c>
      <c r="D125" s="41"/>
      <c r="E125" s="361">
        <f>E123</f>
        <v>0.05452</v>
      </c>
      <c r="F125" s="41">
        <f>((C124+D124)*E125/360*B124)+((C125+D125)*E125/360*B125)</f>
        <v>2029957.395777778</v>
      </c>
      <c r="G125" s="91"/>
      <c r="H125" s="91"/>
      <c r="I125" s="242"/>
      <c r="K125" s="325"/>
      <c r="L125" s="96"/>
    </row>
    <row r="126" spans="1:12" ht="12.75">
      <c r="A126" s="90">
        <v>44444</v>
      </c>
      <c r="B126" s="366">
        <f t="shared" si="10"/>
        <v>67</v>
      </c>
      <c r="C126" s="41">
        <f t="shared" si="6"/>
        <v>132114000</v>
      </c>
      <c r="D126" s="41">
        <v>8800000</v>
      </c>
      <c r="E126" s="361"/>
      <c r="F126" s="41"/>
      <c r="G126" s="91"/>
      <c r="H126" s="91"/>
      <c r="I126" s="242"/>
      <c r="K126" s="325"/>
      <c r="L126" s="96"/>
    </row>
    <row r="127" spans="1:12" ht="12.75">
      <c r="A127" s="90">
        <v>44469</v>
      </c>
      <c r="B127" s="366">
        <f t="shared" si="10"/>
        <v>25</v>
      </c>
      <c r="C127" s="41">
        <f t="shared" si="6"/>
        <v>132114000</v>
      </c>
      <c r="D127" s="41"/>
      <c r="E127" s="361">
        <f>E125</f>
        <v>0.05452</v>
      </c>
      <c r="F127" s="41">
        <f>((C126+D126)*E127/360*B126)+((C127+D127)*E127/360*B127)</f>
        <v>1930021.327111111</v>
      </c>
      <c r="G127" s="91"/>
      <c r="H127" s="91"/>
      <c r="I127" s="242"/>
      <c r="K127" s="325"/>
      <c r="L127" s="96"/>
    </row>
    <row r="128" spans="1:12" ht="12.75">
      <c r="A128" s="90">
        <v>44535</v>
      </c>
      <c r="B128" s="366">
        <f t="shared" si="10"/>
        <v>66</v>
      </c>
      <c r="C128" s="41">
        <f t="shared" si="6"/>
        <v>123314000</v>
      </c>
      <c r="D128" s="41">
        <v>8800000</v>
      </c>
      <c r="E128" s="361"/>
      <c r="F128" s="41"/>
      <c r="G128" s="91"/>
      <c r="H128" s="91"/>
      <c r="I128" s="242"/>
      <c r="K128" s="325"/>
      <c r="L128" s="96"/>
    </row>
    <row r="129" spans="1:12" ht="12.75">
      <c r="A129" s="97">
        <v>44561</v>
      </c>
      <c r="B129" s="367">
        <f t="shared" si="10"/>
        <v>26</v>
      </c>
      <c r="C129" s="99">
        <f t="shared" si="6"/>
        <v>123314000</v>
      </c>
      <c r="D129" s="99"/>
      <c r="E129" s="362">
        <f>E127</f>
        <v>0.05452</v>
      </c>
      <c r="F129" s="99">
        <f>((C128+D128)*E129/360*B128)+((C129+D129)*E129/360*B129)</f>
        <v>1806079.193777778</v>
      </c>
      <c r="G129" s="359">
        <f>SUM(F123:F129)</f>
        <v>7891953.247777779</v>
      </c>
      <c r="H129" s="359">
        <f>SUM(D122:D129)</f>
        <v>35200000</v>
      </c>
      <c r="I129" s="360">
        <f>SUM(G129:H129)</f>
        <v>43091953.247777775</v>
      </c>
      <c r="K129" s="320"/>
      <c r="L129" s="324"/>
    </row>
    <row r="130" spans="1:12" ht="12.75">
      <c r="A130" s="103">
        <v>44625</v>
      </c>
      <c r="B130" s="365">
        <f>A130-A129</f>
        <v>64</v>
      </c>
      <c r="C130" s="42">
        <f t="shared" si="6"/>
        <v>114514000</v>
      </c>
      <c r="D130" s="42">
        <v>8800000</v>
      </c>
      <c r="E130" s="104"/>
      <c r="F130" s="104"/>
      <c r="G130" s="104"/>
      <c r="H130" s="104"/>
      <c r="I130" s="253"/>
      <c r="K130" s="374"/>
      <c r="L130" s="253"/>
    </row>
    <row r="131" spans="1:12" ht="12.75">
      <c r="A131" s="90">
        <v>44651</v>
      </c>
      <c r="B131" s="366">
        <f aca="true" t="shared" si="11" ref="B131:B137">A131-A130</f>
        <v>26</v>
      </c>
      <c r="C131" s="41">
        <f t="shared" si="6"/>
        <v>114514000</v>
      </c>
      <c r="D131" s="41"/>
      <c r="E131" s="361">
        <f>E129</f>
        <v>0.05452</v>
      </c>
      <c r="F131" s="41">
        <f>((C130+D130)*E131/360*B130)+((C131+D131)*E131/360*B131)</f>
        <v>1646119.3311111112</v>
      </c>
      <c r="G131" s="91"/>
      <c r="H131" s="91"/>
      <c r="I131" s="242"/>
      <c r="K131" s="325"/>
      <c r="L131" s="96"/>
    </row>
    <row r="132" spans="1:12" ht="12.75">
      <c r="A132" s="90">
        <v>44717</v>
      </c>
      <c r="B132" s="366">
        <f t="shared" si="11"/>
        <v>66</v>
      </c>
      <c r="C132" s="41">
        <f t="shared" si="6"/>
        <v>105714000</v>
      </c>
      <c r="D132" s="41">
        <v>8800000</v>
      </c>
      <c r="E132" s="361"/>
      <c r="F132" s="41"/>
      <c r="G132" s="91"/>
      <c r="H132" s="91"/>
      <c r="I132" s="242"/>
      <c r="K132" s="325"/>
      <c r="L132" s="96"/>
    </row>
    <row r="133" spans="1:12" ht="12.75">
      <c r="A133" s="90">
        <v>44742</v>
      </c>
      <c r="B133" s="366">
        <f t="shared" si="11"/>
        <v>25</v>
      </c>
      <c r="C133" s="41">
        <f t="shared" si="6"/>
        <v>105714000</v>
      </c>
      <c r="D133" s="41"/>
      <c r="E133" s="361">
        <f>E131</f>
        <v>0.05452</v>
      </c>
      <c r="F133" s="41">
        <f>((C132+D132)*E133/360*B132)+((C133+D133)*E133/360*B133)</f>
        <v>1544850.5513333331</v>
      </c>
      <c r="G133" s="91"/>
      <c r="H133" s="91"/>
      <c r="I133" s="242"/>
      <c r="K133" s="325"/>
      <c r="L133" s="96"/>
    </row>
    <row r="134" spans="1:12" ht="12.75">
      <c r="A134" s="90">
        <v>44809</v>
      </c>
      <c r="B134" s="366">
        <f t="shared" si="11"/>
        <v>67</v>
      </c>
      <c r="C134" s="41">
        <f t="shared" si="6"/>
        <v>96914000</v>
      </c>
      <c r="D134" s="41">
        <v>8800000</v>
      </c>
      <c r="E134" s="361"/>
      <c r="F134" s="41"/>
      <c r="G134" s="91"/>
      <c r="H134" s="91"/>
      <c r="I134" s="242"/>
      <c r="K134" s="325"/>
      <c r="L134" s="96"/>
    </row>
    <row r="135" spans="1:12" ht="12.75">
      <c r="A135" s="90">
        <v>44834</v>
      </c>
      <c r="B135" s="366">
        <f t="shared" si="11"/>
        <v>25</v>
      </c>
      <c r="C135" s="41">
        <f t="shared" si="6"/>
        <v>96914000</v>
      </c>
      <c r="D135" s="41"/>
      <c r="E135" s="361">
        <f>E133</f>
        <v>0.05452</v>
      </c>
      <c r="F135" s="41">
        <f>((C134+D134)*E135/360*B134)+((C135+D135)*E135/360*B135)</f>
        <v>1439583.6382222222</v>
      </c>
      <c r="G135" s="91"/>
      <c r="H135" s="91"/>
      <c r="I135" s="242"/>
      <c r="K135" s="325"/>
      <c r="L135" s="96"/>
    </row>
    <row r="136" spans="1:12" ht="12.75">
      <c r="A136" s="90">
        <v>44900</v>
      </c>
      <c r="B136" s="366">
        <f t="shared" si="11"/>
        <v>66</v>
      </c>
      <c r="C136" s="41">
        <f t="shared" si="6"/>
        <v>88114000</v>
      </c>
      <c r="D136" s="41">
        <v>8800000</v>
      </c>
      <c r="E136" s="361"/>
      <c r="F136" s="41"/>
      <c r="G136" s="91"/>
      <c r="H136" s="91"/>
      <c r="I136" s="242"/>
      <c r="K136" s="325"/>
      <c r="L136" s="96"/>
    </row>
    <row r="137" spans="1:12" ht="12.75">
      <c r="A137" s="97">
        <v>44926</v>
      </c>
      <c r="B137" s="367">
        <f t="shared" si="11"/>
        <v>26</v>
      </c>
      <c r="C137" s="99">
        <f t="shared" si="6"/>
        <v>88114000</v>
      </c>
      <c r="D137" s="99"/>
      <c r="E137" s="362">
        <f>E135</f>
        <v>0.05452</v>
      </c>
      <c r="F137" s="99">
        <f>((C136+D136)*E137/360*B136)+((C137+D137)*E137/360*B137)</f>
        <v>1315641.504888889</v>
      </c>
      <c r="G137" s="359">
        <f>SUM(F131:F137)</f>
        <v>5946195.025555555</v>
      </c>
      <c r="H137" s="359">
        <f>SUM(D130:D137)</f>
        <v>35200000</v>
      </c>
      <c r="I137" s="360">
        <f>SUM(G137:H137)</f>
        <v>41146195.02555555</v>
      </c>
      <c r="K137" s="320"/>
      <c r="L137" s="324"/>
    </row>
    <row r="138" spans="1:12" ht="12.75">
      <c r="A138" s="103">
        <v>44990</v>
      </c>
      <c r="B138" s="365">
        <f>A138-A137</f>
        <v>64</v>
      </c>
      <c r="C138" s="42">
        <f t="shared" si="6"/>
        <v>79314000</v>
      </c>
      <c r="D138" s="42">
        <v>8800000</v>
      </c>
      <c r="E138" s="104"/>
      <c r="F138" s="104"/>
      <c r="G138" s="104"/>
      <c r="H138" s="104"/>
      <c r="I138" s="253"/>
      <c r="K138" s="374"/>
      <c r="L138" s="253"/>
    </row>
    <row r="139" spans="1:12" ht="12.75">
      <c r="A139" s="90">
        <v>45016</v>
      </c>
      <c r="B139" s="366">
        <f aca="true" t="shared" si="12" ref="B139:B145">A139-A138</f>
        <v>26</v>
      </c>
      <c r="C139" s="41">
        <f t="shared" si="6"/>
        <v>79314000</v>
      </c>
      <c r="D139" s="41"/>
      <c r="E139" s="361">
        <f>E137</f>
        <v>0.05452</v>
      </c>
      <c r="F139" s="41">
        <f>((C138+D138)*E139/360*B138)+((C139+D139)*E139/360*B139)</f>
        <v>1166343.3311111112</v>
      </c>
      <c r="G139" s="91"/>
      <c r="H139" s="91"/>
      <c r="I139" s="242"/>
      <c r="K139" s="325"/>
      <c r="L139" s="96"/>
    </row>
    <row r="140" spans="1:12" ht="12.75">
      <c r="A140" s="90">
        <v>45082</v>
      </c>
      <c r="B140" s="366">
        <f t="shared" si="12"/>
        <v>66</v>
      </c>
      <c r="C140" s="41">
        <f t="shared" si="6"/>
        <v>70514000</v>
      </c>
      <c r="D140" s="41">
        <v>8800000</v>
      </c>
      <c r="E140" s="361"/>
      <c r="F140" s="41"/>
      <c r="G140" s="91"/>
      <c r="H140" s="91"/>
      <c r="I140" s="242"/>
      <c r="K140" s="325"/>
      <c r="L140" s="96"/>
    </row>
    <row r="141" spans="1:12" ht="12.75">
      <c r="A141" s="90">
        <v>45107</v>
      </c>
      <c r="B141" s="366">
        <f t="shared" si="12"/>
        <v>25</v>
      </c>
      <c r="C141" s="41">
        <f t="shared" si="6"/>
        <v>70514000</v>
      </c>
      <c r="D141" s="41"/>
      <c r="E141" s="361">
        <f>E139</f>
        <v>0.05452</v>
      </c>
      <c r="F141" s="41">
        <f>((C140+D140)*E141/360*B140)+((C141+D141)*E141/360*B141)</f>
        <v>1059743.706888889</v>
      </c>
      <c r="G141" s="91"/>
      <c r="H141" s="91"/>
      <c r="I141" s="242"/>
      <c r="K141" s="325"/>
      <c r="L141" s="96"/>
    </row>
    <row r="142" spans="1:12" ht="12.75">
      <c r="A142" s="90">
        <v>45174</v>
      </c>
      <c r="B142" s="366">
        <f t="shared" si="12"/>
        <v>67</v>
      </c>
      <c r="C142" s="41">
        <f t="shared" si="6"/>
        <v>61714000</v>
      </c>
      <c r="D142" s="41">
        <v>8800000</v>
      </c>
      <c r="E142" s="361"/>
      <c r="F142" s="41"/>
      <c r="G142" s="91"/>
      <c r="H142" s="91"/>
      <c r="I142" s="242"/>
      <c r="K142" s="325"/>
      <c r="L142" s="96"/>
    </row>
    <row r="143" spans="1:12" ht="12.75">
      <c r="A143" s="90">
        <v>45199</v>
      </c>
      <c r="B143" s="366">
        <f t="shared" si="12"/>
        <v>25</v>
      </c>
      <c r="C143" s="41">
        <f t="shared" si="6"/>
        <v>61714000</v>
      </c>
      <c r="D143" s="41"/>
      <c r="E143" s="361">
        <f>E141</f>
        <v>0.05452</v>
      </c>
      <c r="F143" s="41">
        <f>((C142+D142)*E143/360*B142)+((C143+D143)*E143/360*B143)</f>
        <v>949145.9493333333</v>
      </c>
      <c r="G143" s="91"/>
      <c r="H143" s="91"/>
      <c r="I143" s="242"/>
      <c r="K143" s="325"/>
      <c r="L143" s="96"/>
    </row>
    <row r="144" spans="1:12" ht="12.75">
      <c r="A144" s="90">
        <v>45265</v>
      </c>
      <c r="B144" s="366">
        <f t="shared" si="12"/>
        <v>66</v>
      </c>
      <c r="C144" s="41">
        <f t="shared" si="6"/>
        <v>52914000</v>
      </c>
      <c r="D144" s="41">
        <v>8800000</v>
      </c>
      <c r="E144" s="361"/>
      <c r="F144" s="41"/>
      <c r="G144" s="91"/>
      <c r="H144" s="91"/>
      <c r="I144" s="242"/>
      <c r="K144" s="325"/>
      <c r="L144" s="96"/>
    </row>
    <row r="145" spans="1:12" ht="12.75">
      <c r="A145" s="97">
        <v>45291</v>
      </c>
      <c r="B145" s="367">
        <f t="shared" si="12"/>
        <v>26</v>
      </c>
      <c r="C145" s="99">
        <f t="shared" si="6"/>
        <v>52914000</v>
      </c>
      <c r="D145" s="99"/>
      <c r="E145" s="362">
        <f>E143</f>
        <v>0.05452</v>
      </c>
      <c r="F145" s="99">
        <f>((C144+D144)*E145/360*B144)+((C145+D145)*E145/360*B145)</f>
        <v>825203.816</v>
      </c>
      <c r="G145" s="359">
        <f>SUM(F139:F145)</f>
        <v>4000436.8033333337</v>
      </c>
      <c r="H145" s="359">
        <f>SUM(D138:D145)</f>
        <v>35200000</v>
      </c>
      <c r="I145" s="360">
        <f>SUM(G145:H145)</f>
        <v>39200436.803333335</v>
      </c>
      <c r="K145" s="320"/>
      <c r="L145" s="324"/>
    </row>
    <row r="146" spans="1:12" ht="12.75">
      <c r="A146" s="103">
        <v>45356</v>
      </c>
      <c r="B146" s="365">
        <f>A146-A145</f>
        <v>65</v>
      </c>
      <c r="C146" s="42">
        <f t="shared" si="6"/>
        <v>44114000</v>
      </c>
      <c r="D146" s="42">
        <v>8800000</v>
      </c>
      <c r="E146" s="104"/>
      <c r="F146" s="104"/>
      <c r="G146" s="104"/>
      <c r="H146" s="104"/>
      <c r="I146" s="253"/>
      <c r="K146" s="374"/>
      <c r="L146" s="253"/>
    </row>
    <row r="147" spans="1:12" ht="12.75">
      <c r="A147" s="90">
        <v>45382</v>
      </c>
      <c r="B147" s="366">
        <f aca="true" t="shared" si="13" ref="B147:B153">A147-A146</f>
        <v>26</v>
      </c>
      <c r="C147" s="41">
        <f t="shared" si="6"/>
        <v>44114000</v>
      </c>
      <c r="D147" s="41"/>
      <c r="E147" s="361">
        <f>E145</f>
        <v>0.05452</v>
      </c>
      <c r="F147" s="41">
        <f>((C146+D146)*E147/360*B146)+((C147+D147)*E147/360*B147)</f>
        <v>694580.8624444443</v>
      </c>
      <c r="G147" s="91"/>
      <c r="H147" s="91"/>
      <c r="I147" s="242"/>
      <c r="K147" s="325"/>
      <c r="L147" s="96"/>
    </row>
    <row r="148" spans="1:12" ht="12.75">
      <c r="A148" s="90">
        <v>45448</v>
      </c>
      <c r="B148" s="366">
        <f t="shared" si="13"/>
        <v>66</v>
      </c>
      <c r="C148" s="41">
        <f t="shared" si="6"/>
        <v>35314000</v>
      </c>
      <c r="D148" s="41">
        <v>8800000</v>
      </c>
      <c r="E148" s="361"/>
      <c r="F148" s="41"/>
      <c r="G148" s="91"/>
      <c r="H148" s="91"/>
      <c r="I148" s="242"/>
      <c r="K148" s="325"/>
      <c r="L148" s="96"/>
    </row>
    <row r="149" spans="1:12" ht="12.75">
      <c r="A149" s="90">
        <v>45473</v>
      </c>
      <c r="B149" s="366">
        <f t="shared" si="13"/>
        <v>25</v>
      </c>
      <c r="C149" s="41">
        <f t="shared" si="6"/>
        <v>35314000</v>
      </c>
      <c r="D149" s="41"/>
      <c r="E149" s="361">
        <f>E147</f>
        <v>0.05452</v>
      </c>
      <c r="F149" s="41">
        <f>((C148+D148)*E149/360*B148)+((C149+D149)*E149/360*B149)</f>
        <v>574636.8624444443</v>
      </c>
      <c r="G149" s="91"/>
      <c r="H149" s="91"/>
      <c r="I149" s="242"/>
      <c r="K149" s="325"/>
      <c r="L149" s="96"/>
    </row>
    <row r="150" spans="1:12" ht="12.75">
      <c r="A150" s="90">
        <v>45540</v>
      </c>
      <c r="B150" s="366">
        <f t="shared" si="13"/>
        <v>67</v>
      </c>
      <c r="C150" s="41">
        <f t="shared" si="6"/>
        <v>26514000</v>
      </c>
      <c r="D150" s="41">
        <v>8800000</v>
      </c>
      <c r="E150" s="361"/>
      <c r="F150" s="41"/>
      <c r="G150" s="91"/>
      <c r="H150" s="91"/>
      <c r="I150" s="242"/>
      <c r="K150" s="325"/>
      <c r="L150" s="96"/>
    </row>
    <row r="151" spans="1:12" ht="12.75">
      <c r="A151" s="90">
        <v>45565</v>
      </c>
      <c r="B151" s="366">
        <f t="shared" si="13"/>
        <v>25</v>
      </c>
      <c r="C151" s="41">
        <f t="shared" si="6"/>
        <v>26514000</v>
      </c>
      <c r="D151" s="41"/>
      <c r="E151" s="361">
        <f>E149</f>
        <v>0.05452</v>
      </c>
      <c r="F151" s="41">
        <f>((C150+D150)*E151/360*B150)+((C151+D151)*E151/360*B151)</f>
        <v>458708.26044444443</v>
      </c>
      <c r="G151" s="91"/>
      <c r="H151" s="91"/>
      <c r="I151" s="242"/>
      <c r="K151" s="325"/>
      <c r="L151" s="96"/>
    </row>
    <row r="152" spans="1:12" ht="12.75">
      <c r="A152" s="90">
        <v>45631</v>
      </c>
      <c r="B152" s="366">
        <f t="shared" si="13"/>
        <v>66</v>
      </c>
      <c r="C152" s="41">
        <f t="shared" si="6"/>
        <v>17714000</v>
      </c>
      <c r="D152" s="41">
        <v>8800000</v>
      </c>
      <c r="E152" s="361"/>
      <c r="F152" s="41"/>
      <c r="G152" s="91"/>
      <c r="H152" s="91"/>
      <c r="I152" s="242"/>
      <c r="K152" s="325"/>
      <c r="L152" s="96"/>
    </row>
    <row r="153" spans="1:12" ht="12.75">
      <c r="A153" s="97">
        <v>45657</v>
      </c>
      <c r="B153" s="367">
        <f t="shared" si="13"/>
        <v>26</v>
      </c>
      <c r="C153" s="99">
        <f t="shared" si="6"/>
        <v>17714000</v>
      </c>
      <c r="D153" s="99"/>
      <c r="E153" s="362">
        <f>E151</f>
        <v>0.05452</v>
      </c>
      <c r="F153" s="99">
        <f>((C152+D152)*E153/360*B152)+((C153+D153)*E153/360*B153)</f>
        <v>334766.12711111107</v>
      </c>
      <c r="G153" s="359">
        <f>SUM(F147:F153)</f>
        <v>2062692.112444444</v>
      </c>
      <c r="H153" s="359">
        <f>SUM(D146:D153)</f>
        <v>35200000</v>
      </c>
      <c r="I153" s="360">
        <f>SUM(G153:H153)</f>
        <v>37262692.112444445</v>
      </c>
      <c r="K153" s="320"/>
      <c r="L153" s="324"/>
    </row>
    <row r="154" spans="1:12" ht="12.75">
      <c r="A154" s="103">
        <v>45721</v>
      </c>
      <c r="B154" s="365">
        <f>A154-A153</f>
        <v>64</v>
      </c>
      <c r="C154" s="42">
        <f t="shared" si="6"/>
        <v>8914000</v>
      </c>
      <c r="D154" s="42">
        <v>8800000</v>
      </c>
      <c r="E154" s="104"/>
      <c r="F154" s="104"/>
      <c r="G154" s="104"/>
      <c r="H154" s="104"/>
      <c r="I154" s="253"/>
      <c r="K154" s="374"/>
      <c r="L154" s="253"/>
    </row>
    <row r="155" spans="1:12" ht="12.75">
      <c r="A155" s="90">
        <v>45747</v>
      </c>
      <c r="B155" s="366">
        <f>A155-A154</f>
        <v>26</v>
      </c>
      <c r="C155" s="41">
        <f t="shared" si="6"/>
        <v>8914000</v>
      </c>
      <c r="D155" s="41"/>
      <c r="E155" s="361">
        <f>E153</f>
        <v>0.05452</v>
      </c>
      <c r="F155" s="41">
        <f>((C154+D154)*E155/360*B154)+((C155+D155)*E155/360*B155)</f>
        <v>206791.3311111111</v>
      </c>
      <c r="G155" s="91"/>
      <c r="H155" s="91"/>
      <c r="I155" s="242"/>
      <c r="K155" s="325"/>
      <c r="L155" s="96"/>
    </row>
    <row r="156" spans="1:12" ht="13.5" thickBot="1">
      <c r="A156" s="90">
        <v>45813</v>
      </c>
      <c r="B156" s="366">
        <f>A156-A155</f>
        <v>66</v>
      </c>
      <c r="C156" s="41">
        <f t="shared" si="6"/>
        <v>0</v>
      </c>
      <c r="D156" s="41">
        <v>8914000</v>
      </c>
      <c r="E156" s="361">
        <f>E155</f>
        <v>0.05452</v>
      </c>
      <c r="F156" s="41">
        <f>((C156+D156)*E156/360*B156)</f>
        <v>89098.40133333333</v>
      </c>
      <c r="G156" s="359">
        <f>SUM(F155:F156)</f>
        <v>295889.73244444444</v>
      </c>
      <c r="H156" s="359">
        <f>SUM(D154:D156)</f>
        <v>17714000</v>
      </c>
      <c r="I156" s="360">
        <f>SUM(G156:H156)</f>
        <v>18009889.732444443</v>
      </c>
      <c r="K156" s="325"/>
      <c r="L156" s="96"/>
    </row>
    <row r="157" spans="1:12" ht="13.5" thickTop="1">
      <c r="A157" s="471" t="s">
        <v>14</v>
      </c>
      <c r="B157" s="472"/>
      <c r="C157" s="473"/>
      <c r="D157" s="120">
        <f>SUM(D7:D156)</f>
        <v>607314000</v>
      </c>
      <c r="E157" s="121"/>
      <c r="F157" s="120">
        <f>SUM(F7:F156)</f>
        <v>357655978.64511126</v>
      </c>
      <c r="G157" s="120">
        <f>SUM(G7:G156)</f>
        <v>357655978.64511114</v>
      </c>
      <c r="H157" s="120">
        <f>SUM(H7:H156)</f>
        <v>607314000</v>
      </c>
      <c r="I157" s="122">
        <f>SUM(I7:I156)</f>
        <v>964969978.645111</v>
      </c>
      <c r="K157" s="375">
        <f>SUM(K7:K156)</f>
        <v>21842740</v>
      </c>
      <c r="L157" s="122">
        <f>SUM(L7:L156)</f>
        <v>2043440</v>
      </c>
    </row>
    <row r="158" spans="1:9" ht="12.75">
      <c r="A158" s="123"/>
      <c r="B158" s="124"/>
      <c r="E158" s="125"/>
      <c r="G158" s="124"/>
      <c r="I158" s="124"/>
    </row>
    <row r="159" spans="1:9" ht="12.75">
      <c r="A159" s="123"/>
      <c r="B159" s="124"/>
      <c r="E159" s="125"/>
      <c r="G159" s="124"/>
      <c r="I159" s="124"/>
    </row>
    <row r="160" spans="2:9" ht="12.75">
      <c r="B160" s="58" t="s">
        <v>94</v>
      </c>
      <c r="D160" s="58"/>
      <c r="E160" s="125" t="s">
        <v>148</v>
      </c>
      <c r="G160" s="370">
        <v>425421000</v>
      </c>
      <c r="I160" s="124"/>
    </row>
    <row r="161" spans="2:9" ht="13.5" thickBot="1">
      <c r="B161" s="58" t="s">
        <v>124</v>
      </c>
      <c r="D161" s="58"/>
      <c r="E161" s="125" t="s">
        <v>172</v>
      </c>
      <c r="G161" s="370">
        <v>181893000</v>
      </c>
      <c r="I161" s="124"/>
    </row>
    <row r="162" spans="2:12" ht="13.5" thickTop="1">
      <c r="B162" s="127" t="s">
        <v>14</v>
      </c>
      <c r="C162" s="132"/>
      <c r="D162" s="127"/>
      <c r="E162" s="128"/>
      <c r="F162" s="129"/>
      <c r="G162" s="371">
        <f>SUM(G160:G161)</f>
        <v>607314000</v>
      </c>
      <c r="I162" s="124"/>
      <c r="K162" s="309"/>
      <c r="L162" s="309"/>
    </row>
    <row r="163" spans="11:12" ht="12.75">
      <c r="K163" s="56"/>
      <c r="L163" s="56"/>
    </row>
    <row r="164" spans="11:12" ht="12.75">
      <c r="K164" s="56"/>
      <c r="L164" s="56"/>
    </row>
  </sheetData>
  <mergeCells count="1">
    <mergeCell ref="A157:C157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2005. december 1-i felvételre tervezett 607.314 eFt hitel</oddHeader>
    <oddFooter>&amp;L&amp;8&amp;D&amp;C&amp;8C:\Andi\adósságszolgálat\&amp;F\&amp;A&amp;R&amp;8&amp;P/&amp;N</oddFooter>
  </headerFooter>
  <rowBreaks count="2" manualBreakCount="2">
    <brk id="65" max="255" man="1"/>
    <brk id="1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58" customWidth="1"/>
    <col min="6" max="7" width="12.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5" t="s">
        <v>186</v>
      </c>
    </row>
    <row r="2" spans="1:10" ht="12.75">
      <c r="A2" s="166" t="s">
        <v>137</v>
      </c>
      <c r="B2" s="165"/>
      <c r="C2" s="166" t="s">
        <v>138</v>
      </c>
      <c r="D2" s="166"/>
      <c r="H2" s="166"/>
      <c r="I2" s="166"/>
      <c r="J2" s="166"/>
    </row>
    <row r="3" spans="1:10" ht="12.75">
      <c r="A3" s="166" t="s">
        <v>181</v>
      </c>
      <c r="B3" s="136"/>
      <c r="C3" s="135"/>
      <c r="D3" s="135"/>
      <c r="E3" s="135"/>
      <c r="F3" s="166" t="s">
        <v>182</v>
      </c>
      <c r="G3" s="166"/>
      <c r="H3" s="135"/>
      <c r="I3" s="135"/>
      <c r="J3" s="135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152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153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9" t="s">
        <v>183</v>
      </c>
      <c r="H6" s="139" t="s">
        <v>155</v>
      </c>
      <c r="I6" s="82" t="s">
        <v>13</v>
      </c>
      <c r="J6" s="83" t="s">
        <v>12</v>
      </c>
    </row>
    <row r="7" spans="1:10" ht="12.75">
      <c r="A7" s="410">
        <v>38990</v>
      </c>
      <c r="B7" s="73"/>
      <c r="C7" s="74"/>
      <c r="D7" s="74"/>
      <c r="E7" s="74"/>
      <c r="F7" s="405"/>
      <c r="G7" s="407">
        <v>0</v>
      </c>
      <c r="H7" s="406"/>
      <c r="I7" s="76"/>
      <c r="J7" s="77"/>
    </row>
    <row r="8" spans="1:10" ht="12.75">
      <c r="A8" s="313">
        <v>39070</v>
      </c>
      <c r="B8" s="427"/>
      <c r="C8" s="300">
        <v>8528000</v>
      </c>
      <c r="D8" s="41"/>
      <c r="E8" s="361"/>
      <c r="F8" s="41"/>
      <c r="G8" s="41"/>
      <c r="H8" s="91"/>
      <c r="I8" s="91"/>
      <c r="J8" s="242"/>
    </row>
    <row r="9" spans="1:10" ht="12.75">
      <c r="A9" s="97">
        <v>39080</v>
      </c>
      <c r="B9" s="367">
        <f>A9-A8</f>
        <v>10</v>
      </c>
      <c r="C9" s="99">
        <f aca="true" t="shared" si="0" ref="C9:C41">C8-D9</f>
        <v>8528000</v>
      </c>
      <c r="D9" s="99"/>
      <c r="E9" s="362">
        <v>0.04266</v>
      </c>
      <c r="F9" s="99">
        <v>10106</v>
      </c>
      <c r="G9" s="99">
        <v>0</v>
      </c>
      <c r="H9" s="359">
        <f>SUM(F7:G9)</f>
        <v>10106</v>
      </c>
      <c r="I9" s="359">
        <f>SUM(D8:D9)</f>
        <v>0</v>
      </c>
      <c r="J9" s="360">
        <f>SUM(H9:I9)</f>
        <v>10106</v>
      </c>
    </row>
    <row r="10" spans="1:10" ht="12.75">
      <c r="A10" s="313">
        <v>39142</v>
      </c>
      <c r="B10" s="414">
        <f>A10-A9</f>
        <v>62</v>
      </c>
      <c r="C10" s="300">
        <v>10350000</v>
      </c>
      <c r="D10" s="107"/>
      <c r="E10" s="364"/>
      <c r="F10" s="107"/>
      <c r="G10" s="107"/>
      <c r="H10" s="424"/>
      <c r="I10" s="424"/>
      <c r="J10" s="426"/>
    </row>
    <row r="11" spans="1:10" ht="12.75">
      <c r="A11" s="90">
        <v>39172</v>
      </c>
      <c r="B11" s="366">
        <f>A11-A10</f>
        <v>30</v>
      </c>
      <c r="C11" s="41">
        <f>C10-D11</f>
        <v>10350000</v>
      </c>
      <c r="D11" s="41"/>
      <c r="E11" s="361">
        <v>0.04612</v>
      </c>
      <c r="F11" s="41">
        <f>((C9+D9)*E11/360*B10)+((C11+D11)*E11/360*B11)</f>
        <v>107515.45644444444</v>
      </c>
      <c r="G11" s="41">
        <v>1941</v>
      </c>
      <c r="H11" s="91"/>
      <c r="I11" s="91"/>
      <c r="J11" s="242"/>
    </row>
    <row r="12" spans="1:10" ht="12.75">
      <c r="A12" s="90">
        <v>39263</v>
      </c>
      <c r="B12" s="366">
        <f aca="true" t="shared" si="1" ref="B12:B41">A12-A11</f>
        <v>91</v>
      </c>
      <c r="C12" s="41">
        <f t="shared" si="0"/>
        <v>10350000</v>
      </c>
      <c r="D12" s="41"/>
      <c r="E12" s="361">
        <f aca="true" t="shared" si="2" ref="E12:E19">E11</f>
        <v>0.04612</v>
      </c>
      <c r="F12" s="41">
        <f aca="true" t="shared" si="3" ref="F12:F19">((C12+D12)*E12/360*B12)</f>
        <v>120661.45</v>
      </c>
      <c r="G12" s="41">
        <f aca="true" t="shared" si="4" ref="G12:G19">G11</f>
        <v>1941</v>
      </c>
      <c r="H12" s="91"/>
      <c r="I12" s="91"/>
      <c r="J12" s="242"/>
    </row>
    <row r="13" spans="1:10" ht="12.75">
      <c r="A13" s="90">
        <v>39355</v>
      </c>
      <c r="B13" s="366">
        <f t="shared" si="1"/>
        <v>92</v>
      </c>
      <c r="C13" s="41">
        <f t="shared" si="0"/>
        <v>10350000</v>
      </c>
      <c r="D13" s="41"/>
      <c r="E13" s="361">
        <f t="shared" si="2"/>
        <v>0.04612</v>
      </c>
      <c r="F13" s="41">
        <f t="shared" si="3"/>
        <v>121987.40000000001</v>
      </c>
      <c r="G13" s="41">
        <f t="shared" si="4"/>
        <v>1941</v>
      </c>
      <c r="H13" s="91"/>
      <c r="I13" s="91"/>
      <c r="J13" s="242"/>
    </row>
    <row r="14" spans="1:10" ht="12.75">
      <c r="A14" s="97">
        <v>39447</v>
      </c>
      <c r="B14" s="367">
        <f t="shared" si="1"/>
        <v>92</v>
      </c>
      <c r="C14" s="99">
        <f t="shared" si="0"/>
        <v>10350000</v>
      </c>
      <c r="D14" s="99"/>
      <c r="E14" s="362">
        <f t="shared" si="2"/>
        <v>0.04612</v>
      </c>
      <c r="F14" s="99">
        <f t="shared" si="3"/>
        <v>121987.40000000001</v>
      </c>
      <c r="G14" s="99">
        <f t="shared" si="4"/>
        <v>1941</v>
      </c>
      <c r="H14" s="359">
        <f>SUM(F11:G14)</f>
        <v>479915.7064444445</v>
      </c>
      <c r="I14" s="359">
        <f>SUM(D11:D14)</f>
        <v>0</v>
      </c>
      <c r="J14" s="360">
        <f>SUM(H14:I14)</f>
        <v>479915.7064444445</v>
      </c>
    </row>
    <row r="15" spans="1:10" ht="12.75">
      <c r="A15" s="103">
        <v>39538</v>
      </c>
      <c r="B15" s="365">
        <f t="shared" si="1"/>
        <v>91</v>
      </c>
      <c r="C15" s="42">
        <f t="shared" si="0"/>
        <v>10350000</v>
      </c>
      <c r="D15" s="42"/>
      <c r="E15" s="363">
        <f t="shared" si="2"/>
        <v>0.04612</v>
      </c>
      <c r="F15" s="42">
        <f t="shared" si="3"/>
        <v>120661.45</v>
      </c>
      <c r="G15" s="42">
        <f t="shared" si="4"/>
        <v>1941</v>
      </c>
      <c r="H15" s="104"/>
      <c r="I15" s="104"/>
      <c r="J15" s="253"/>
    </row>
    <row r="16" spans="1:10" ht="12.75">
      <c r="A16" s="90">
        <v>39629</v>
      </c>
      <c r="B16" s="366">
        <f t="shared" si="1"/>
        <v>91</v>
      </c>
      <c r="C16" s="41">
        <f t="shared" si="0"/>
        <v>10350000</v>
      </c>
      <c r="D16" s="41"/>
      <c r="E16" s="361">
        <f t="shared" si="2"/>
        <v>0.04612</v>
      </c>
      <c r="F16" s="41">
        <f t="shared" si="3"/>
        <v>120661.45</v>
      </c>
      <c r="G16" s="41">
        <f t="shared" si="4"/>
        <v>1941</v>
      </c>
      <c r="H16" s="91"/>
      <c r="I16" s="91"/>
      <c r="J16" s="242"/>
    </row>
    <row r="17" spans="1:10" ht="12.75">
      <c r="A17" s="90">
        <v>39721</v>
      </c>
      <c r="B17" s="366">
        <f t="shared" si="1"/>
        <v>92</v>
      </c>
      <c r="C17" s="41">
        <f t="shared" si="0"/>
        <v>10350000</v>
      </c>
      <c r="D17" s="41"/>
      <c r="E17" s="361">
        <f t="shared" si="2"/>
        <v>0.04612</v>
      </c>
      <c r="F17" s="41">
        <f t="shared" si="3"/>
        <v>121987.40000000001</v>
      </c>
      <c r="G17" s="41">
        <f t="shared" si="4"/>
        <v>1941</v>
      </c>
      <c r="H17" s="91"/>
      <c r="I17" s="91"/>
      <c r="J17" s="242"/>
    </row>
    <row r="18" spans="1:10" ht="12.75">
      <c r="A18" s="97">
        <v>39813</v>
      </c>
      <c r="B18" s="367">
        <f t="shared" si="1"/>
        <v>92</v>
      </c>
      <c r="C18" s="99">
        <f t="shared" si="0"/>
        <v>10350000</v>
      </c>
      <c r="D18" s="99"/>
      <c r="E18" s="362">
        <f t="shared" si="2"/>
        <v>0.04612</v>
      </c>
      <c r="F18" s="99">
        <f t="shared" si="3"/>
        <v>121987.40000000001</v>
      </c>
      <c r="G18" s="99">
        <f t="shared" si="4"/>
        <v>1941</v>
      </c>
      <c r="H18" s="359">
        <f>SUM(F15:G18)</f>
        <v>493061.7</v>
      </c>
      <c r="I18" s="359">
        <f>SUM(D15:D18)</f>
        <v>0</v>
      </c>
      <c r="J18" s="360">
        <f>SUM(H18:I18)</f>
        <v>493061.7</v>
      </c>
    </row>
    <row r="19" spans="1:10" ht="12.75">
      <c r="A19" s="90">
        <v>39903</v>
      </c>
      <c r="B19" s="369">
        <f t="shared" si="1"/>
        <v>90</v>
      </c>
      <c r="C19" s="42">
        <f t="shared" si="0"/>
        <v>10350000</v>
      </c>
      <c r="D19" s="41"/>
      <c r="E19" s="361">
        <f t="shared" si="2"/>
        <v>0.04612</v>
      </c>
      <c r="F19" s="42">
        <f t="shared" si="3"/>
        <v>119335.5</v>
      </c>
      <c r="G19" s="41">
        <f t="shared" si="4"/>
        <v>1941</v>
      </c>
      <c r="H19" s="91"/>
      <c r="I19" s="91"/>
      <c r="J19" s="242"/>
    </row>
    <row r="20" spans="1:10" ht="12.75">
      <c r="A20" s="90">
        <v>39969</v>
      </c>
      <c r="B20" s="366">
        <f t="shared" si="1"/>
        <v>66</v>
      </c>
      <c r="C20" s="41">
        <f>C19-D20</f>
        <v>10200000</v>
      </c>
      <c r="D20" s="41">
        <v>150000</v>
      </c>
      <c r="E20" s="361"/>
      <c r="F20" s="41"/>
      <c r="G20" s="41"/>
      <c r="H20" s="91"/>
      <c r="I20" s="91"/>
      <c r="J20" s="242"/>
    </row>
    <row r="21" spans="1:10" ht="12.75">
      <c r="A21" s="90">
        <v>39994</v>
      </c>
      <c r="B21" s="366">
        <f t="shared" si="1"/>
        <v>25</v>
      </c>
      <c r="C21" s="41">
        <f t="shared" si="0"/>
        <v>10200000</v>
      </c>
      <c r="D21" s="41"/>
      <c r="E21" s="361">
        <f>E19</f>
        <v>0.04612</v>
      </c>
      <c r="F21" s="41">
        <f>((C20+D20)*E21/360*B20)+((C21+D21)*E21/360*B21)</f>
        <v>120181.03333333333</v>
      </c>
      <c r="G21" s="41">
        <f>G19</f>
        <v>1941</v>
      </c>
      <c r="H21" s="91"/>
      <c r="I21" s="91"/>
      <c r="J21" s="242"/>
    </row>
    <row r="22" spans="1:10" ht="12.75">
      <c r="A22" s="90">
        <v>40061</v>
      </c>
      <c r="B22" s="366">
        <f t="shared" si="1"/>
        <v>67</v>
      </c>
      <c r="C22" s="41">
        <f>C21-D22</f>
        <v>10050000</v>
      </c>
      <c r="D22" s="41">
        <f>D20</f>
        <v>150000</v>
      </c>
      <c r="E22" s="361"/>
      <c r="F22" s="41"/>
      <c r="G22" s="41"/>
      <c r="H22" s="91"/>
      <c r="I22" s="91"/>
      <c r="J22" s="242"/>
    </row>
    <row r="23" spans="1:10" ht="12.75">
      <c r="A23" s="90">
        <v>40086</v>
      </c>
      <c r="B23" s="366">
        <f t="shared" si="1"/>
        <v>25</v>
      </c>
      <c r="C23" s="41">
        <f t="shared" si="0"/>
        <v>10050000</v>
      </c>
      <c r="D23" s="41"/>
      <c r="E23" s="361">
        <f>E21</f>
        <v>0.04612</v>
      </c>
      <c r="F23" s="41">
        <f>((C22+D22)*E23/360*B22)+((C23+D23)*E23/360*B23)</f>
        <v>119739.05</v>
      </c>
      <c r="G23" s="41">
        <f>G21</f>
        <v>1941</v>
      </c>
      <c r="H23" s="91"/>
      <c r="I23" s="91"/>
      <c r="J23" s="242"/>
    </row>
    <row r="24" spans="1:10" ht="12.75">
      <c r="A24" s="90">
        <v>40152</v>
      </c>
      <c r="B24" s="366">
        <f t="shared" si="1"/>
        <v>66</v>
      </c>
      <c r="C24" s="41">
        <f t="shared" si="0"/>
        <v>9900000</v>
      </c>
      <c r="D24" s="41">
        <f>D22</f>
        <v>150000</v>
      </c>
      <c r="E24" s="361"/>
      <c r="F24" s="41"/>
      <c r="G24" s="41"/>
      <c r="H24" s="91"/>
      <c r="I24" s="91"/>
      <c r="J24" s="242"/>
    </row>
    <row r="25" spans="1:10" ht="12.75">
      <c r="A25" s="97">
        <v>40178</v>
      </c>
      <c r="B25" s="367">
        <f t="shared" si="1"/>
        <v>26</v>
      </c>
      <c r="C25" s="99">
        <f>C24-D25</f>
        <v>9900000</v>
      </c>
      <c r="D25" s="99"/>
      <c r="E25" s="362">
        <f>E23</f>
        <v>0.04612</v>
      </c>
      <c r="F25" s="99">
        <f>((C24+D24)*E25/360*B24)+((C25+D25)*E25/360*B25)</f>
        <v>117951.9</v>
      </c>
      <c r="G25" s="99">
        <f>G23</f>
        <v>1941</v>
      </c>
      <c r="H25" s="359">
        <f>SUM(F19:G25)</f>
        <v>484971.4833333333</v>
      </c>
      <c r="I25" s="359">
        <f>SUM(D19:D25)</f>
        <v>450000</v>
      </c>
      <c r="J25" s="360">
        <f>SUM(H25:I25)</f>
        <v>934971.4833333333</v>
      </c>
    </row>
    <row r="26" spans="1:10" ht="12.75">
      <c r="A26" s="103">
        <v>40242</v>
      </c>
      <c r="B26" s="365">
        <f t="shared" si="1"/>
        <v>64</v>
      </c>
      <c r="C26" s="42">
        <f t="shared" si="0"/>
        <v>9750000</v>
      </c>
      <c r="D26" s="42">
        <f>D24</f>
        <v>150000</v>
      </c>
      <c r="E26" s="104"/>
      <c r="F26" s="104"/>
      <c r="G26" s="104"/>
      <c r="H26" s="104"/>
      <c r="I26" s="104"/>
      <c r="J26" s="253"/>
    </row>
    <row r="27" spans="1:10" ht="12.75">
      <c r="A27" s="90">
        <v>40268</v>
      </c>
      <c r="B27" s="366">
        <f t="shared" si="1"/>
        <v>26</v>
      </c>
      <c r="C27" s="41">
        <f t="shared" si="0"/>
        <v>9750000</v>
      </c>
      <c r="D27" s="41"/>
      <c r="E27" s="361">
        <f>E25</f>
        <v>0.04612</v>
      </c>
      <c r="F27" s="41">
        <f>((C26+D26)*E27/360*B26)+((C27+D27)*E27/360*B27)</f>
        <v>113647.36666666667</v>
      </c>
      <c r="G27" s="41">
        <f>G25</f>
        <v>1941</v>
      </c>
      <c r="H27" s="91"/>
      <c r="I27" s="91"/>
      <c r="J27" s="242"/>
    </row>
    <row r="28" spans="1:10" ht="12.75">
      <c r="A28" s="90">
        <v>40334</v>
      </c>
      <c r="B28" s="366">
        <f t="shared" si="1"/>
        <v>66</v>
      </c>
      <c r="C28" s="41">
        <f>C27-D28</f>
        <v>9600000</v>
      </c>
      <c r="D28" s="41">
        <f>D26</f>
        <v>150000</v>
      </c>
      <c r="E28" s="361"/>
      <c r="F28" s="41"/>
      <c r="G28" s="41"/>
      <c r="H28" s="91"/>
      <c r="I28" s="91"/>
      <c r="J28" s="242"/>
    </row>
    <row r="29" spans="1:10" ht="12.75">
      <c r="A29" s="90">
        <v>40359</v>
      </c>
      <c r="B29" s="366">
        <f t="shared" si="1"/>
        <v>25</v>
      </c>
      <c r="C29" s="41">
        <f>C28-D29</f>
        <v>9600000</v>
      </c>
      <c r="D29" s="41"/>
      <c r="E29" s="361">
        <f>E27</f>
        <v>0.04612</v>
      </c>
      <c r="F29" s="41">
        <f>((C28+D28)*E29/360*B28)+((C29+D29)*E29/360*B29)</f>
        <v>113186.16666666666</v>
      </c>
      <c r="G29" s="41">
        <f>G27</f>
        <v>1941</v>
      </c>
      <c r="H29" s="91"/>
      <c r="I29" s="91"/>
      <c r="J29" s="242"/>
    </row>
    <row r="30" spans="1:10" ht="12.75">
      <c r="A30" s="90">
        <v>40426</v>
      </c>
      <c r="B30" s="366">
        <f t="shared" si="1"/>
        <v>67</v>
      </c>
      <c r="C30" s="41">
        <f>C29-D30</f>
        <v>9450000</v>
      </c>
      <c r="D30" s="41">
        <f>D28</f>
        <v>150000</v>
      </c>
      <c r="E30" s="361"/>
      <c r="F30" s="41"/>
      <c r="G30" s="41"/>
      <c r="H30" s="91"/>
      <c r="I30" s="91"/>
      <c r="J30" s="242"/>
    </row>
    <row r="31" spans="1:10" ht="12.75">
      <c r="A31" s="90">
        <v>40451</v>
      </c>
      <c r="B31" s="366">
        <f t="shared" si="1"/>
        <v>25</v>
      </c>
      <c r="C31" s="41">
        <f t="shared" si="0"/>
        <v>9450000</v>
      </c>
      <c r="D31" s="41"/>
      <c r="E31" s="361">
        <f>E29</f>
        <v>0.04612</v>
      </c>
      <c r="F31" s="41">
        <f>((C30+D30)*E31/360*B30)+((C31+D31)*E31/360*B31)</f>
        <v>112667.31666666667</v>
      </c>
      <c r="G31" s="41">
        <f>G29</f>
        <v>1941</v>
      </c>
      <c r="H31" s="91"/>
      <c r="I31" s="91"/>
      <c r="J31" s="242"/>
    </row>
    <row r="32" spans="1:10" ht="12.75">
      <c r="A32" s="90">
        <v>40517</v>
      </c>
      <c r="B32" s="366">
        <f t="shared" si="1"/>
        <v>66</v>
      </c>
      <c r="C32" s="41">
        <f t="shared" si="0"/>
        <v>9300000</v>
      </c>
      <c r="D32" s="41">
        <f>D30</f>
        <v>150000</v>
      </c>
      <c r="E32" s="361"/>
      <c r="F32" s="41"/>
      <c r="G32" s="41"/>
      <c r="H32" s="91"/>
      <c r="I32" s="91"/>
      <c r="J32" s="242"/>
    </row>
    <row r="33" spans="1:10" ht="12.75">
      <c r="A33" s="97">
        <v>40543</v>
      </c>
      <c r="B33" s="367">
        <f t="shared" si="1"/>
        <v>26</v>
      </c>
      <c r="C33" s="99">
        <f t="shared" si="0"/>
        <v>9300000</v>
      </c>
      <c r="D33" s="99"/>
      <c r="E33" s="362">
        <f>E31</f>
        <v>0.04612</v>
      </c>
      <c r="F33" s="99">
        <f>((C32+D32)*E33/360*B32)+((C33+D33)*E33/360*B33)</f>
        <v>110880.16666666669</v>
      </c>
      <c r="G33" s="99">
        <f>G31</f>
        <v>1941</v>
      </c>
      <c r="H33" s="359">
        <f>SUM(F27:G33)</f>
        <v>458145.01666666666</v>
      </c>
      <c r="I33" s="359">
        <f>SUM(D26:D33)</f>
        <v>600000</v>
      </c>
      <c r="J33" s="360">
        <f>SUM(H33:I33)</f>
        <v>1058145.0166666666</v>
      </c>
    </row>
    <row r="34" spans="1:10" ht="12.75">
      <c r="A34" s="103">
        <v>40607</v>
      </c>
      <c r="B34" s="365">
        <f t="shared" si="1"/>
        <v>64</v>
      </c>
      <c r="C34" s="42">
        <f t="shared" si="0"/>
        <v>9150000</v>
      </c>
      <c r="D34" s="42">
        <f>D32</f>
        <v>150000</v>
      </c>
      <c r="E34" s="104"/>
      <c r="F34" s="104"/>
      <c r="G34" s="104"/>
      <c r="H34" s="104"/>
      <c r="I34" s="104"/>
      <c r="J34" s="253"/>
    </row>
    <row r="35" spans="1:10" ht="12.75">
      <c r="A35" s="90">
        <v>40633</v>
      </c>
      <c r="B35" s="366">
        <f t="shared" si="1"/>
        <v>26</v>
      </c>
      <c r="C35" s="41">
        <f t="shared" si="0"/>
        <v>9150000</v>
      </c>
      <c r="D35" s="41"/>
      <c r="E35" s="361">
        <f>E33</f>
        <v>0.04612</v>
      </c>
      <c r="F35" s="41">
        <f>((C34+D34)*E35/360*B34)+((C35+D35)*E35/360*B35)</f>
        <v>106729.36666666667</v>
      </c>
      <c r="G35" s="41">
        <f>G33</f>
        <v>1941</v>
      </c>
      <c r="H35" s="91"/>
      <c r="I35" s="91"/>
      <c r="J35" s="242"/>
    </row>
    <row r="36" spans="1:10" ht="12.75">
      <c r="A36" s="90">
        <v>40699</v>
      </c>
      <c r="B36" s="366">
        <f t="shared" si="1"/>
        <v>66</v>
      </c>
      <c r="C36" s="41">
        <f t="shared" si="0"/>
        <v>9000000</v>
      </c>
      <c r="D36" s="41">
        <f>D34</f>
        <v>150000</v>
      </c>
      <c r="E36" s="361"/>
      <c r="F36" s="41"/>
      <c r="G36" s="41"/>
      <c r="H36" s="91"/>
      <c r="I36" s="91"/>
      <c r="J36" s="242"/>
    </row>
    <row r="37" spans="1:10" ht="12.75">
      <c r="A37" s="90">
        <v>40724</v>
      </c>
      <c r="B37" s="366">
        <f t="shared" si="1"/>
        <v>25</v>
      </c>
      <c r="C37" s="41">
        <f t="shared" si="0"/>
        <v>9000000</v>
      </c>
      <c r="D37" s="41"/>
      <c r="E37" s="361">
        <f>E35</f>
        <v>0.04612</v>
      </c>
      <c r="F37" s="41">
        <f>((C36+D36)*E37/360*B36)+((C37+D37)*E37/360*B37)</f>
        <v>106191.3</v>
      </c>
      <c r="G37" s="41">
        <f>G35</f>
        <v>1941</v>
      </c>
      <c r="H37" s="91"/>
      <c r="I37" s="91"/>
      <c r="J37" s="242"/>
    </row>
    <row r="38" spans="1:10" ht="12.75">
      <c r="A38" s="90">
        <v>40791</v>
      </c>
      <c r="B38" s="366">
        <f t="shared" si="1"/>
        <v>67</v>
      </c>
      <c r="C38" s="41">
        <f t="shared" si="0"/>
        <v>8850000</v>
      </c>
      <c r="D38" s="41">
        <f>D36</f>
        <v>150000</v>
      </c>
      <c r="E38" s="361"/>
      <c r="F38" s="41"/>
      <c r="G38" s="41"/>
      <c r="H38" s="91"/>
      <c r="I38" s="91"/>
      <c r="J38" s="242"/>
    </row>
    <row r="39" spans="1:10" ht="12.75">
      <c r="A39" s="90">
        <v>40816</v>
      </c>
      <c r="B39" s="366">
        <f t="shared" si="1"/>
        <v>25</v>
      </c>
      <c r="C39" s="41">
        <f t="shared" si="0"/>
        <v>8850000</v>
      </c>
      <c r="D39" s="41"/>
      <c r="E39" s="361">
        <f>E37</f>
        <v>0.04612</v>
      </c>
      <c r="F39" s="41">
        <f>((C38+D38)*E39/360*B38)+((C39+D39)*E39/360*B39)</f>
        <v>105595.58333333333</v>
      </c>
      <c r="G39" s="41">
        <f>G37</f>
        <v>1941</v>
      </c>
      <c r="H39" s="91"/>
      <c r="I39" s="91"/>
      <c r="J39" s="242"/>
    </row>
    <row r="40" spans="1:10" ht="12.75">
      <c r="A40" s="90">
        <v>40882</v>
      </c>
      <c r="B40" s="366">
        <f t="shared" si="1"/>
        <v>66</v>
      </c>
      <c r="C40" s="41">
        <f t="shared" si="0"/>
        <v>8700000</v>
      </c>
      <c r="D40" s="41">
        <f>D38</f>
        <v>150000</v>
      </c>
      <c r="E40" s="361"/>
      <c r="F40" s="41"/>
      <c r="G40" s="41"/>
      <c r="H40" s="91"/>
      <c r="I40" s="91"/>
      <c r="J40" s="242"/>
    </row>
    <row r="41" spans="1:10" ht="12.75">
      <c r="A41" s="97">
        <v>40908</v>
      </c>
      <c r="B41" s="367">
        <f t="shared" si="1"/>
        <v>26</v>
      </c>
      <c r="C41" s="99">
        <f t="shared" si="0"/>
        <v>8700000</v>
      </c>
      <c r="D41" s="99"/>
      <c r="E41" s="362">
        <f>E39</f>
        <v>0.04612</v>
      </c>
      <c r="F41" s="99">
        <f>((C40+D40)*E41/360*B40)+((C41+D41)*E41/360*B41)</f>
        <v>103808.43333333332</v>
      </c>
      <c r="G41" s="99">
        <f>G39</f>
        <v>1941</v>
      </c>
      <c r="H41" s="359">
        <f>SUM(F35:G41)</f>
        <v>430088.68333333335</v>
      </c>
      <c r="I41" s="359">
        <f>SUM(D34:D41)</f>
        <v>600000</v>
      </c>
      <c r="J41" s="360">
        <f>SUM(H41:I41)</f>
        <v>1030088.6833333333</v>
      </c>
    </row>
    <row r="42" spans="1:10" ht="12.75">
      <c r="A42" s="103">
        <v>40973</v>
      </c>
      <c r="B42" s="365">
        <f aca="true" t="shared" si="5" ref="B42:B73">A42-A41</f>
        <v>65</v>
      </c>
      <c r="C42" s="42">
        <f aca="true" t="shared" si="6" ref="C42:C73">C41-D42</f>
        <v>8550000</v>
      </c>
      <c r="D42" s="42">
        <f>D40</f>
        <v>150000</v>
      </c>
      <c r="E42" s="104"/>
      <c r="F42" s="104"/>
      <c r="G42" s="104"/>
      <c r="H42" s="104"/>
      <c r="I42" s="104"/>
      <c r="J42" s="253"/>
    </row>
    <row r="43" spans="1:10" ht="12.75">
      <c r="A43" s="90">
        <v>40999</v>
      </c>
      <c r="B43" s="366">
        <f t="shared" si="5"/>
        <v>26</v>
      </c>
      <c r="C43" s="41">
        <f t="shared" si="6"/>
        <v>8550000</v>
      </c>
      <c r="D43" s="41"/>
      <c r="E43" s="361">
        <f>E41</f>
        <v>0.04612</v>
      </c>
      <c r="F43" s="41">
        <f>((C42+D42)*E43/360*B42)+((C43+D43)*E43/360*B43)</f>
        <v>100925.93333333332</v>
      </c>
      <c r="G43" s="41">
        <f>G41</f>
        <v>1941</v>
      </c>
      <c r="H43" s="91"/>
      <c r="I43" s="91"/>
      <c r="J43" s="242"/>
    </row>
    <row r="44" spans="1:10" ht="12.75">
      <c r="A44" s="90">
        <v>41065</v>
      </c>
      <c r="B44" s="366">
        <f t="shared" si="5"/>
        <v>66</v>
      </c>
      <c r="C44" s="41">
        <f t="shared" si="6"/>
        <v>8400000</v>
      </c>
      <c r="D44" s="41">
        <f>D42</f>
        <v>150000</v>
      </c>
      <c r="E44" s="361"/>
      <c r="F44" s="41"/>
      <c r="G44" s="41"/>
      <c r="H44" s="91"/>
      <c r="I44" s="91"/>
      <c r="J44" s="242"/>
    </row>
    <row r="45" spans="1:10" ht="12.75">
      <c r="A45" s="90">
        <v>41090</v>
      </c>
      <c r="B45" s="366">
        <f t="shared" si="5"/>
        <v>25</v>
      </c>
      <c r="C45" s="41">
        <f t="shared" si="6"/>
        <v>8400000</v>
      </c>
      <c r="D45" s="41"/>
      <c r="E45" s="361">
        <f>E43</f>
        <v>0.04612</v>
      </c>
      <c r="F45" s="41">
        <f>((C44+D44)*E45/360*B44)+((C45+D45)*E45/360*B45)</f>
        <v>99196.43333333332</v>
      </c>
      <c r="G45" s="41">
        <f>G43</f>
        <v>1941</v>
      </c>
      <c r="H45" s="91"/>
      <c r="I45" s="91"/>
      <c r="J45" s="242"/>
    </row>
    <row r="46" spans="1:10" ht="12.75">
      <c r="A46" s="90">
        <v>41157</v>
      </c>
      <c r="B46" s="366">
        <f t="shared" si="5"/>
        <v>67</v>
      </c>
      <c r="C46" s="41">
        <f t="shared" si="6"/>
        <v>8250000</v>
      </c>
      <c r="D46" s="41">
        <f>D44</f>
        <v>150000</v>
      </c>
      <c r="E46" s="361"/>
      <c r="F46" s="41"/>
      <c r="G46" s="41"/>
      <c r="H46" s="91"/>
      <c r="I46" s="91"/>
      <c r="J46" s="242"/>
    </row>
    <row r="47" spans="1:10" ht="12.75">
      <c r="A47" s="90">
        <v>41182</v>
      </c>
      <c r="B47" s="366">
        <f t="shared" si="5"/>
        <v>25</v>
      </c>
      <c r="C47" s="41">
        <f t="shared" si="6"/>
        <v>8250000</v>
      </c>
      <c r="D47" s="41"/>
      <c r="E47" s="361">
        <f>E45</f>
        <v>0.04612</v>
      </c>
      <c r="F47" s="41">
        <f>((C46+D46)*E47/360*B46)+((C47+D47)*E47/360*B47)</f>
        <v>98523.85</v>
      </c>
      <c r="G47" s="41">
        <f>G45</f>
        <v>1941</v>
      </c>
      <c r="H47" s="91"/>
      <c r="I47" s="91"/>
      <c r="J47" s="242"/>
    </row>
    <row r="48" spans="1:10" ht="12.75">
      <c r="A48" s="90">
        <v>41248</v>
      </c>
      <c r="B48" s="366">
        <f t="shared" si="5"/>
        <v>66</v>
      </c>
      <c r="C48" s="41">
        <f t="shared" si="6"/>
        <v>8100000</v>
      </c>
      <c r="D48" s="41">
        <f>D46</f>
        <v>150000</v>
      </c>
      <c r="E48" s="361"/>
      <c r="F48" s="41"/>
      <c r="G48" s="41"/>
      <c r="H48" s="91"/>
      <c r="I48" s="91"/>
      <c r="J48" s="242"/>
    </row>
    <row r="49" spans="1:10" ht="12.75">
      <c r="A49" s="97">
        <v>41274</v>
      </c>
      <c r="B49" s="367">
        <f t="shared" si="5"/>
        <v>26</v>
      </c>
      <c r="C49" s="99">
        <f t="shared" si="6"/>
        <v>8100000</v>
      </c>
      <c r="D49" s="99"/>
      <c r="E49" s="362">
        <f>E47</f>
        <v>0.04612</v>
      </c>
      <c r="F49" s="99">
        <f>((C48+D48)*E49/360*B48)+((C49+D49)*E49/360*B49)</f>
        <v>96736.7</v>
      </c>
      <c r="G49" s="99">
        <f>G47</f>
        <v>1941</v>
      </c>
      <c r="H49" s="359">
        <f>SUM(F43:G49)</f>
        <v>403146.9166666667</v>
      </c>
      <c r="I49" s="359">
        <f>SUM(D42:D49)</f>
        <v>600000</v>
      </c>
      <c r="J49" s="360">
        <f>SUM(H49:I49)</f>
        <v>1003146.9166666667</v>
      </c>
    </row>
    <row r="50" spans="1:10" ht="12.75">
      <c r="A50" s="103">
        <v>41338</v>
      </c>
      <c r="B50" s="365">
        <f t="shared" si="5"/>
        <v>64</v>
      </c>
      <c r="C50" s="42">
        <f t="shared" si="6"/>
        <v>7950000</v>
      </c>
      <c r="D50" s="42">
        <f>D48</f>
        <v>150000</v>
      </c>
      <c r="E50" s="104"/>
      <c r="F50" s="104"/>
      <c r="G50" s="104"/>
      <c r="H50" s="104"/>
      <c r="I50" s="104"/>
      <c r="J50" s="253"/>
    </row>
    <row r="51" spans="1:10" ht="12.75">
      <c r="A51" s="90">
        <v>41364</v>
      </c>
      <c r="B51" s="366">
        <f t="shared" si="5"/>
        <v>26</v>
      </c>
      <c r="C51" s="41">
        <f t="shared" si="6"/>
        <v>7950000</v>
      </c>
      <c r="D51" s="41"/>
      <c r="E51" s="361">
        <f>E49</f>
        <v>0.04612</v>
      </c>
      <c r="F51" s="41">
        <f>((C50+D50)*E51/360*B50)+((C51+D51)*E51/360*B51)</f>
        <v>92893.36666666667</v>
      </c>
      <c r="G51" s="41">
        <f>G49</f>
        <v>1941</v>
      </c>
      <c r="H51" s="91"/>
      <c r="I51" s="91"/>
      <c r="J51" s="242"/>
    </row>
    <row r="52" spans="1:10" ht="12.75">
      <c r="A52" s="90">
        <v>41430</v>
      </c>
      <c r="B52" s="366">
        <f t="shared" si="5"/>
        <v>66</v>
      </c>
      <c r="C52" s="41">
        <f t="shared" si="6"/>
        <v>7800000</v>
      </c>
      <c r="D52" s="41">
        <f>D50</f>
        <v>150000</v>
      </c>
      <c r="E52" s="361"/>
      <c r="F52" s="41"/>
      <c r="G52" s="41"/>
      <c r="H52" s="91"/>
      <c r="I52" s="91"/>
      <c r="J52" s="242"/>
    </row>
    <row r="53" spans="1:10" ht="12.75">
      <c r="A53" s="90">
        <v>41455</v>
      </c>
      <c r="B53" s="366">
        <f t="shared" si="5"/>
        <v>25</v>
      </c>
      <c r="C53" s="41">
        <f t="shared" si="6"/>
        <v>7800000</v>
      </c>
      <c r="D53" s="41"/>
      <c r="E53" s="361">
        <f>E51</f>
        <v>0.04612</v>
      </c>
      <c r="F53" s="41">
        <f>((C52+D52)*E53/360*B52)+((C53+D53)*E53/360*B53)</f>
        <v>92201.56666666667</v>
      </c>
      <c r="G53" s="41">
        <f>G51</f>
        <v>1941</v>
      </c>
      <c r="H53" s="91"/>
      <c r="I53" s="91"/>
      <c r="J53" s="242"/>
    </row>
    <row r="54" spans="1:10" ht="12.75">
      <c r="A54" s="90">
        <v>41522</v>
      </c>
      <c r="B54" s="366">
        <f t="shared" si="5"/>
        <v>67</v>
      </c>
      <c r="C54" s="41">
        <f t="shared" si="6"/>
        <v>7650000</v>
      </c>
      <c r="D54" s="41">
        <f>D52</f>
        <v>150000</v>
      </c>
      <c r="E54" s="361"/>
      <c r="F54" s="41"/>
      <c r="G54" s="41"/>
      <c r="H54" s="91"/>
      <c r="I54" s="91"/>
      <c r="J54" s="242"/>
    </row>
    <row r="55" spans="1:10" ht="12.75">
      <c r="A55" s="90">
        <v>41547</v>
      </c>
      <c r="B55" s="366">
        <f t="shared" si="5"/>
        <v>25</v>
      </c>
      <c r="C55" s="41">
        <f t="shared" si="6"/>
        <v>7650000</v>
      </c>
      <c r="D55" s="41"/>
      <c r="E55" s="361">
        <f>E53</f>
        <v>0.04612</v>
      </c>
      <c r="F55" s="41">
        <f>((C54+D54)*E55/360*B54)+((C55+D55)*E55/360*B55)</f>
        <v>91452.11666666667</v>
      </c>
      <c r="G55" s="41">
        <f>G53</f>
        <v>1941</v>
      </c>
      <c r="H55" s="91"/>
      <c r="I55" s="91"/>
      <c r="J55" s="242"/>
    </row>
    <row r="56" spans="1:10" ht="12.75">
      <c r="A56" s="90">
        <v>41613</v>
      </c>
      <c r="B56" s="366">
        <f t="shared" si="5"/>
        <v>66</v>
      </c>
      <c r="C56" s="41">
        <f t="shared" si="6"/>
        <v>7500000</v>
      </c>
      <c r="D56" s="41">
        <f>D54</f>
        <v>150000</v>
      </c>
      <c r="E56" s="361"/>
      <c r="F56" s="41"/>
      <c r="G56" s="41"/>
      <c r="H56" s="91"/>
      <c r="I56" s="91"/>
      <c r="J56" s="242"/>
    </row>
    <row r="57" spans="1:10" ht="12.75">
      <c r="A57" s="97">
        <v>41639</v>
      </c>
      <c r="B57" s="367">
        <f t="shared" si="5"/>
        <v>26</v>
      </c>
      <c r="C57" s="99">
        <f t="shared" si="6"/>
        <v>7500000</v>
      </c>
      <c r="D57" s="99"/>
      <c r="E57" s="362">
        <f>E55</f>
        <v>0.04612</v>
      </c>
      <c r="F57" s="99">
        <f>((C56+D56)*E57/360*B56)+((C57+D57)*E57/360*B57)</f>
        <v>89664.96666666666</v>
      </c>
      <c r="G57" s="99">
        <f>G55</f>
        <v>1941</v>
      </c>
      <c r="H57" s="359">
        <f>SUM(F51:G57)</f>
        <v>373976.0166666667</v>
      </c>
      <c r="I57" s="359">
        <f>SUM(D50:D57)</f>
        <v>600000</v>
      </c>
      <c r="J57" s="360">
        <f>SUM(H57:I57)</f>
        <v>973976.0166666667</v>
      </c>
    </row>
    <row r="58" spans="1:10" ht="12.75">
      <c r="A58" s="103">
        <v>41703</v>
      </c>
      <c r="B58" s="365">
        <f t="shared" si="5"/>
        <v>64</v>
      </c>
      <c r="C58" s="42">
        <f t="shared" si="6"/>
        <v>7350000</v>
      </c>
      <c r="D58" s="42">
        <f>D56</f>
        <v>150000</v>
      </c>
      <c r="E58" s="104"/>
      <c r="F58" s="104"/>
      <c r="G58" s="104"/>
      <c r="H58" s="104"/>
      <c r="I58" s="104"/>
      <c r="J58" s="253"/>
    </row>
    <row r="59" spans="1:10" ht="12.75">
      <c r="A59" s="90">
        <v>41729</v>
      </c>
      <c r="B59" s="366">
        <f t="shared" si="5"/>
        <v>26</v>
      </c>
      <c r="C59" s="41">
        <f t="shared" si="6"/>
        <v>7350000</v>
      </c>
      <c r="D59" s="41"/>
      <c r="E59" s="361">
        <f>E57</f>
        <v>0.04612</v>
      </c>
      <c r="F59" s="41">
        <f>((C58+D58)*E59/360*B58)+((C59+D59)*E59/360*B59)</f>
        <v>85975.36666666667</v>
      </c>
      <c r="G59" s="41">
        <f>G57</f>
        <v>1941</v>
      </c>
      <c r="H59" s="91"/>
      <c r="I59" s="91"/>
      <c r="J59" s="242"/>
    </row>
    <row r="60" spans="1:10" ht="12.75">
      <c r="A60" s="90">
        <v>41795</v>
      </c>
      <c r="B60" s="366">
        <f t="shared" si="5"/>
        <v>66</v>
      </c>
      <c r="C60" s="41">
        <f t="shared" si="6"/>
        <v>7200000</v>
      </c>
      <c r="D60" s="41">
        <f>D58</f>
        <v>150000</v>
      </c>
      <c r="E60" s="361"/>
      <c r="F60" s="41"/>
      <c r="G60" s="41"/>
      <c r="H60" s="91"/>
      <c r="I60" s="91"/>
      <c r="J60" s="242"/>
    </row>
    <row r="61" spans="1:10" ht="12.75">
      <c r="A61" s="90">
        <v>41820</v>
      </c>
      <c r="B61" s="366">
        <f t="shared" si="5"/>
        <v>25</v>
      </c>
      <c r="C61" s="41">
        <f t="shared" si="6"/>
        <v>7200000</v>
      </c>
      <c r="D61" s="41"/>
      <c r="E61" s="361">
        <f>E59</f>
        <v>0.04612</v>
      </c>
      <c r="F61" s="41">
        <f>((C60+D60)*E61/360*B60)+((C61+D61)*E61/360*B61)</f>
        <v>85206.7</v>
      </c>
      <c r="G61" s="41">
        <f>G59</f>
        <v>1941</v>
      </c>
      <c r="H61" s="91"/>
      <c r="I61" s="91"/>
      <c r="J61" s="242"/>
    </row>
    <row r="62" spans="1:10" ht="12.75">
      <c r="A62" s="90">
        <v>41887</v>
      </c>
      <c r="B62" s="366">
        <f t="shared" si="5"/>
        <v>67</v>
      </c>
      <c r="C62" s="41">
        <f t="shared" si="6"/>
        <v>7050000</v>
      </c>
      <c r="D62" s="41">
        <f>D60</f>
        <v>150000</v>
      </c>
      <c r="E62" s="361"/>
      <c r="F62" s="41"/>
      <c r="G62" s="41"/>
      <c r="H62" s="91"/>
      <c r="I62" s="91"/>
      <c r="J62" s="242"/>
    </row>
    <row r="63" spans="1:10" ht="12.75">
      <c r="A63" s="90">
        <v>41912</v>
      </c>
      <c r="B63" s="366">
        <f t="shared" si="5"/>
        <v>25</v>
      </c>
      <c r="C63" s="41">
        <f t="shared" si="6"/>
        <v>7050000</v>
      </c>
      <c r="D63" s="41"/>
      <c r="E63" s="361">
        <f>E61</f>
        <v>0.04612</v>
      </c>
      <c r="F63" s="41">
        <f>((C62+D62)*E63/360*B62)+((C63+D63)*E63/360*B63)</f>
        <v>84380.38333333333</v>
      </c>
      <c r="G63" s="41">
        <f>G61</f>
        <v>1941</v>
      </c>
      <c r="H63" s="91"/>
      <c r="I63" s="91"/>
      <c r="J63" s="242"/>
    </row>
    <row r="64" spans="1:10" ht="12.75">
      <c r="A64" s="90">
        <v>41978</v>
      </c>
      <c r="B64" s="366">
        <f t="shared" si="5"/>
        <v>66</v>
      </c>
      <c r="C64" s="41">
        <f t="shared" si="6"/>
        <v>6900000</v>
      </c>
      <c r="D64" s="41">
        <f>D62</f>
        <v>150000</v>
      </c>
      <c r="E64" s="361"/>
      <c r="F64" s="41"/>
      <c r="G64" s="41"/>
      <c r="H64" s="91"/>
      <c r="I64" s="91"/>
      <c r="J64" s="242"/>
    </row>
    <row r="65" spans="1:10" ht="12.75">
      <c r="A65" s="97">
        <v>42004</v>
      </c>
      <c r="B65" s="367">
        <f t="shared" si="5"/>
        <v>26</v>
      </c>
      <c r="C65" s="99">
        <f t="shared" si="6"/>
        <v>6900000</v>
      </c>
      <c r="D65" s="99"/>
      <c r="E65" s="362">
        <f>E63</f>
        <v>0.04612</v>
      </c>
      <c r="F65" s="99">
        <f>((C64+D64)*E65/360*B64)+((C65+D65)*E65/360*B65)</f>
        <v>82593.23333333334</v>
      </c>
      <c r="G65" s="99">
        <f>G63</f>
        <v>1941</v>
      </c>
      <c r="H65" s="359">
        <f>SUM(F59:G65)</f>
        <v>345919.68333333335</v>
      </c>
      <c r="I65" s="359">
        <f>SUM(D58:D65)</f>
        <v>600000</v>
      </c>
      <c r="J65" s="360">
        <f>SUM(H65:I65)</f>
        <v>945919.6833333333</v>
      </c>
    </row>
    <row r="66" spans="1:10" ht="12.75">
      <c r="A66" s="103">
        <v>42068</v>
      </c>
      <c r="B66" s="365">
        <f t="shared" si="5"/>
        <v>64</v>
      </c>
      <c r="C66" s="42">
        <f t="shared" si="6"/>
        <v>6750000</v>
      </c>
      <c r="D66" s="42">
        <f>D64</f>
        <v>150000</v>
      </c>
      <c r="E66" s="104"/>
      <c r="F66" s="104"/>
      <c r="G66" s="104"/>
      <c r="H66" s="104"/>
      <c r="I66" s="104"/>
      <c r="J66" s="253"/>
    </row>
    <row r="67" spans="1:10" ht="12.75">
      <c r="A67" s="90">
        <v>42094</v>
      </c>
      <c r="B67" s="366">
        <f t="shared" si="5"/>
        <v>26</v>
      </c>
      <c r="C67" s="41">
        <f t="shared" si="6"/>
        <v>6750000</v>
      </c>
      <c r="D67" s="41"/>
      <c r="E67" s="361">
        <f>E65</f>
        <v>0.04612</v>
      </c>
      <c r="F67" s="41">
        <f>((C66+D66)*E67/360*B66)+((C67+D67)*E67/360*B67)</f>
        <v>79057.36666666667</v>
      </c>
      <c r="G67" s="41">
        <f>G65</f>
        <v>1941</v>
      </c>
      <c r="H67" s="91"/>
      <c r="I67" s="91"/>
      <c r="J67" s="242"/>
    </row>
    <row r="68" spans="1:10" ht="12.75">
      <c r="A68" s="90">
        <v>42160</v>
      </c>
      <c r="B68" s="366">
        <f t="shared" si="5"/>
        <v>66</v>
      </c>
      <c r="C68" s="41">
        <f t="shared" si="6"/>
        <v>6600000</v>
      </c>
      <c r="D68" s="41">
        <f>D66</f>
        <v>150000</v>
      </c>
      <c r="E68" s="361"/>
      <c r="F68" s="41"/>
      <c r="G68" s="41"/>
      <c r="H68" s="91"/>
      <c r="I68" s="91"/>
      <c r="J68" s="242"/>
    </row>
    <row r="69" spans="1:10" ht="12.75">
      <c r="A69" s="90">
        <v>42185</v>
      </c>
      <c r="B69" s="366">
        <f t="shared" si="5"/>
        <v>25</v>
      </c>
      <c r="C69" s="41">
        <f t="shared" si="6"/>
        <v>6600000</v>
      </c>
      <c r="D69" s="41"/>
      <c r="E69" s="361">
        <f>E67</f>
        <v>0.04612</v>
      </c>
      <c r="F69" s="41">
        <f>((C68+D68)*E69/360*B68)+((C69+D69)*E69/360*B69)</f>
        <v>78211.83333333333</v>
      </c>
      <c r="G69" s="41">
        <f>G67</f>
        <v>1941</v>
      </c>
      <c r="H69" s="91"/>
      <c r="I69" s="91"/>
      <c r="J69" s="242"/>
    </row>
    <row r="70" spans="1:10" ht="12.75">
      <c r="A70" s="90">
        <v>42252</v>
      </c>
      <c r="B70" s="366">
        <f t="shared" si="5"/>
        <v>67</v>
      </c>
      <c r="C70" s="41">
        <f t="shared" si="6"/>
        <v>6450000</v>
      </c>
      <c r="D70" s="41">
        <f>D68</f>
        <v>150000</v>
      </c>
      <c r="E70" s="361"/>
      <c r="F70" s="41"/>
      <c r="G70" s="41"/>
      <c r="H70" s="91"/>
      <c r="I70" s="91"/>
      <c r="J70" s="242"/>
    </row>
    <row r="71" spans="1:10" ht="12.75">
      <c r="A71" s="90">
        <v>42277</v>
      </c>
      <c r="B71" s="366">
        <f t="shared" si="5"/>
        <v>25</v>
      </c>
      <c r="C71" s="41">
        <f t="shared" si="6"/>
        <v>6450000</v>
      </c>
      <c r="D71" s="41"/>
      <c r="E71" s="361">
        <f>E69</f>
        <v>0.04612</v>
      </c>
      <c r="F71" s="41">
        <f>((C70+D70)*E71/360*B70)+((C71+D71)*E71/360*B71)</f>
        <v>77308.65</v>
      </c>
      <c r="G71" s="41">
        <f>G69</f>
        <v>1941</v>
      </c>
      <c r="H71" s="91"/>
      <c r="I71" s="91"/>
      <c r="J71" s="242"/>
    </row>
    <row r="72" spans="1:10" ht="12.75">
      <c r="A72" s="90">
        <v>42343</v>
      </c>
      <c r="B72" s="366">
        <f t="shared" si="5"/>
        <v>66</v>
      </c>
      <c r="C72" s="41">
        <f t="shared" si="6"/>
        <v>6300000</v>
      </c>
      <c r="D72" s="41">
        <f>D70</f>
        <v>150000</v>
      </c>
      <c r="E72" s="361"/>
      <c r="F72" s="41"/>
      <c r="G72" s="41"/>
      <c r="H72" s="91"/>
      <c r="I72" s="91"/>
      <c r="J72" s="242"/>
    </row>
    <row r="73" spans="1:10" ht="12.75">
      <c r="A73" s="97">
        <v>42369</v>
      </c>
      <c r="B73" s="367">
        <f t="shared" si="5"/>
        <v>26</v>
      </c>
      <c r="C73" s="99">
        <f t="shared" si="6"/>
        <v>6300000</v>
      </c>
      <c r="D73" s="99"/>
      <c r="E73" s="362">
        <f>E71</f>
        <v>0.04612</v>
      </c>
      <c r="F73" s="99">
        <f>((C72+D72)*E73/360*B72)+((C73+D73)*E73/360*B73)</f>
        <v>75521.5</v>
      </c>
      <c r="G73" s="99">
        <f>G71</f>
        <v>1941</v>
      </c>
      <c r="H73" s="359">
        <f>SUM(F67:G73)</f>
        <v>317863.35</v>
      </c>
      <c r="I73" s="359">
        <f>SUM(D66:D73)</f>
        <v>600000</v>
      </c>
      <c r="J73" s="360">
        <f>SUM(H73:I73)</f>
        <v>917863.35</v>
      </c>
    </row>
    <row r="74" spans="1:10" ht="12.75">
      <c r="A74" s="103">
        <v>42434</v>
      </c>
      <c r="B74" s="365">
        <f aca="true" t="shared" si="7" ref="B74:B105">A74-A73</f>
        <v>65</v>
      </c>
      <c r="C74" s="42">
        <f aca="true" t="shared" si="8" ref="C74:C105">C73-D74</f>
        <v>6150000</v>
      </c>
      <c r="D74" s="42">
        <f>D72</f>
        <v>150000</v>
      </c>
      <c r="E74" s="104"/>
      <c r="F74" s="104"/>
      <c r="G74" s="104"/>
      <c r="H74" s="104"/>
      <c r="I74" s="104"/>
      <c r="J74" s="253"/>
    </row>
    <row r="75" spans="1:10" ht="12.75">
      <c r="A75" s="90">
        <v>42460</v>
      </c>
      <c r="B75" s="366">
        <f t="shared" si="7"/>
        <v>26</v>
      </c>
      <c r="C75" s="41">
        <f t="shared" si="8"/>
        <v>6150000</v>
      </c>
      <c r="D75" s="41"/>
      <c r="E75" s="361">
        <f>E73</f>
        <v>0.04612</v>
      </c>
      <c r="F75" s="41">
        <f>((C74+D74)*E75/360*B74)+((C75+D75)*E75/360*B75)</f>
        <v>72946.46666666667</v>
      </c>
      <c r="G75" s="41">
        <f>G73</f>
        <v>1941</v>
      </c>
      <c r="H75" s="91"/>
      <c r="I75" s="91"/>
      <c r="J75" s="242"/>
    </row>
    <row r="76" spans="1:10" ht="12.75">
      <c r="A76" s="90">
        <v>42526</v>
      </c>
      <c r="B76" s="366">
        <f t="shared" si="7"/>
        <v>66</v>
      </c>
      <c r="C76" s="41">
        <f t="shared" si="8"/>
        <v>6000000</v>
      </c>
      <c r="D76" s="41">
        <f>D74</f>
        <v>150000</v>
      </c>
      <c r="E76" s="361"/>
      <c r="F76" s="41"/>
      <c r="G76" s="41"/>
      <c r="H76" s="91"/>
      <c r="I76" s="91"/>
      <c r="J76" s="242"/>
    </row>
    <row r="77" spans="1:10" ht="12.75">
      <c r="A77" s="90">
        <v>42551</v>
      </c>
      <c r="B77" s="366">
        <f t="shared" si="7"/>
        <v>25</v>
      </c>
      <c r="C77" s="41">
        <f t="shared" si="8"/>
        <v>6000000</v>
      </c>
      <c r="D77" s="41"/>
      <c r="E77" s="361">
        <f>E75</f>
        <v>0.04612</v>
      </c>
      <c r="F77" s="41">
        <f>((C76+D76)*E77/360*B76)+((C77+D77)*E77/360*B77)</f>
        <v>71216.96666666667</v>
      </c>
      <c r="G77" s="41">
        <f>G75</f>
        <v>1941</v>
      </c>
      <c r="H77" s="91"/>
      <c r="I77" s="91"/>
      <c r="J77" s="242"/>
    </row>
    <row r="78" spans="1:10" ht="12.75">
      <c r="A78" s="90">
        <v>42618</v>
      </c>
      <c r="B78" s="366">
        <f t="shared" si="7"/>
        <v>67</v>
      </c>
      <c r="C78" s="41">
        <f t="shared" si="8"/>
        <v>5850000</v>
      </c>
      <c r="D78" s="41">
        <f>D76</f>
        <v>150000</v>
      </c>
      <c r="E78" s="361"/>
      <c r="F78" s="41"/>
      <c r="G78" s="41"/>
      <c r="H78" s="91"/>
      <c r="I78" s="91"/>
      <c r="J78" s="242"/>
    </row>
    <row r="79" spans="1:10" ht="12.75">
      <c r="A79" s="90">
        <v>42643</v>
      </c>
      <c r="B79" s="366">
        <f t="shared" si="7"/>
        <v>25</v>
      </c>
      <c r="C79" s="41">
        <f t="shared" si="8"/>
        <v>5850000</v>
      </c>
      <c r="D79" s="41"/>
      <c r="E79" s="361">
        <f>E77</f>
        <v>0.04612</v>
      </c>
      <c r="F79" s="41">
        <f>((C78+D78)*E79/360*B78)+((C79+D79)*E79/360*B79)</f>
        <v>70236.91666666666</v>
      </c>
      <c r="G79" s="41">
        <f>G77</f>
        <v>1941</v>
      </c>
      <c r="H79" s="91"/>
      <c r="I79" s="91"/>
      <c r="J79" s="242"/>
    </row>
    <row r="80" spans="1:10" ht="12.75">
      <c r="A80" s="90">
        <v>42709</v>
      </c>
      <c r="B80" s="366">
        <f t="shared" si="7"/>
        <v>66</v>
      </c>
      <c r="C80" s="41">
        <f t="shared" si="8"/>
        <v>5700000</v>
      </c>
      <c r="D80" s="41">
        <f>D78</f>
        <v>150000</v>
      </c>
      <c r="E80" s="361"/>
      <c r="F80" s="41"/>
      <c r="G80" s="41"/>
      <c r="H80" s="91"/>
      <c r="I80" s="91"/>
      <c r="J80" s="242"/>
    </row>
    <row r="81" spans="1:10" ht="12.75">
      <c r="A81" s="97">
        <v>42735</v>
      </c>
      <c r="B81" s="367">
        <f t="shared" si="7"/>
        <v>26</v>
      </c>
      <c r="C81" s="99">
        <f t="shared" si="8"/>
        <v>5700000</v>
      </c>
      <c r="D81" s="99"/>
      <c r="E81" s="362">
        <f>E79</f>
        <v>0.04612</v>
      </c>
      <c r="F81" s="99">
        <f>((C80+D80)*E81/360*B80)+((C81+D81)*E81/360*B81)</f>
        <v>68449.76666666666</v>
      </c>
      <c r="G81" s="99">
        <f>G79</f>
        <v>1941</v>
      </c>
      <c r="H81" s="359">
        <f>SUM(F75:G81)</f>
        <v>290614.1166666667</v>
      </c>
      <c r="I81" s="359">
        <f>SUM(D74:D81)</f>
        <v>600000</v>
      </c>
      <c r="J81" s="360">
        <f>SUM(H81:I81)</f>
        <v>890614.1166666667</v>
      </c>
    </row>
    <row r="82" spans="1:10" ht="12.75">
      <c r="A82" s="103">
        <v>42799</v>
      </c>
      <c r="B82" s="365">
        <f t="shared" si="7"/>
        <v>64</v>
      </c>
      <c r="C82" s="42">
        <f t="shared" si="8"/>
        <v>5550000</v>
      </c>
      <c r="D82" s="42">
        <f>D80</f>
        <v>150000</v>
      </c>
      <c r="E82" s="104"/>
      <c r="F82" s="104"/>
      <c r="G82" s="104"/>
      <c r="H82" s="104"/>
      <c r="I82" s="104"/>
      <c r="J82" s="253"/>
    </row>
    <row r="83" spans="1:10" ht="12.75">
      <c r="A83" s="90">
        <v>42825</v>
      </c>
      <c r="B83" s="366">
        <f t="shared" si="7"/>
        <v>26</v>
      </c>
      <c r="C83" s="41">
        <f t="shared" si="8"/>
        <v>5550000</v>
      </c>
      <c r="D83" s="41"/>
      <c r="E83" s="361">
        <f>E81</f>
        <v>0.04612</v>
      </c>
      <c r="F83" s="41">
        <f>((C82+D82)*E83/360*B82)+((C83+D83)*E83/360*B83)</f>
        <v>65221.36666666667</v>
      </c>
      <c r="G83" s="41">
        <f>G81</f>
        <v>1941</v>
      </c>
      <c r="H83" s="91"/>
      <c r="I83" s="91"/>
      <c r="J83" s="242"/>
    </row>
    <row r="84" spans="1:10" ht="12.75">
      <c r="A84" s="90">
        <v>42891</v>
      </c>
      <c r="B84" s="366">
        <f t="shared" si="7"/>
        <v>66</v>
      </c>
      <c r="C84" s="41">
        <f t="shared" si="8"/>
        <v>5400000</v>
      </c>
      <c r="D84" s="41">
        <f>D82</f>
        <v>150000</v>
      </c>
      <c r="E84" s="361"/>
      <c r="F84" s="41"/>
      <c r="G84" s="41"/>
      <c r="H84" s="91"/>
      <c r="I84" s="91"/>
      <c r="J84" s="242"/>
    </row>
    <row r="85" spans="1:10" ht="12.75">
      <c r="A85" s="90">
        <v>42916</v>
      </c>
      <c r="B85" s="366">
        <f t="shared" si="7"/>
        <v>25</v>
      </c>
      <c r="C85" s="41">
        <f t="shared" si="8"/>
        <v>5400000</v>
      </c>
      <c r="D85" s="41"/>
      <c r="E85" s="361">
        <f>E83</f>
        <v>0.04612</v>
      </c>
      <c r="F85" s="41">
        <f>((C84+D84)*E85/360*B84)+((C85+D85)*E85/360*B85)</f>
        <v>64222.1</v>
      </c>
      <c r="G85" s="41">
        <f>G83</f>
        <v>1941</v>
      </c>
      <c r="H85" s="91"/>
      <c r="I85" s="91"/>
      <c r="J85" s="242"/>
    </row>
    <row r="86" spans="1:10" ht="12.75">
      <c r="A86" s="90">
        <v>42983</v>
      </c>
      <c r="B86" s="366">
        <f t="shared" si="7"/>
        <v>67</v>
      </c>
      <c r="C86" s="41">
        <f t="shared" si="8"/>
        <v>5250000</v>
      </c>
      <c r="D86" s="41">
        <f>D84</f>
        <v>150000</v>
      </c>
      <c r="E86" s="361"/>
      <c r="F86" s="41"/>
      <c r="G86" s="41"/>
      <c r="H86" s="91"/>
      <c r="I86" s="91"/>
      <c r="J86" s="242"/>
    </row>
    <row r="87" spans="1:10" ht="12.75">
      <c r="A87" s="90">
        <v>43008</v>
      </c>
      <c r="B87" s="366">
        <f t="shared" si="7"/>
        <v>25</v>
      </c>
      <c r="C87" s="41">
        <f t="shared" si="8"/>
        <v>5250000</v>
      </c>
      <c r="D87" s="41"/>
      <c r="E87" s="361">
        <f>E85</f>
        <v>0.04612</v>
      </c>
      <c r="F87" s="41">
        <f>((C86+D86)*E87/360*B86)+((C87+D87)*E87/360*B87)</f>
        <v>63165.183333333334</v>
      </c>
      <c r="G87" s="41">
        <f>G85</f>
        <v>1941</v>
      </c>
      <c r="H87" s="91"/>
      <c r="I87" s="91"/>
      <c r="J87" s="242"/>
    </row>
    <row r="88" spans="1:10" ht="12.75">
      <c r="A88" s="90">
        <v>43074</v>
      </c>
      <c r="B88" s="366">
        <f t="shared" si="7"/>
        <v>66</v>
      </c>
      <c r="C88" s="41">
        <f t="shared" si="8"/>
        <v>5100000</v>
      </c>
      <c r="D88" s="41">
        <f>D86</f>
        <v>150000</v>
      </c>
      <c r="E88" s="361"/>
      <c r="F88" s="41"/>
      <c r="G88" s="41"/>
      <c r="H88" s="91"/>
      <c r="I88" s="91"/>
      <c r="J88" s="242"/>
    </row>
    <row r="89" spans="1:10" ht="12.75">
      <c r="A89" s="97">
        <v>43100</v>
      </c>
      <c r="B89" s="367">
        <f t="shared" si="7"/>
        <v>26</v>
      </c>
      <c r="C89" s="99">
        <f t="shared" si="8"/>
        <v>5100000</v>
      </c>
      <c r="D89" s="99"/>
      <c r="E89" s="362">
        <f>E87</f>
        <v>0.04612</v>
      </c>
      <c r="F89" s="99">
        <f>((C88+D88)*E89/360*B88)+((C89+D89)*E89/360*B89)</f>
        <v>61378.03333333333</v>
      </c>
      <c r="G89" s="99">
        <f>G87</f>
        <v>1941</v>
      </c>
      <c r="H89" s="359">
        <f>SUM(F83:G89)</f>
        <v>261750.68333333335</v>
      </c>
      <c r="I89" s="359">
        <f>SUM(D82:D89)</f>
        <v>600000</v>
      </c>
      <c r="J89" s="360">
        <f>SUM(H89:I89)</f>
        <v>861750.6833333333</v>
      </c>
    </row>
    <row r="90" spans="1:10" ht="12.75">
      <c r="A90" s="103">
        <v>43164</v>
      </c>
      <c r="B90" s="365">
        <f t="shared" si="7"/>
        <v>64</v>
      </c>
      <c r="C90" s="42">
        <f t="shared" si="8"/>
        <v>4950000</v>
      </c>
      <c r="D90" s="42">
        <f>D88</f>
        <v>150000</v>
      </c>
      <c r="E90" s="104"/>
      <c r="F90" s="104"/>
      <c r="G90" s="104"/>
      <c r="H90" s="104"/>
      <c r="I90" s="104"/>
      <c r="J90" s="253"/>
    </row>
    <row r="91" spans="1:10" ht="12.75">
      <c r="A91" s="90">
        <v>43190</v>
      </c>
      <c r="B91" s="366">
        <f t="shared" si="7"/>
        <v>26</v>
      </c>
      <c r="C91" s="41">
        <f t="shared" si="8"/>
        <v>4950000</v>
      </c>
      <c r="D91" s="41"/>
      <c r="E91" s="361">
        <f>E89</f>
        <v>0.04612</v>
      </c>
      <c r="F91" s="41">
        <f>((C90+D90)*E91/360*B90)+((C91+D91)*E91/360*B91)</f>
        <v>58303.36666666667</v>
      </c>
      <c r="G91" s="41">
        <f>G89</f>
        <v>1941</v>
      </c>
      <c r="H91" s="91"/>
      <c r="I91" s="91"/>
      <c r="J91" s="242"/>
    </row>
    <row r="92" spans="1:10" ht="12.75">
      <c r="A92" s="90">
        <v>43256</v>
      </c>
      <c r="B92" s="366">
        <f t="shared" si="7"/>
        <v>66</v>
      </c>
      <c r="C92" s="41">
        <f t="shared" si="8"/>
        <v>4800000</v>
      </c>
      <c r="D92" s="41">
        <f>D90</f>
        <v>150000</v>
      </c>
      <c r="E92" s="361"/>
      <c r="F92" s="41"/>
      <c r="G92" s="41"/>
      <c r="H92" s="91"/>
      <c r="I92" s="91"/>
      <c r="J92" s="242"/>
    </row>
    <row r="93" spans="1:10" ht="12.75">
      <c r="A93" s="90">
        <v>43281</v>
      </c>
      <c r="B93" s="366">
        <f t="shared" si="7"/>
        <v>25</v>
      </c>
      <c r="C93" s="41">
        <f t="shared" si="8"/>
        <v>4800000</v>
      </c>
      <c r="D93" s="41"/>
      <c r="E93" s="361">
        <f>E91</f>
        <v>0.04612</v>
      </c>
      <c r="F93" s="41">
        <f>((C92+D92)*E93/360*B92)+((C93+D93)*E93/360*B93)</f>
        <v>57227.23333333334</v>
      </c>
      <c r="G93" s="41">
        <f>G91</f>
        <v>1941</v>
      </c>
      <c r="H93" s="91"/>
      <c r="I93" s="91"/>
      <c r="J93" s="242"/>
    </row>
    <row r="94" spans="1:10" ht="12.75">
      <c r="A94" s="90">
        <v>43348</v>
      </c>
      <c r="B94" s="366">
        <f t="shared" si="7"/>
        <v>67</v>
      </c>
      <c r="C94" s="41">
        <f t="shared" si="8"/>
        <v>4650000</v>
      </c>
      <c r="D94" s="41">
        <f>D92</f>
        <v>150000</v>
      </c>
      <c r="E94" s="361"/>
      <c r="F94" s="41"/>
      <c r="G94" s="41"/>
      <c r="H94" s="91"/>
      <c r="I94" s="91"/>
      <c r="J94" s="242"/>
    </row>
    <row r="95" spans="1:10" ht="12.75">
      <c r="A95" s="90">
        <v>43373</v>
      </c>
      <c r="B95" s="366">
        <f t="shared" si="7"/>
        <v>25</v>
      </c>
      <c r="C95" s="41">
        <f t="shared" si="8"/>
        <v>4650000</v>
      </c>
      <c r="D95" s="41"/>
      <c r="E95" s="361">
        <f>E93</f>
        <v>0.04612</v>
      </c>
      <c r="F95" s="41">
        <f>((C94+D94)*E95/360*B94)+((C95+D95)*E95/360*B95)</f>
        <v>56093.45</v>
      </c>
      <c r="G95" s="41">
        <f>G93</f>
        <v>1941</v>
      </c>
      <c r="H95" s="91"/>
      <c r="I95" s="91"/>
      <c r="J95" s="242"/>
    </row>
    <row r="96" spans="1:10" ht="12.75">
      <c r="A96" s="90">
        <v>43439</v>
      </c>
      <c r="B96" s="366">
        <f t="shared" si="7"/>
        <v>66</v>
      </c>
      <c r="C96" s="41">
        <f t="shared" si="8"/>
        <v>4500000</v>
      </c>
      <c r="D96" s="41">
        <f>D94</f>
        <v>150000</v>
      </c>
      <c r="E96" s="361"/>
      <c r="F96" s="41"/>
      <c r="G96" s="41"/>
      <c r="H96" s="91"/>
      <c r="I96" s="91"/>
      <c r="J96" s="242"/>
    </row>
    <row r="97" spans="1:10" ht="12.75">
      <c r="A97" s="97">
        <v>43465</v>
      </c>
      <c r="B97" s="367">
        <f t="shared" si="7"/>
        <v>26</v>
      </c>
      <c r="C97" s="99">
        <f t="shared" si="8"/>
        <v>4500000</v>
      </c>
      <c r="D97" s="99"/>
      <c r="E97" s="362">
        <f>E95</f>
        <v>0.04612</v>
      </c>
      <c r="F97" s="99">
        <f>((C96+D96)*E97/360*B96)+((C97+D97)*E97/360*B97)</f>
        <v>54306.3</v>
      </c>
      <c r="G97" s="99">
        <f>G95</f>
        <v>1941</v>
      </c>
      <c r="H97" s="359">
        <f>SUM(F91:G97)</f>
        <v>233694.34999999998</v>
      </c>
      <c r="I97" s="359">
        <f>SUM(D90:D97)</f>
        <v>600000</v>
      </c>
      <c r="J97" s="360">
        <f>SUM(H97:I97)</f>
        <v>833694.35</v>
      </c>
    </row>
    <row r="98" spans="1:10" ht="12.75">
      <c r="A98" s="103">
        <v>43529</v>
      </c>
      <c r="B98" s="365">
        <f t="shared" si="7"/>
        <v>64</v>
      </c>
      <c r="C98" s="42">
        <f t="shared" si="8"/>
        <v>4350000</v>
      </c>
      <c r="D98" s="42">
        <f>D96</f>
        <v>150000</v>
      </c>
      <c r="E98" s="104"/>
      <c r="F98" s="104"/>
      <c r="G98" s="104"/>
      <c r="H98" s="104"/>
      <c r="I98" s="104"/>
      <c r="J98" s="253"/>
    </row>
    <row r="99" spans="1:10" ht="12.75">
      <c r="A99" s="90">
        <v>43555</v>
      </c>
      <c r="B99" s="366">
        <f t="shared" si="7"/>
        <v>26</v>
      </c>
      <c r="C99" s="41">
        <f t="shared" si="8"/>
        <v>4350000</v>
      </c>
      <c r="D99" s="41"/>
      <c r="E99" s="361">
        <f>E97</f>
        <v>0.04612</v>
      </c>
      <c r="F99" s="41">
        <f>((C98+D98)*E99/360*B98)+((C99+D99)*E99/360*B99)</f>
        <v>51385.36666666667</v>
      </c>
      <c r="G99" s="41">
        <f>G97</f>
        <v>1941</v>
      </c>
      <c r="H99" s="91"/>
      <c r="I99" s="91"/>
      <c r="J99" s="242"/>
    </row>
    <row r="100" spans="1:10" ht="12.75">
      <c r="A100" s="90">
        <v>43621</v>
      </c>
      <c r="B100" s="366">
        <f t="shared" si="7"/>
        <v>66</v>
      </c>
      <c r="C100" s="41">
        <f t="shared" si="8"/>
        <v>4200000</v>
      </c>
      <c r="D100" s="41">
        <f>D98</f>
        <v>150000</v>
      </c>
      <c r="E100" s="361"/>
      <c r="F100" s="41"/>
      <c r="G100" s="41"/>
      <c r="H100" s="91"/>
      <c r="I100" s="91"/>
      <c r="J100" s="242"/>
    </row>
    <row r="101" spans="1:10" ht="12.75">
      <c r="A101" s="90">
        <v>43646</v>
      </c>
      <c r="B101" s="366">
        <f t="shared" si="7"/>
        <v>25</v>
      </c>
      <c r="C101" s="41">
        <f t="shared" si="8"/>
        <v>4200000</v>
      </c>
      <c r="D101" s="41"/>
      <c r="E101" s="361">
        <f>E99</f>
        <v>0.04612</v>
      </c>
      <c r="F101" s="41">
        <f>((C100+D100)*E101/360*B100)+((C101+D101)*E101/360*B101)</f>
        <v>50232.36666666667</v>
      </c>
      <c r="G101" s="41">
        <f>G99</f>
        <v>1941</v>
      </c>
      <c r="H101" s="91"/>
      <c r="I101" s="91"/>
      <c r="J101" s="242"/>
    </row>
    <row r="102" spans="1:10" ht="12.75">
      <c r="A102" s="90">
        <v>43713</v>
      </c>
      <c r="B102" s="366">
        <f t="shared" si="7"/>
        <v>67</v>
      </c>
      <c r="C102" s="41">
        <f t="shared" si="8"/>
        <v>4050000</v>
      </c>
      <c r="D102" s="41">
        <f>D100</f>
        <v>150000</v>
      </c>
      <c r="E102" s="361"/>
      <c r="F102" s="41"/>
      <c r="G102" s="41"/>
      <c r="H102" s="91"/>
      <c r="I102" s="91"/>
      <c r="J102" s="242"/>
    </row>
    <row r="103" spans="1:10" ht="12.75">
      <c r="A103" s="90">
        <v>43738</v>
      </c>
      <c r="B103" s="366">
        <f t="shared" si="7"/>
        <v>25</v>
      </c>
      <c r="C103" s="41">
        <f t="shared" si="8"/>
        <v>4050000</v>
      </c>
      <c r="D103" s="41"/>
      <c r="E103" s="361">
        <f>E101</f>
        <v>0.04612</v>
      </c>
      <c r="F103" s="41">
        <f>((C102+D102)*E103/360*B102)+((C103+D103)*E103/360*B103)</f>
        <v>49021.71666666667</v>
      </c>
      <c r="G103" s="41">
        <f>G101</f>
        <v>1941</v>
      </c>
      <c r="H103" s="91"/>
      <c r="I103" s="91"/>
      <c r="J103" s="242"/>
    </row>
    <row r="104" spans="1:10" ht="12.75">
      <c r="A104" s="90">
        <v>43804</v>
      </c>
      <c r="B104" s="366">
        <f t="shared" si="7"/>
        <v>66</v>
      </c>
      <c r="C104" s="41">
        <f t="shared" si="8"/>
        <v>3900000</v>
      </c>
      <c r="D104" s="41">
        <f>D102</f>
        <v>150000</v>
      </c>
      <c r="E104" s="361"/>
      <c r="F104" s="41"/>
      <c r="G104" s="41"/>
      <c r="H104" s="91"/>
      <c r="I104" s="91"/>
      <c r="J104" s="242"/>
    </row>
    <row r="105" spans="1:10" ht="12.75">
      <c r="A105" s="97">
        <v>43830</v>
      </c>
      <c r="B105" s="367">
        <f t="shared" si="7"/>
        <v>26</v>
      </c>
      <c r="C105" s="99">
        <f t="shared" si="8"/>
        <v>3900000</v>
      </c>
      <c r="D105" s="99"/>
      <c r="E105" s="362">
        <f>E103</f>
        <v>0.04612</v>
      </c>
      <c r="F105" s="99">
        <f>((C104+D104)*E105/360*B104)+((C105+D105)*E105/360*B105)</f>
        <v>47234.566666666666</v>
      </c>
      <c r="G105" s="99">
        <f>G103</f>
        <v>1941</v>
      </c>
      <c r="H105" s="359">
        <f>SUM(F99:G105)</f>
        <v>205638.01666666666</v>
      </c>
      <c r="I105" s="359">
        <f>SUM(D98:D105)</f>
        <v>600000</v>
      </c>
      <c r="J105" s="360">
        <f>SUM(H105:I105)</f>
        <v>805638.0166666666</v>
      </c>
    </row>
    <row r="106" spans="1:10" ht="12.75">
      <c r="A106" s="103">
        <v>43895</v>
      </c>
      <c r="B106" s="365">
        <f aca="true" t="shared" si="9" ref="B106:B137">A106-A105</f>
        <v>65</v>
      </c>
      <c r="C106" s="42">
        <f aca="true" t="shared" si="10" ref="C106:C137">C105-D106</f>
        <v>3750000</v>
      </c>
      <c r="D106" s="42">
        <f>D104</f>
        <v>150000</v>
      </c>
      <c r="E106" s="104"/>
      <c r="F106" s="104"/>
      <c r="G106" s="104"/>
      <c r="H106" s="104"/>
      <c r="I106" s="104"/>
      <c r="J106" s="253"/>
    </row>
    <row r="107" spans="1:10" ht="12.75">
      <c r="A107" s="90">
        <v>43921</v>
      </c>
      <c r="B107" s="366">
        <f t="shared" si="9"/>
        <v>26</v>
      </c>
      <c r="C107" s="41">
        <f t="shared" si="10"/>
        <v>3750000</v>
      </c>
      <c r="D107" s="41"/>
      <c r="E107" s="361">
        <f>E105</f>
        <v>0.04612</v>
      </c>
      <c r="F107" s="41">
        <f>((C106+D106)*E107/360*B106)+((C107+D107)*E107/360*B107)</f>
        <v>44967</v>
      </c>
      <c r="G107" s="41">
        <f>G105</f>
        <v>1941</v>
      </c>
      <c r="H107" s="91"/>
      <c r="I107" s="91"/>
      <c r="J107" s="242"/>
    </row>
    <row r="108" spans="1:10" ht="12.75">
      <c r="A108" s="90">
        <v>43987</v>
      </c>
      <c r="B108" s="366">
        <f t="shared" si="9"/>
        <v>66</v>
      </c>
      <c r="C108" s="41">
        <f t="shared" si="10"/>
        <v>3600000</v>
      </c>
      <c r="D108" s="41">
        <f>D106</f>
        <v>150000</v>
      </c>
      <c r="E108" s="361"/>
      <c r="F108" s="41"/>
      <c r="G108" s="41"/>
      <c r="H108" s="91"/>
      <c r="I108" s="91"/>
      <c r="J108" s="242"/>
    </row>
    <row r="109" spans="1:10" ht="12.75">
      <c r="A109" s="90">
        <v>44012</v>
      </c>
      <c r="B109" s="366">
        <f t="shared" si="9"/>
        <v>25</v>
      </c>
      <c r="C109" s="41">
        <f t="shared" si="10"/>
        <v>3600000</v>
      </c>
      <c r="D109" s="41"/>
      <c r="E109" s="361">
        <f>E107</f>
        <v>0.04612</v>
      </c>
      <c r="F109" s="41">
        <f>((C108+D108)*E109/360*B108)+((C109+D109)*E109/360*B109)</f>
        <v>43237.5</v>
      </c>
      <c r="G109" s="41">
        <f>G107</f>
        <v>1941</v>
      </c>
      <c r="H109" s="91"/>
      <c r="I109" s="91"/>
      <c r="J109" s="242"/>
    </row>
    <row r="110" spans="1:10" ht="12.75">
      <c r="A110" s="90">
        <v>44079</v>
      </c>
      <c r="B110" s="366">
        <f t="shared" si="9"/>
        <v>67</v>
      </c>
      <c r="C110" s="41">
        <f t="shared" si="10"/>
        <v>3450000</v>
      </c>
      <c r="D110" s="41">
        <f>D108</f>
        <v>150000</v>
      </c>
      <c r="E110" s="361"/>
      <c r="F110" s="41"/>
      <c r="G110" s="41"/>
      <c r="H110" s="91"/>
      <c r="I110" s="91"/>
      <c r="J110" s="242"/>
    </row>
    <row r="111" spans="1:10" ht="12.75">
      <c r="A111" s="90">
        <v>44104</v>
      </c>
      <c r="B111" s="366">
        <f t="shared" si="9"/>
        <v>25</v>
      </c>
      <c r="C111" s="41">
        <f t="shared" si="10"/>
        <v>3450000</v>
      </c>
      <c r="D111" s="41"/>
      <c r="E111" s="361">
        <f>E109</f>
        <v>0.04612</v>
      </c>
      <c r="F111" s="41">
        <f>((C110+D110)*E111/360*B110)+((C111+D111)*E111/360*B111)</f>
        <v>41949.98333333333</v>
      </c>
      <c r="G111" s="41">
        <f>G109</f>
        <v>1941</v>
      </c>
      <c r="H111" s="91"/>
      <c r="I111" s="91"/>
      <c r="J111" s="242"/>
    </row>
    <row r="112" spans="1:10" ht="12.75">
      <c r="A112" s="90">
        <v>44170</v>
      </c>
      <c r="B112" s="366">
        <f t="shared" si="9"/>
        <v>66</v>
      </c>
      <c r="C112" s="41">
        <f t="shared" si="10"/>
        <v>3300000</v>
      </c>
      <c r="D112" s="41">
        <f>D110</f>
        <v>150000</v>
      </c>
      <c r="E112" s="361"/>
      <c r="F112" s="41"/>
      <c r="G112" s="41"/>
      <c r="H112" s="91"/>
      <c r="I112" s="91"/>
      <c r="J112" s="242"/>
    </row>
    <row r="113" spans="1:10" ht="12.75">
      <c r="A113" s="97">
        <v>44196</v>
      </c>
      <c r="B113" s="367">
        <f t="shared" si="9"/>
        <v>26</v>
      </c>
      <c r="C113" s="99">
        <f t="shared" si="10"/>
        <v>3300000</v>
      </c>
      <c r="D113" s="99"/>
      <c r="E113" s="362">
        <f>E111</f>
        <v>0.04612</v>
      </c>
      <c r="F113" s="99">
        <f>((C112+D112)*E113/360*B112)+((C113+D113)*E113/360*B113)</f>
        <v>40162.833333333336</v>
      </c>
      <c r="G113" s="99">
        <f>G111</f>
        <v>1941</v>
      </c>
      <c r="H113" s="359">
        <f>SUM(F107:G113)</f>
        <v>178081.31666666668</v>
      </c>
      <c r="I113" s="359">
        <f>SUM(D106:D113)</f>
        <v>600000</v>
      </c>
      <c r="J113" s="360">
        <f>SUM(H113:I113)</f>
        <v>778081.3166666667</v>
      </c>
    </row>
    <row r="114" spans="1:10" ht="12.75">
      <c r="A114" s="103">
        <v>44260</v>
      </c>
      <c r="B114" s="365">
        <f t="shared" si="9"/>
        <v>64</v>
      </c>
      <c r="C114" s="42">
        <f t="shared" si="10"/>
        <v>3150000</v>
      </c>
      <c r="D114" s="42">
        <f>D112</f>
        <v>150000</v>
      </c>
      <c r="E114" s="104"/>
      <c r="F114" s="104"/>
      <c r="G114" s="104"/>
      <c r="H114" s="104"/>
      <c r="I114" s="104"/>
      <c r="J114" s="253"/>
    </row>
    <row r="115" spans="1:10" ht="12.75">
      <c r="A115" s="90">
        <v>44286</v>
      </c>
      <c r="B115" s="366">
        <f t="shared" si="9"/>
        <v>26</v>
      </c>
      <c r="C115" s="41">
        <f t="shared" si="10"/>
        <v>3150000</v>
      </c>
      <c r="D115" s="41"/>
      <c r="E115" s="361">
        <f>E113</f>
        <v>0.04612</v>
      </c>
      <c r="F115" s="41">
        <f>((C114+D114)*E115/360*B114)+((C115+D115)*E115/360*B115)</f>
        <v>37549.36666666667</v>
      </c>
      <c r="G115" s="41">
        <f>G113</f>
        <v>1941</v>
      </c>
      <c r="H115" s="91"/>
      <c r="I115" s="91"/>
      <c r="J115" s="242"/>
    </row>
    <row r="116" spans="1:10" ht="12.75">
      <c r="A116" s="90">
        <v>44352</v>
      </c>
      <c r="B116" s="366">
        <f t="shared" si="9"/>
        <v>66</v>
      </c>
      <c r="C116" s="41">
        <f t="shared" si="10"/>
        <v>3000000</v>
      </c>
      <c r="D116" s="41">
        <f>D114</f>
        <v>150000</v>
      </c>
      <c r="E116" s="361"/>
      <c r="F116" s="41"/>
      <c r="G116" s="41"/>
      <c r="H116" s="91"/>
      <c r="I116" s="91"/>
      <c r="J116" s="242"/>
    </row>
    <row r="117" spans="1:10" ht="12.75">
      <c r="A117" s="90">
        <v>44377</v>
      </c>
      <c r="B117" s="366">
        <f t="shared" si="9"/>
        <v>25</v>
      </c>
      <c r="C117" s="41">
        <f t="shared" si="10"/>
        <v>3000000</v>
      </c>
      <c r="D117" s="41"/>
      <c r="E117" s="361">
        <f>E115</f>
        <v>0.04612</v>
      </c>
      <c r="F117" s="41">
        <f>((C116+D116)*E117/360*B116)+((C117+D117)*E117/360*B117)</f>
        <v>36242.63333333333</v>
      </c>
      <c r="G117" s="41">
        <f>G115</f>
        <v>1941</v>
      </c>
      <c r="H117" s="91"/>
      <c r="I117" s="91"/>
      <c r="J117" s="242"/>
    </row>
    <row r="118" spans="1:10" ht="12.75">
      <c r="A118" s="90">
        <v>44444</v>
      </c>
      <c r="B118" s="366">
        <f t="shared" si="9"/>
        <v>67</v>
      </c>
      <c r="C118" s="41">
        <f t="shared" si="10"/>
        <v>2850000</v>
      </c>
      <c r="D118" s="41">
        <f>D116</f>
        <v>150000</v>
      </c>
      <c r="E118" s="361"/>
      <c r="F118" s="41"/>
      <c r="G118" s="41"/>
      <c r="H118" s="91"/>
      <c r="I118" s="91"/>
      <c r="J118" s="242"/>
    </row>
    <row r="119" spans="1:10" ht="12.75">
      <c r="A119" s="90">
        <v>44469</v>
      </c>
      <c r="B119" s="366">
        <f t="shared" si="9"/>
        <v>25</v>
      </c>
      <c r="C119" s="41">
        <f t="shared" si="10"/>
        <v>2850000</v>
      </c>
      <c r="D119" s="41"/>
      <c r="E119" s="361">
        <f>E117</f>
        <v>0.04612</v>
      </c>
      <c r="F119" s="41">
        <f>((C118+D118)*E119/360*B118)+((C119+D119)*E119/360*B119)</f>
        <v>34878.25</v>
      </c>
      <c r="G119" s="41">
        <f>G117</f>
        <v>1941</v>
      </c>
      <c r="H119" s="91"/>
      <c r="I119" s="91"/>
      <c r="J119" s="242"/>
    </row>
    <row r="120" spans="1:10" ht="12.75">
      <c r="A120" s="90">
        <v>44535</v>
      </c>
      <c r="B120" s="366">
        <f t="shared" si="9"/>
        <v>66</v>
      </c>
      <c r="C120" s="41">
        <f t="shared" si="10"/>
        <v>2700000</v>
      </c>
      <c r="D120" s="41">
        <f>D118</f>
        <v>150000</v>
      </c>
      <c r="E120" s="361"/>
      <c r="F120" s="41"/>
      <c r="G120" s="41"/>
      <c r="H120" s="91"/>
      <c r="I120" s="91"/>
      <c r="J120" s="242"/>
    </row>
    <row r="121" spans="1:10" ht="12.75">
      <c r="A121" s="97">
        <v>44561</v>
      </c>
      <c r="B121" s="367">
        <f t="shared" si="9"/>
        <v>26</v>
      </c>
      <c r="C121" s="99">
        <f t="shared" si="10"/>
        <v>2700000</v>
      </c>
      <c r="D121" s="99"/>
      <c r="E121" s="362">
        <f>E119</f>
        <v>0.04612</v>
      </c>
      <c r="F121" s="99">
        <f>((C120+D120)*E121/360*B120)+((C121+D121)*E121/360*B121)</f>
        <v>33091.1</v>
      </c>
      <c r="G121" s="99">
        <f>G119</f>
        <v>1941</v>
      </c>
      <c r="H121" s="359">
        <f>SUM(F115:G121)</f>
        <v>149525.35</v>
      </c>
      <c r="I121" s="359">
        <f>SUM(D114:D121)</f>
        <v>600000</v>
      </c>
      <c r="J121" s="360">
        <f>SUM(H121:I121)</f>
        <v>749525.35</v>
      </c>
    </row>
    <row r="122" spans="1:10" ht="12.75">
      <c r="A122" s="103">
        <v>44625</v>
      </c>
      <c r="B122" s="365">
        <f t="shared" si="9"/>
        <v>64</v>
      </c>
      <c r="C122" s="42">
        <f t="shared" si="10"/>
        <v>2550000</v>
      </c>
      <c r="D122" s="42">
        <f>D120</f>
        <v>150000</v>
      </c>
      <c r="E122" s="104"/>
      <c r="F122" s="104"/>
      <c r="G122" s="104"/>
      <c r="H122" s="104"/>
      <c r="I122" s="104"/>
      <c r="J122" s="253"/>
    </row>
    <row r="123" spans="1:10" ht="12.75">
      <c r="A123" s="90">
        <v>44651</v>
      </c>
      <c r="B123" s="366">
        <f t="shared" si="9"/>
        <v>26</v>
      </c>
      <c r="C123" s="41">
        <f t="shared" si="10"/>
        <v>2550000</v>
      </c>
      <c r="D123" s="41"/>
      <c r="E123" s="361">
        <f>E121</f>
        <v>0.04612</v>
      </c>
      <c r="F123" s="41">
        <f>((C122+D122)*E123/360*B122)+((C123+D123)*E123/360*B123)</f>
        <v>30631.366666666665</v>
      </c>
      <c r="G123" s="41">
        <f>G121</f>
        <v>1941</v>
      </c>
      <c r="H123" s="91"/>
      <c r="I123" s="91"/>
      <c r="J123" s="242"/>
    </row>
    <row r="124" spans="1:10" ht="12.75">
      <c r="A124" s="90">
        <v>44717</v>
      </c>
      <c r="B124" s="366">
        <f t="shared" si="9"/>
        <v>66</v>
      </c>
      <c r="C124" s="41">
        <f t="shared" si="10"/>
        <v>2400000</v>
      </c>
      <c r="D124" s="41">
        <f>D122</f>
        <v>150000</v>
      </c>
      <c r="E124" s="361"/>
      <c r="F124" s="41"/>
      <c r="G124" s="41"/>
      <c r="H124" s="91"/>
      <c r="I124" s="91"/>
      <c r="J124" s="242"/>
    </row>
    <row r="125" spans="1:10" ht="12.75">
      <c r="A125" s="90">
        <v>44742</v>
      </c>
      <c r="B125" s="366">
        <f t="shared" si="9"/>
        <v>25</v>
      </c>
      <c r="C125" s="41">
        <f t="shared" si="10"/>
        <v>2400000</v>
      </c>
      <c r="D125" s="41"/>
      <c r="E125" s="361">
        <f>E123</f>
        <v>0.04612</v>
      </c>
      <c r="F125" s="41">
        <f>((C124+D124)*E125/360*B124)+((C125+D125)*E125/360*B125)</f>
        <v>29247.766666666663</v>
      </c>
      <c r="G125" s="41">
        <f>G123</f>
        <v>1941</v>
      </c>
      <c r="H125" s="91"/>
      <c r="I125" s="91"/>
      <c r="J125" s="242"/>
    </row>
    <row r="126" spans="1:10" ht="12.75">
      <c r="A126" s="90">
        <v>44809</v>
      </c>
      <c r="B126" s="366">
        <f t="shared" si="9"/>
        <v>67</v>
      </c>
      <c r="C126" s="41">
        <f t="shared" si="10"/>
        <v>2250000</v>
      </c>
      <c r="D126" s="41">
        <f>D124</f>
        <v>150000</v>
      </c>
      <c r="E126" s="361"/>
      <c r="F126" s="41"/>
      <c r="G126" s="41"/>
      <c r="H126" s="91"/>
      <c r="I126" s="91"/>
      <c r="J126" s="242"/>
    </row>
    <row r="127" spans="1:10" ht="12.75">
      <c r="A127" s="90">
        <v>44834</v>
      </c>
      <c r="B127" s="366">
        <f t="shared" si="9"/>
        <v>25</v>
      </c>
      <c r="C127" s="41">
        <f t="shared" si="10"/>
        <v>2250000</v>
      </c>
      <c r="D127" s="41"/>
      <c r="E127" s="361">
        <f>E125</f>
        <v>0.04612</v>
      </c>
      <c r="F127" s="41">
        <f>((C126+D126)*E127/360*B126)+((C127+D127)*E127/360*B127)</f>
        <v>27806.516666666666</v>
      </c>
      <c r="G127" s="41">
        <f>G125</f>
        <v>1941</v>
      </c>
      <c r="H127" s="91"/>
      <c r="I127" s="91"/>
      <c r="J127" s="242"/>
    </row>
    <row r="128" spans="1:10" ht="12.75">
      <c r="A128" s="90">
        <v>44900</v>
      </c>
      <c r="B128" s="366">
        <f t="shared" si="9"/>
        <v>66</v>
      </c>
      <c r="C128" s="41">
        <f t="shared" si="10"/>
        <v>2100000</v>
      </c>
      <c r="D128" s="41">
        <f>D126</f>
        <v>150000</v>
      </c>
      <c r="E128" s="361"/>
      <c r="F128" s="41"/>
      <c r="G128" s="41"/>
      <c r="H128" s="91"/>
      <c r="I128" s="91"/>
      <c r="J128" s="242"/>
    </row>
    <row r="129" spans="1:10" ht="12.75">
      <c r="A129" s="97">
        <v>44926</v>
      </c>
      <c r="B129" s="367">
        <f t="shared" si="9"/>
        <v>26</v>
      </c>
      <c r="C129" s="99">
        <f t="shared" si="10"/>
        <v>2100000</v>
      </c>
      <c r="D129" s="99"/>
      <c r="E129" s="362">
        <f>E127</f>
        <v>0.04612</v>
      </c>
      <c r="F129" s="99">
        <f>((C128+D128)*E129/360*B128)+((C129+D129)*E129/360*B129)</f>
        <v>26019.36666666667</v>
      </c>
      <c r="G129" s="99">
        <f>G127</f>
        <v>1941</v>
      </c>
      <c r="H129" s="359">
        <f>SUM(F123:G129)</f>
        <v>121469.01666666666</v>
      </c>
      <c r="I129" s="359">
        <f>SUM(D122:D129)</f>
        <v>600000</v>
      </c>
      <c r="J129" s="360">
        <f>SUM(H129:I129)</f>
        <v>721469.0166666666</v>
      </c>
    </row>
    <row r="130" spans="1:10" ht="12.75">
      <c r="A130" s="103">
        <v>44990</v>
      </c>
      <c r="B130" s="365">
        <f t="shared" si="9"/>
        <v>64</v>
      </c>
      <c r="C130" s="42">
        <f t="shared" si="10"/>
        <v>1950000</v>
      </c>
      <c r="D130" s="42">
        <f>D128</f>
        <v>150000</v>
      </c>
      <c r="E130" s="104"/>
      <c r="F130" s="104"/>
      <c r="G130" s="104"/>
      <c r="H130" s="104"/>
      <c r="I130" s="104"/>
      <c r="J130" s="253"/>
    </row>
    <row r="131" spans="1:10" ht="12.75">
      <c r="A131" s="90">
        <v>45016</v>
      </c>
      <c r="B131" s="366">
        <f t="shared" si="9"/>
        <v>26</v>
      </c>
      <c r="C131" s="41">
        <f t="shared" si="10"/>
        <v>1950000</v>
      </c>
      <c r="D131" s="41"/>
      <c r="E131" s="361">
        <f>E129</f>
        <v>0.04612</v>
      </c>
      <c r="F131" s="41">
        <f>((C130+D130)*E131/360*B130)+((C131+D131)*E131/360*B131)</f>
        <v>23713.36666666667</v>
      </c>
      <c r="G131" s="41">
        <f>G129</f>
        <v>1941</v>
      </c>
      <c r="H131" s="91"/>
      <c r="I131" s="91"/>
      <c r="J131" s="242"/>
    </row>
    <row r="132" spans="1:10" ht="12.75">
      <c r="A132" s="90">
        <v>45082</v>
      </c>
      <c r="B132" s="366">
        <f t="shared" si="9"/>
        <v>66</v>
      </c>
      <c r="C132" s="41">
        <f t="shared" si="10"/>
        <v>1800000</v>
      </c>
      <c r="D132" s="41">
        <f>D130</f>
        <v>150000</v>
      </c>
      <c r="E132" s="361"/>
      <c r="F132" s="41"/>
      <c r="G132" s="41"/>
      <c r="H132" s="91"/>
      <c r="I132" s="91"/>
      <c r="J132" s="242"/>
    </row>
    <row r="133" spans="1:10" ht="12.75">
      <c r="A133" s="90">
        <v>45107</v>
      </c>
      <c r="B133" s="366">
        <f t="shared" si="9"/>
        <v>25</v>
      </c>
      <c r="C133" s="41">
        <f t="shared" si="10"/>
        <v>1800000</v>
      </c>
      <c r="D133" s="41"/>
      <c r="E133" s="361">
        <f>E131</f>
        <v>0.04612</v>
      </c>
      <c r="F133" s="41">
        <f>((C132+D132)*E133/360*B132)+((C133+D133)*E133/360*B133)</f>
        <v>22252.9</v>
      </c>
      <c r="G133" s="41">
        <f>G131</f>
        <v>1941</v>
      </c>
      <c r="H133" s="91"/>
      <c r="I133" s="91"/>
      <c r="J133" s="242"/>
    </row>
    <row r="134" spans="1:10" ht="12.75">
      <c r="A134" s="90">
        <v>45174</v>
      </c>
      <c r="B134" s="366">
        <f t="shared" si="9"/>
        <v>67</v>
      </c>
      <c r="C134" s="41">
        <f t="shared" si="10"/>
        <v>1650000</v>
      </c>
      <c r="D134" s="41">
        <f>D132</f>
        <v>150000</v>
      </c>
      <c r="E134" s="361"/>
      <c r="F134" s="41"/>
      <c r="G134" s="41"/>
      <c r="H134" s="91"/>
      <c r="I134" s="91"/>
      <c r="J134" s="242"/>
    </row>
    <row r="135" spans="1:10" ht="12.75">
      <c r="A135" s="90">
        <v>45199</v>
      </c>
      <c r="B135" s="366">
        <f t="shared" si="9"/>
        <v>25</v>
      </c>
      <c r="C135" s="41">
        <f t="shared" si="10"/>
        <v>1650000</v>
      </c>
      <c r="D135" s="41"/>
      <c r="E135" s="361">
        <f>E133</f>
        <v>0.04612</v>
      </c>
      <c r="F135" s="41">
        <f>((C134+D134)*E135/360*B134)+((C135+D135)*E135/360*B135)</f>
        <v>20734.783333333333</v>
      </c>
      <c r="G135" s="41">
        <f>G133</f>
        <v>1941</v>
      </c>
      <c r="H135" s="91"/>
      <c r="I135" s="91"/>
      <c r="J135" s="242"/>
    </row>
    <row r="136" spans="1:10" ht="12.75">
      <c r="A136" s="90">
        <v>45265</v>
      </c>
      <c r="B136" s="366">
        <f t="shared" si="9"/>
        <v>66</v>
      </c>
      <c r="C136" s="41">
        <f t="shared" si="10"/>
        <v>1500000</v>
      </c>
      <c r="D136" s="41">
        <f>D134</f>
        <v>150000</v>
      </c>
      <c r="E136" s="361"/>
      <c r="F136" s="41"/>
      <c r="G136" s="41"/>
      <c r="H136" s="91"/>
      <c r="I136" s="91"/>
      <c r="J136" s="242"/>
    </row>
    <row r="137" spans="1:10" ht="12.75">
      <c r="A137" s="97">
        <v>45291</v>
      </c>
      <c r="B137" s="367">
        <f t="shared" si="9"/>
        <v>26</v>
      </c>
      <c r="C137" s="99">
        <f t="shared" si="10"/>
        <v>1500000</v>
      </c>
      <c r="D137" s="99"/>
      <c r="E137" s="362">
        <f>E135</f>
        <v>0.04612</v>
      </c>
      <c r="F137" s="99">
        <f>((C136+D136)*E137/360*B136)+((C137+D137)*E137/360*B137)</f>
        <v>18947.63333333333</v>
      </c>
      <c r="G137" s="99">
        <f>G135</f>
        <v>1941</v>
      </c>
      <c r="H137" s="359">
        <f>SUM(F131:G137)</f>
        <v>93412.68333333333</v>
      </c>
      <c r="I137" s="359">
        <f>SUM(D130:D137)</f>
        <v>600000</v>
      </c>
      <c r="J137" s="360">
        <f>SUM(H137:I137)</f>
        <v>693412.6833333333</v>
      </c>
    </row>
    <row r="138" spans="1:10" ht="12.75">
      <c r="A138" s="103">
        <v>45356</v>
      </c>
      <c r="B138" s="365">
        <f aca="true" t="shared" si="11" ref="B138:B156">A138-A137</f>
        <v>65</v>
      </c>
      <c r="C138" s="42">
        <f aca="true" t="shared" si="12" ref="C138:C156">C137-D138</f>
        <v>1350000</v>
      </c>
      <c r="D138" s="42">
        <f>D136</f>
        <v>150000</v>
      </c>
      <c r="E138" s="104"/>
      <c r="F138" s="104"/>
      <c r="G138" s="104"/>
      <c r="H138" s="104"/>
      <c r="I138" s="104"/>
      <c r="J138" s="253"/>
    </row>
    <row r="139" spans="1:10" ht="12.75">
      <c r="A139" s="90">
        <v>45382</v>
      </c>
      <c r="B139" s="366">
        <f t="shared" si="11"/>
        <v>26</v>
      </c>
      <c r="C139" s="41">
        <f t="shared" si="12"/>
        <v>1350000</v>
      </c>
      <c r="D139" s="41"/>
      <c r="E139" s="361">
        <f>E137</f>
        <v>0.04612</v>
      </c>
      <c r="F139" s="41">
        <f>((C138+D138)*E139/360*B138)+((C139+D139)*E139/360*B139)</f>
        <v>16987.533333333333</v>
      </c>
      <c r="G139" s="41">
        <f>G137</f>
        <v>1941</v>
      </c>
      <c r="H139" s="91"/>
      <c r="I139" s="91"/>
      <c r="J139" s="242"/>
    </row>
    <row r="140" spans="1:10" ht="12.75">
      <c r="A140" s="90">
        <v>45448</v>
      </c>
      <c r="B140" s="366">
        <f t="shared" si="11"/>
        <v>66</v>
      </c>
      <c r="C140" s="41">
        <f t="shared" si="12"/>
        <v>1200000</v>
      </c>
      <c r="D140" s="41">
        <f>D138</f>
        <v>150000</v>
      </c>
      <c r="E140" s="361"/>
      <c r="F140" s="41"/>
      <c r="G140" s="41"/>
      <c r="H140" s="91"/>
      <c r="I140" s="91"/>
      <c r="J140" s="242"/>
    </row>
    <row r="141" spans="1:10" ht="12.75">
      <c r="A141" s="90">
        <v>45473</v>
      </c>
      <c r="B141" s="366">
        <f t="shared" si="11"/>
        <v>25</v>
      </c>
      <c r="C141" s="41">
        <f t="shared" si="12"/>
        <v>1200000</v>
      </c>
      <c r="D141" s="41"/>
      <c r="E141" s="361">
        <f>E139</f>
        <v>0.04612</v>
      </c>
      <c r="F141" s="41">
        <f>((C140+D140)*E141/360*B140)+((C141+D141)*E141/360*B141)</f>
        <v>15258.033333333333</v>
      </c>
      <c r="G141" s="41">
        <f>G139</f>
        <v>1941</v>
      </c>
      <c r="H141" s="91"/>
      <c r="I141" s="91"/>
      <c r="J141" s="242"/>
    </row>
    <row r="142" spans="1:10" ht="12.75">
      <c r="A142" s="90">
        <v>45540</v>
      </c>
      <c r="B142" s="366">
        <f t="shared" si="11"/>
        <v>67</v>
      </c>
      <c r="C142" s="41">
        <f t="shared" si="12"/>
        <v>1050000</v>
      </c>
      <c r="D142" s="41">
        <f>D140</f>
        <v>150000</v>
      </c>
      <c r="E142" s="361"/>
      <c r="F142" s="41"/>
      <c r="G142" s="41"/>
      <c r="H142" s="91"/>
      <c r="I142" s="91"/>
      <c r="J142" s="242"/>
    </row>
    <row r="143" spans="1:10" ht="12.75">
      <c r="A143" s="90">
        <v>45565</v>
      </c>
      <c r="B143" s="366">
        <f t="shared" si="11"/>
        <v>25</v>
      </c>
      <c r="C143" s="41">
        <f t="shared" si="12"/>
        <v>1050000</v>
      </c>
      <c r="D143" s="41"/>
      <c r="E143" s="361">
        <f>E141</f>
        <v>0.04612</v>
      </c>
      <c r="F143" s="41">
        <f>((C142+D142)*E143/360*B142)+((C143+D143)*E143/360*B143)</f>
        <v>13663.05</v>
      </c>
      <c r="G143" s="41">
        <f>G141</f>
        <v>1941</v>
      </c>
      <c r="H143" s="91"/>
      <c r="I143" s="91"/>
      <c r="J143" s="242"/>
    </row>
    <row r="144" spans="1:10" ht="12.75">
      <c r="A144" s="90">
        <v>45631</v>
      </c>
      <c r="B144" s="366">
        <f t="shared" si="11"/>
        <v>66</v>
      </c>
      <c r="C144" s="41">
        <f t="shared" si="12"/>
        <v>900000</v>
      </c>
      <c r="D144" s="41">
        <f>D142</f>
        <v>150000</v>
      </c>
      <c r="E144" s="361"/>
      <c r="F144" s="41"/>
      <c r="G144" s="41"/>
      <c r="H144" s="91"/>
      <c r="I144" s="91"/>
      <c r="J144" s="242"/>
    </row>
    <row r="145" spans="1:10" ht="12.75">
      <c r="A145" s="97">
        <v>45657</v>
      </c>
      <c r="B145" s="367">
        <f t="shared" si="11"/>
        <v>26</v>
      </c>
      <c r="C145" s="99">
        <f t="shared" si="12"/>
        <v>900000</v>
      </c>
      <c r="D145" s="99"/>
      <c r="E145" s="362">
        <f>E143</f>
        <v>0.04612</v>
      </c>
      <c r="F145" s="99">
        <f>((C144+D144)*E145/360*B144)+((C145+D145)*E145/360*B145)</f>
        <v>11875.9</v>
      </c>
      <c r="G145" s="99">
        <f>G143</f>
        <v>1941</v>
      </c>
      <c r="H145" s="359">
        <f>SUM(F139:G145)</f>
        <v>65548.51666666666</v>
      </c>
      <c r="I145" s="359">
        <f>SUM(D138:D145)</f>
        <v>600000</v>
      </c>
      <c r="J145" s="360">
        <f>SUM(H145:I145)</f>
        <v>665548.5166666666</v>
      </c>
    </row>
    <row r="146" spans="1:10" ht="12.75">
      <c r="A146" s="103">
        <v>45721</v>
      </c>
      <c r="B146" s="365">
        <f t="shared" si="11"/>
        <v>64</v>
      </c>
      <c r="C146" s="42">
        <f t="shared" si="12"/>
        <v>750000</v>
      </c>
      <c r="D146" s="42">
        <f>D144</f>
        <v>150000</v>
      </c>
      <c r="E146" s="104"/>
      <c r="F146" s="104"/>
      <c r="G146" s="104"/>
      <c r="H146" s="104"/>
      <c r="I146" s="104"/>
      <c r="J146" s="253"/>
    </row>
    <row r="147" spans="1:10" ht="12.75">
      <c r="A147" s="90">
        <v>45747</v>
      </c>
      <c r="B147" s="366">
        <f t="shared" si="11"/>
        <v>26</v>
      </c>
      <c r="C147" s="41">
        <f t="shared" si="12"/>
        <v>750000</v>
      </c>
      <c r="D147" s="41"/>
      <c r="E147" s="361">
        <f>E145</f>
        <v>0.04612</v>
      </c>
      <c r="F147" s="41">
        <f>((C146+D146)*E147/360*B146)+((C147+D147)*E147/360*B147)</f>
        <v>9877.366666666667</v>
      </c>
      <c r="G147" s="41">
        <f>G145</f>
        <v>1941</v>
      </c>
      <c r="H147" s="91"/>
      <c r="I147" s="91"/>
      <c r="J147" s="242"/>
    </row>
    <row r="148" spans="1:10" ht="12.75">
      <c r="A148" s="90">
        <v>45813</v>
      </c>
      <c r="B148" s="366">
        <f t="shared" si="11"/>
        <v>66</v>
      </c>
      <c r="C148" s="41">
        <f t="shared" si="12"/>
        <v>600000</v>
      </c>
      <c r="D148" s="41">
        <f>D146</f>
        <v>150000</v>
      </c>
      <c r="E148" s="361"/>
      <c r="F148" s="41"/>
      <c r="G148" s="41"/>
      <c r="H148" s="91"/>
      <c r="I148" s="91"/>
      <c r="J148" s="242"/>
    </row>
    <row r="149" spans="1:10" ht="12.75">
      <c r="A149" s="90">
        <v>45838</v>
      </c>
      <c r="B149" s="366">
        <f t="shared" si="11"/>
        <v>25</v>
      </c>
      <c r="C149" s="41">
        <f t="shared" si="12"/>
        <v>600000</v>
      </c>
      <c r="D149" s="41"/>
      <c r="E149" s="361">
        <f>E147</f>
        <v>0.04612</v>
      </c>
      <c r="F149" s="41">
        <f>((C148+D148)*E149/360*B148)+((C149+D149)*E149/360*B149)</f>
        <v>8263.166666666666</v>
      </c>
      <c r="G149" s="41">
        <f>G147</f>
        <v>1941</v>
      </c>
      <c r="H149" s="91"/>
      <c r="I149" s="91"/>
      <c r="J149" s="242"/>
    </row>
    <row r="150" spans="1:10" ht="12.75">
      <c r="A150" s="90">
        <v>45905</v>
      </c>
      <c r="B150" s="366">
        <f t="shared" si="11"/>
        <v>67</v>
      </c>
      <c r="C150" s="41">
        <f t="shared" si="12"/>
        <v>450000</v>
      </c>
      <c r="D150" s="41">
        <f>D148</f>
        <v>150000</v>
      </c>
      <c r="E150" s="361"/>
      <c r="F150" s="41"/>
      <c r="G150" s="41"/>
      <c r="H150" s="91"/>
      <c r="I150" s="91"/>
      <c r="J150" s="242"/>
    </row>
    <row r="151" spans="1:10" ht="12.75">
      <c r="A151" s="90">
        <v>45930</v>
      </c>
      <c r="B151" s="366">
        <f t="shared" si="11"/>
        <v>25</v>
      </c>
      <c r="C151" s="41">
        <f t="shared" si="12"/>
        <v>450000</v>
      </c>
      <c r="D151" s="41"/>
      <c r="E151" s="361">
        <f>E149</f>
        <v>0.04612</v>
      </c>
      <c r="F151" s="41">
        <f>((C150+D150)*E151/360*B150)+((C151+D151)*E151/360*B151)</f>
        <v>6591.316666666667</v>
      </c>
      <c r="G151" s="41">
        <f>G149</f>
        <v>1941</v>
      </c>
      <c r="H151" s="91"/>
      <c r="I151" s="91"/>
      <c r="J151" s="242"/>
    </row>
    <row r="152" spans="1:10" ht="12.75">
      <c r="A152" s="90">
        <v>45996</v>
      </c>
      <c r="B152" s="366">
        <f t="shared" si="11"/>
        <v>66</v>
      </c>
      <c r="C152" s="41">
        <f t="shared" si="12"/>
        <v>300000</v>
      </c>
      <c r="D152" s="41">
        <f>D150</f>
        <v>150000</v>
      </c>
      <c r="E152" s="361"/>
      <c r="F152" s="41"/>
      <c r="G152" s="41"/>
      <c r="H152" s="91"/>
      <c r="I152" s="91"/>
      <c r="J152" s="242"/>
    </row>
    <row r="153" spans="1:10" ht="12.75">
      <c r="A153" s="97">
        <v>46022</v>
      </c>
      <c r="B153" s="367">
        <f t="shared" si="11"/>
        <v>26</v>
      </c>
      <c r="C153" s="99">
        <f t="shared" si="12"/>
        <v>300000</v>
      </c>
      <c r="D153" s="99"/>
      <c r="E153" s="362">
        <f>E151</f>
        <v>0.04612</v>
      </c>
      <c r="F153" s="99">
        <f>((C152+D152)*E153/360*B152)+((C153+D153)*E153/360*B153)</f>
        <v>4804.166666666667</v>
      </c>
      <c r="G153" s="99">
        <f>G151</f>
        <v>1941</v>
      </c>
      <c r="H153" s="359">
        <f>SUM(F147:G153)</f>
        <v>37300.01666666666</v>
      </c>
      <c r="I153" s="359">
        <f>SUM(D146:D153)</f>
        <v>600000</v>
      </c>
      <c r="J153" s="360">
        <f>SUM(H153:I153)</f>
        <v>637300.0166666666</v>
      </c>
    </row>
    <row r="154" spans="1:10" ht="12.75">
      <c r="A154" s="103">
        <v>46086</v>
      </c>
      <c r="B154" s="365">
        <f t="shared" si="11"/>
        <v>64</v>
      </c>
      <c r="C154" s="42">
        <f t="shared" si="12"/>
        <v>150000</v>
      </c>
      <c r="D154" s="42">
        <f>D152</f>
        <v>150000</v>
      </c>
      <c r="E154" s="104"/>
      <c r="F154" s="104"/>
      <c r="G154" s="104"/>
      <c r="H154" s="104"/>
      <c r="I154" s="104"/>
      <c r="J154" s="253"/>
    </row>
    <row r="155" spans="1:10" ht="12.75">
      <c r="A155" s="90">
        <v>46112</v>
      </c>
      <c r="B155" s="366">
        <f t="shared" si="11"/>
        <v>26</v>
      </c>
      <c r="C155" s="41">
        <f t="shared" si="12"/>
        <v>150000</v>
      </c>
      <c r="D155" s="41"/>
      <c r="E155" s="361">
        <f>E153</f>
        <v>0.04612</v>
      </c>
      <c r="F155" s="41">
        <f>((C154+D154)*E155/360*B154)+((C155+D155)*E155/360*B155)</f>
        <v>2959.3666666666663</v>
      </c>
      <c r="G155" s="41">
        <f>G153</f>
        <v>1941</v>
      </c>
      <c r="H155" s="91"/>
      <c r="I155" s="91"/>
      <c r="J155" s="242"/>
    </row>
    <row r="156" spans="1:10" ht="13.5" thickBot="1">
      <c r="A156" s="90">
        <v>46178</v>
      </c>
      <c r="B156" s="366">
        <f t="shared" si="11"/>
        <v>66</v>
      </c>
      <c r="C156" s="41">
        <f t="shared" si="12"/>
        <v>0</v>
      </c>
      <c r="D156" s="41">
        <v>150000</v>
      </c>
      <c r="E156" s="361">
        <f>E155</f>
        <v>0.04612</v>
      </c>
      <c r="F156" s="41">
        <f>((C156+D156)*E156/360*B156)</f>
        <v>1268.3</v>
      </c>
      <c r="G156" s="41">
        <f>G155-30+3882</f>
        <v>5793</v>
      </c>
      <c r="H156" s="359">
        <f>SUM(F154:G156)</f>
        <v>11961.666666666668</v>
      </c>
      <c r="I156" s="359">
        <f>SUM(D154:D156)</f>
        <v>300000</v>
      </c>
      <c r="J156" s="360">
        <f>SUM(H156:I156)</f>
        <v>311961.6666666667</v>
      </c>
    </row>
    <row r="157" spans="1:10" ht="13.5" thickTop="1">
      <c r="A157" s="471" t="s">
        <v>14</v>
      </c>
      <c r="B157" s="472"/>
      <c r="C157" s="473"/>
      <c r="D157" s="120">
        <f>SUM(D7:D156)</f>
        <v>10350000</v>
      </c>
      <c r="E157" s="121"/>
      <c r="F157" s="120">
        <f>SUM(F7:F156)</f>
        <v>5290940.289777774</v>
      </c>
      <c r="G157" s="120">
        <f>SUM(G7:G156)</f>
        <v>155250</v>
      </c>
      <c r="H157" s="120">
        <f>SUM(H7:H156)</f>
        <v>5446190.289777777</v>
      </c>
      <c r="I157" s="120">
        <f>SUM(I7:I156)</f>
        <v>10350000</v>
      </c>
      <c r="J157" s="122">
        <f>SUM(J7:J156)</f>
        <v>15796190.289777776</v>
      </c>
    </row>
    <row r="158" spans="1:10" ht="12.75">
      <c r="A158" s="123"/>
      <c r="B158" s="124"/>
      <c r="E158" s="125"/>
      <c r="H158" s="124"/>
      <c r="J158" s="124"/>
    </row>
    <row r="159" spans="1:10" ht="12.75">
      <c r="A159" s="123"/>
      <c r="B159" s="124"/>
      <c r="E159" s="125"/>
      <c r="G159" s="124"/>
      <c r="H159" s="124"/>
      <c r="J159" s="124"/>
    </row>
    <row r="160" spans="2:7" ht="12.75">
      <c r="B160" s="58" t="s">
        <v>223</v>
      </c>
      <c r="D160" s="58"/>
      <c r="E160" s="125" t="s">
        <v>226</v>
      </c>
      <c r="G160" s="370">
        <v>8528000</v>
      </c>
    </row>
    <row r="161" spans="2:7" ht="13.5" thickBot="1">
      <c r="B161" s="58" t="s">
        <v>228</v>
      </c>
      <c r="D161" s="58"/>
      <c r="E161" s="125" t="s">
        <v>227</v>
      </c>
      <c r="G161" s="370">
        <v>1822000</v>
      </c>
    </row>
    <row r="162" spans="2:7" ht="13.5" thickTop="1">
      <c r="B162" s="127" t="s">
        <v>14</v>
      </c>
      <c r="C162" s="132"/>
      <c r="D162" s="127"/>
      <c r="E162" s="128"/>
      <c r="F162" s="129"/>
      <c r="G162" s="371">
        <f>SUM(G160:G161)</f>
        <v>10350000</v>
      </c>
    </row>
  </sheetData>
  <mergeCells count="1">
    <mergeCell ref="A157:C157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10.350 eFt hitel
(Önkormányzati Fejlesztési Hitelprogram 6.1.1 hitelcél)</oddHeader>
    <oddFooter>&amp;L&amp;8&amp;D&amp;C&amp;8C:\Andi\adósságszolgálat\&amp;F\&amp;A&amp;R&amp;8&amp;P/&amp;N</oddFooter>
  </headerFooter>
  <rowBreaks count="2" manualBreakCount="2">
    <brk id="57" max="255" man="1"/>
    <brk id="11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1.50390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58" customWidth="1"/>
    <col min="6" max="7" width="12.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5" t="s">
        <v>187</v>
      </c>
    </row>
    <row r="2" spans="1:10" ht="12.75">
      <c r="A2" s="166" t="s">
        <v>137</v>
      </c>
      <c r="B2" s="165"/>
      <c r="C2" s="166" t="s">
        <v>138</v>
      </c>
      <c r="D2" s="166"/>
      <c r="H2" s="166"/>
      <c r="I2" s="166"/>
      <c r="J2" s="166"/>
    </row>
    <row r="3" spans="1:10" ht="12.75">
      <c r="A3" s="166" t="s">
        <v>181</v>
      </c>
      <c r="B3" s="136"/>
      <c r="C3" s="135"/>
      <c r="D3" s="135"/>
      <c r="E3" s="135"/>
      <c r="F3" s="166" t="s">
        <v>182</v>
      </c>
      <c r="G3" s="166"/>
      <c r="H3" s="135"/>
      <c r="I3" s="135"/>
      <c r="J3" s="135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152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153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9" t="s">
        <v>183</v>
      </c>
      <c r="H6" s="139" t="s">
        <v>155</v>
      </c>
      <c r="I6" s="82" t="s">
        <v>13</v>
      </c>
      <c r="J6" s="83" t="s">
        <v>12</v>
      </c>
    </row>
    <row r="7" spans="1:10" ht="12.75">
      <c r="A7" s="410">
        <v>38990</v>
      </c>
      <c r="B7" s="73"/>
      <c r="C7" s="74"/>
      <c r="D7" s="74"/>
      <c r="E7" s="74"/>
      <c r="F7" s="405"/>
      <c r="G7" s="407">
        <v>0</v>
      </c>
      <c r="H7" s="406"/>
      <c r="I7" s="76"/>
      <c r="J7" s="77"/>
    </row>
    <row r="8" spans="1:10" ht="12.75">
      <c r="A8" s="313">
        <v>39070</v>
      </c>
      <c r="B8" s="427"/>
      <c r="C8" s="300">
        <v>9264000</v>
      </c>
      <c r="D8" s="41"/>
      <c r="E8" s="361"/>
      <c r="F8" s="41"/>
      <c r="G8" s="41"/>
      <c r="H8" s="91"/>
      <c r="I8" s="91"/>
      <c r="J8" s="242"/>
    </row>
    <row r="9" spans="1:10" ht="12.75">
      <c r="A9" s="97">
        <v>39080</v>
      </c>
      <c r="B9" s="366">
        <f aca="true" t="shared" si="0" ref="B9:B41">A9-A8</f>
        <v>10</v>
      </c>
      <c r="C9" s="99">
        <f aca="true" t="shared" si="1" ref="C9:C41">C8-D9</f>
        <v>9264000</v>
      </c>
      <c r="D9" s="99"/>
      <c r="E9" s="362">
        <v>0.04266</v>
      </c>
      <c r="F9" s="99">
        <v>10978</v>
      </c>
      <c r="G9" s="99">
        <v>0</v>
      </c>
      <c r="H9" s="359">
        <f>SUM(F7:G9)</f>
        <v>10978</v>
      </c>
      <c r="I9" s="359">
        <f>SUM(D8:D9)</f>
        <v>0</v>
      </c>
      <c r="J9" s="360">
        <f>SUM(H9:I9)</f>
        <v>10978</v>
      </c>
    </row>
    <row r="10" spans="1:10" ht="12.75">
      <c r="A10" s="357">
        <v>39142</v>
      </c>
      <c r="B10" s="366">
        <f t="shared" si="0"/>
        <v>62</v>
      </c>
      <c r="C10" s="424">
        <v>11007900</v>
      </c>
      <c r="D10" s="107"/>
      <c r="E10" s="364"/>
      <c r="F10" s="107"/>
      <c r="G10" s="107"/>
      <c r="H10" s="424"/>
      <c r="I10" s="424"/>
      <c r="J10" s="426"/>
    </row>
    <row r="11" spans="1:10" ht="12.75">
      <c r="A11" s="90">
        <v>39172</v>
      </c>
      <c r="B11" s="366">
        <f t="shared" si="0"/>
        <v>30</v>
      </c>
      <c r="C11" s="41">
        <f t="shared" si="1"/>
        <v>11007900</v>
      </c>
      <c r="D11" s="41"/>
      <c r="E11" s="361">
        <v>0.04612</v>
      </c>
      <c r="F11" s="41">
        <f>((C9+D9)*E11/360*B10)+((C11+D11)*E11/360*B11)</f>
        <v>115889.95166666666</v>
      </c>
      <c r="G11" s="41">
        <v>2064</v>
      </c>
      <c r="H11" s="91"/>
      <c r="I11" s="91"/>
      <c r="J11" s="242"/>
    </row>
    <row r="12" spans="1:10" ht="12.75">
      <c r="A12" s="90">
        <v>39263</v>
      </c>
      <c r="B12" s="366">
        <f t="shared" si="0"/>
        <v>91</v>
      </c>
      <c r="C12" s="41">
        <f t="shared" si="1"/>
        <v>11007900</v>
      </c>
      <c r="D12" s="41"/>
      <c r="E12" s="361">
        <f aca="true" t="shared" si="2" ref="E12:E19">E11</f>
        <v>0.04612</v>
      </c>
      <c r="F12" s="41">
        <f aca="true" t="shared" si="3" ref="F12:F19">((C12+D12)*E12/360*B12)</f>
        <v>128331.32130000001</v>
      </c>
      <c r="G12" s="41">
        <f aca="true" t="shared" si="4" ref="G12:G19">G11</f>
        <v>2064</v>
      </c>
      <c r="H12" s="91"/>
      <c r="I12" s="91"/>
      <c r="J12" s="242"/>
    </row>
    <row r="13" spans="1:10" ht="12.75">
      <c r="A13" s="90">
        <v>39355</v>
      </c>
      <c r="B13" s="366">
        <f t="shared" si="0"/>
        <v>92</v>
      </c>
      <c r="C13" s="41">
        <f t="shared" si="1"/>
        <v>11007900</v>
      </c>
      <c r="D13" s="41"/>
      <c r="E13" s="361">
        <f t="shared" si="2"/>
        <v>0.04612</v>
      </c>
      <c r="F13" s="41">
        <f t="shared" si="3"/>
        <v>129741.5556</v>
      </c>
      <c r="G13" s="41">
        <f t="shared" si="4"/>
        <v>2064</v>
      </c>
      <c r="H13" s="91"/>
      <c r="I13" s="91"/>
      <c r="J13" s="242"/>
    </row>
    <row r="14" spans="1:10" ht="12.75">
      <c r="A14" s="97">
        <v>39447</v>
      </c>
      <c r="B14" s="367">
        <f t="shared" si="0"/>
        <v>92</v>
      </c>
      <c r="C14" s="99">
        <f t="shared" si="1"/>
        <v>11007900</v>
      </c>
      <c r="D14" s="99"/>
      <c r="E14" s="362">
        <f t="shared" si="2"/>
        <v>0.04612</v>
      </c>
      <c r="F14" s="99">
        <f t="shared" si="3"/>
        <v>129741.5556</v>
      </c>
      <c r="G14" s="99">
        <f t="shared" si="4"/>
        <v>2064</v>
      </c>
      <c r="H14" s="359">
        <f>SUM(F11:G14)</f>
        <v>511960.3841666667</v>
      </c>
      <c r="I14" s="359">
        <f>SUM(D11:D14)</f>
        <v>0</v>
      </c>
      <c r="J14" s="360">
        <f>SUM(H14:I14)</f>
        <v>511960.3841666667</v>
      </c>
    </row>
    <row r="15" spans="1:10" ht="12.75">
      <c r="A15" s="103">
        <v>39538</v>
      </c>
      <c r="B15" s="365">
        <f t="shared" si="0"/>
        <v>91</v>
      </c>
      <c r="C15" s="42">
        <f t="shared" si="1"/>
        <v>11007900</v>
      </c>
      <c r="D15" s="42"/>
      <c r="E15" s="363">
        <f t="shared" si="2"/>
        <v>0.04612</v>
      </c>
      <c r="F15" s="42">
        <f t="shared" si="3"/>
        <v>128331.32130000001</v>
      </c>
      <c r="G15" s="42">
        <f t="shared" si="4"/>
        <v>2064</v>
      </c>
      <c r="H15" s="104"/>
      <c r="I15" s="104"/>
      <c r="J15" s="253"/>
    </row>
    <row r="16" spans="1:10" ht="12.75">
      <c r="A16" s="90">
        <v>39629</v>
      </c>
      <c r="B16" s="366">
        <f t="shared" si="0"/>
        <v>91</v>
      </c>
      <c r="C16" s="41">
        <f t="shared" si="1"/>
        <v>11007900</v>
      </c>
      <c r="D16" s="41"/>
      <c r="E16" s="361">
        <f t="shared" si="2"/>
        <v>0.04612</v>
      </c>
      <c r="F16" s="41">
        <f t="shared" si="3"/>
        <v>128331.32130000001</v>
      </c>
      <c r="G16" s="41">
        <f t="shared" si="4"/>
        <v>2064</v>
      </c>
      <c r="H16" s="91"/>
      <c r="I16" s="91"/>
      <c r="J16" s="242"/>
    </row>
    <row r="17" spans="1:10" ht="12.75">
      <c r="A17" s="90">
        <v>39721</v>
      </c>
      <c r="B17" s="366">
        <f t="shared" si="0"/>
        <v>92</v>
      </c>
      <c r="C17" s="41">
        <f t="shared" si="1"/>
        <v>11007900</v>
      </c>
      <c r="D17" s="41"/>
      <c r="E17" s="361">
        <f t="shared" si="2"/>
        <v>0.04612</v>
      </c>
      <c r="F17" s="41">
        <f t="shared" si="3"/>
        <v>129741.5556</v>
      </c>
      <c r="G17" s="41">
        <f t="shared" si="4"/>
        <v>2064</v>
      </c>
      <c r="H17" s="91"/>
      <c r="I17" s="91"/>
      <c r="J17" s="242"/>
    </row>
    <row r="18" spans="1:10" ht="12.75">
      <c r="A18" s="97">
        <v>39813</v>
      </c>
      <c r="B18" s="367">
        <f t="shared" si="0"/>
        <v>92</v>
      </c>
      <c r="C18" s="99">
        <f t="shared" si="1"/>
        <v>11007900</v>
      </c>
      <c r="D18" s="99"/>
      <c r="E18" s="362">
        <f t="shared" si="2"/>
        <v>0.04612</v>
      </c>
      <c r="F18" s="99">
        <f t="shared" si="3"/>
        <v>129741.5556</v>
      </c>
      <c r="G18" s="99">
        <f t="shared" si="4"/>
        <v>2064</v>
      </c>
      <c r="H18" s="359">
        <f>SUM(F15:G18)</f>
        <v>524401.7538000001</v>
      </c>
      <c r="I18" s="359">
        <f>SUM(D15:D18)</f>
        <v>0</v>
      </c>
      <c r="J18" s="360">
        <f>SUM(H18:I18)</f>
        <v>524401.7538000001</v>
      </c>
    </row>
    <row r="19" spans="1:10" ht="12.75">
      <c r="A19" s="90">
        <v>39903</v>
      </c>
      <c r="B19" s="369">
        <f t="shared" si="0"/>
        <v>90</v>
      </c>
      <c r="C19" s="42">
        <f t="shared" si="1"/>
        <v>11007900</v>
      </c>
      <c r="D19" s="41"/>
      <c r="E19" s="361">
        <f t="shared" si="2"/>
        <v>0.04612</v>
      </c>
      <c r="F19" s="42">
        <f t="shared" si="3"/>
        <v>126921.087</v>
      </c>
      <c r="G19" s="41">
        <f t="shared" si="4"/>
        <v>2064</v>
      </c>
      <c r="H19" s="91"/>
      <c r="I19" s="91"/>
      <c r="J19" s="242"/>
    </row>
    <row r="20" spans="1:10" ht="12.75">
      <c r="A20" s="90">
        <v>39969</v>
      </c>
      <c r="B20" s="366">
        <f t="shared" si="0"/>
        <v>66</v>
      </c>
      <c r="C20" s="41">
        <f t="shared" si="1"/>
        <v>10848360</v>
      </c>
      <c r="D20" s="41">
        <v>159540</v>
      </c>
      <c r="E20" s="361"/>
      <c r="F20" s="41"/>
      <c r="G20" s="41"/>
      <c r="H20" s="91"/>
      <c r="I20" s="91"/>
      <c r="J20" s="242"/>
    </row>
    <row r="21" spans="1:10" ht="12.75">
      <c r="A21" s="90">
        <v>39994</v>
      </c>
      <c r="B21" s="366">
        <f t="shared" si="0"/>
        <v>25</v>
      </c>
      <c r="C21" s="41">
        <f t="shared" si="1"/>
        <v>10848360</v>
      </c>
      <c r="D21" s="41"/>
      <c r="E21" s="361">
        <f>E19</f>
        <v>0.04612</v>
      </c>
      <c r="F21" s="41">
        <f>((C20+D20)*E21/360*B20)+((C21+D21)*E21/360*B21)</f>
        <v>127820.35013333333</v>
      </c>
      <c r="G21" s="41">
        <f>G19</f>
        <v>2064</v>
      </c>
      <c r="H21" s="91"/>
      <c r="I21" s="91"/>
      <c r="J21" s="242"/>
    </row>
    <row r="22" spans="1:10" ht="12.75">
      <c r="A22" s="90">
        <v>40061</v>
      </c>
      <c r="B22" s="366">
        <f t="shared" si="0"/>
        <v>67</v>
      </c>
      <c r="C22" s="41">
        <f t="shared" si="1"/>
        <v>10688820</v>
      </c>
      <c r="D22" s="41">
        <f>D20</f>
        <v>159540</v>
      </c>
      <c r="E22" s="361"/>
      <c r="F22" s="41"/>
      <c r="G22" s="41"/>
      <c r="H22" s="91"/>
      <c r="I22" s="91"/>
      <c r="J22" s="242"/>
    </row>
    <row r="23" spans="1:10" ht="12.75">
      <c r="A23" s="90">
        <v>40086</v>
      </c>
      <c r="B23" s="366">
        <f t="shared" si="0"/>
        <v>25</v>
      </c>
      <c r="C23" s="41">
        <f t="shared" si="1"/>
        <v>10688820</v>
      </c>
      <c r="D23" s="41"/>
      <c r="E23" s="361">
        <f>E21</f>
        <v>0.04612</v>
      </c>
      <c r="F23" s="41">
        <f>((C22+D22)*E23/360*B22)+((C23+D23)*E23/360*B23)</f>
        <v>127350.21054</v>
      </c>
      <c r="G23" s="41">
        <f>G21</f>
        <v>2064</v>
      </c>
      <c r="H23" s="91"/>
      <c r="I23" s="91"/>
      <c r="J23" s="242"/>
    </row>
    <row r="24" spans="1:10" ht="12.75">
      <c r="A24" s="90">
        <v>40152</v>
      </c>
      <c r="B24" s="366">
        <f t="shared" si="0"/>
        <v>66</v>
      </c>
      <c r="C24" s="41">
        <f t="shared" si="1"/>
        <v>10529280</v>
      </c>
      <c r="D24" s="41">
        <f>D22</f>
        <v>159540</v>
      </c>
      <c r="E24" s="361"/>
      <c r="F24" s="41"/>
      <c r="G24" s="41"/>
      <c r="H24" s="91"/>
      <c r="I24" s="91"/>
      <c r="J24" s="242"/>
    </row>
    <row r="25" spans="1:10" ht="12.75">
      <c r="A25" s="97">
        <v>40178</v>
      </c>
      <c r="B25" s="367">
        <f t="shared" si="0"/>
        <v>26</v>
      </c>
      <c r="C25" s="99">
        <f t="shared" si="1"/>
        <v>10529280</v>
      </c>
      <c r="D25" s="99"/>
      <c r="E25" s="362">
        <f>E23</f>
        <v>0.04612</v>
      </c>
      <c r="F25" s="99">
        <f>((C24+D24)*E25/360*B24)+((C25+D25)*E25/360*B25)</f>
        <v>125449.3978</v>
      </c>
      <c r="G25" s="99">
        <f>G23</f>
        <v>2064</v>
      </c>
      <c r="H25" s="359">
        <f>SUM(F19:G25)</f>
        <v>515797.04547333333</v>
      </c>
      <c r="I25" s="359">
        <f>SUM(D19:D25)</f>
        <v>478620</v>
      </c>
      <c r="J25" s="360">
        <f>SUM(H25:I25)</f>
        <v>994417.0454733333</v>
      </c>
    </row>
    <row r="26" spans="1:10" ht="12.75">
      <c r="A26" s="103">
        <v>40242</v>
      </c>
      <c r="B26" s="365">
        <f t="shared" si="0"/>
        <v>64</v>
      </c>
      <c r="C26" s="42">
        <f t="shared" si="1"/>
        <v>10369740</v>
      </c>
      <c r="D26" s="42">
        <f>D24</f>
        <v>159540</v>
      </c>
      <c r="E26" s="104"/>
      <c r="F26" s="104"/>
      <c r="G26" s="104"/>
      <c r="H26" s="104"/>
      <c r="I26" s="104"/>
      <c r="J26" s="253"/>
    </row>
    <row r="27" spans="1:10" ht="12.75">
      <c r="A27" s="90">
        <v>40268</v>
      </c>
      <c r="B27" s="366">
        <f t="shared" si="0"/>
        <v>26</v>
      </c>
      <c r="C27" s="41">
        <f t="shared" si="1"/>
        <v>10369740</v>
      </c>
      <c r="D27" s="41"/>
      <c r="E27" s="361">
        <f>E25</f>
        <v>0.04612</v>
      </c>
      <c r="F27" s="41">
        <f>((C26+D26)*E27/360*B26)+((C27+D27)*E27/360*B27)</f>
        <v>120871.18838666668</v>
      </c>
      <c r="G27" s="41">
        <f>G25</f>
        <v>2064</v>
      </c>
      <c r="H27" s="91"/>
      <c r="I27" s="91"/>
      <c r="J27" s="242"/>
    </row>
    <row r="28" spans="1:10" ht="12.75">
      <c r="A28" s="90">
        <v>40334</v>
      </c>
      <c r="B28" s="366">
        <f t="shared" si="0"/>
        <v>66</v>
      </c>
      <c r="C28" s="41">
        <f t="shared" si="1"/>
        <v>10210200</v>
      </c>
      <c r="D28" s="41">
        <f>D26</f>
        <v>159540</v>
      </c>
      <c r="E28" s="361"/>
      <c r="F28" s="41"/>
      <c r="G28" s="41"/>
      <c r="H28" s="91"/>
      <c r="I28" s="91"/>
      <c r="J28" s="242"/>
    </row>
    <row r="29" spans="1:10" ht="12.75">
      <c r="A29" s="90">
        <v>40359</v>
      </c>
      <c r="B29" s="366">
        <f t="shared" si="0"/>
        <v>25</v>
      </c>
      <c r="C29" s="41">
        <f t="shared" si="1"/>
        <v>10210200</v>
      </c>
      <c r="D29" s="41"/>
      <c r="E29" s="361">
        <f>E27</f>
        <v>0.04612</v>
      </c>
      <c r="F29" s="41">
        <f>((C28+D28)*E29/360*B28)+((C29+D29)*E29/360*B29)</f>
        <v>120380.60994666666</v>
      </c>
      <c r="G29" s="41">
        <f>G27</f>
        <v>2064</v>
      </c>
      <c r="H29" s="91"/>
      <c r="I29" s="91"/>
      <c r="J29" s="242"/>
    </row>
    <row r="30" spans="1:10" ht="12.75">
      <c r="A30" s="90">
        <v>40426</v>
      </c>
      <c r="B30" s="366">
        <f t="shared" si="0"/>
        <v>67</v>
      </c>
      <c r="C30" s="41">
        <f t="shared" si="1"/>
        <v>10050660</v>
      </c>
      <c r="D30" s="41">
        <f>D28</f>
        <v>159540</v>
      </c>
      <c r="E30" s="361"/>
      <c r="F30" s="41"/>
      <c r="G30" s="41"/>
      <c r="H30" s="91"/>
      <c r="I30" s="91"/>
      <c r="J30" s="242"/>
    </row>
    <row r="31" spans="1:10" ht="12.75">
      <c r="A31" s="90">
        <v>40451</v>
      </c>
      <c r="B31" s="366">
        <f t="shared" si="0"/>
        <v>25</v>
      </c>
      <c r="C31" s="41">
        <f t="shared" si="1"/>
        <v>10050660</v>
      </c>
      <c r="D31" s="41"/>
      <c r="E31" s="361">
        <f>E29</f>
        <v>0.04612</v>
      </c>
      <c r="F31" s="41">
        <f>((C30+D30)*E31/360*B30)+((C31+D31)*E31/360*B31)</f>
        <v>119828.71496666668</v>
      </c>
      <c r="G31" s="41">
        <f>G29</f>
        <v>2064</v>
      </c>
      <c r="H31" s="91"/>
      <c r="I31" s="91"/>
      <c r="J31" s="242"/>
    </row>
    <row r="32" spans="1:10" ht="12.75">
      <c r="A32" s="90">
        <v>40517</v>
      </c>
      <c r="B32" s="366">
        <f t="shared" si="0"/>
        <v>66</v>
      </c>
      <c r="C32" s="41">
        <f t="shared" si="1"/>
        <v>9891120</v>
      </c>
      <c r="D32" s="41">
        <f>D30</f>
        <v>159540</v>
      </c>
      <c r="E32" s="361"/>
      <c r="F32" s="41"/>
      <c r="G32" s="41"/>
      <c r="H32" s="91"/>
      <c r="I32" s="91"/>
      <c r="J32" s="242"/>
    </row>
    <row r="33" spans="1:10" ht="12.75">
      <c r="A33" s="97">
        <v>40543</v>
      </c>
      <c r="B33" s="367">
        <f t="shared" si="0"/>
        <v>26</v>
      </c>
      <c r="C33" s="99">
        <f t="shared" si="1"/>
        <v>9891120</v>
      </c>
      <c r="D33" s="99"/>
      <c r="E33" s="362">
        <f>E31</f>
        <v>0.04612</v>
      </c>
      <c r="F33" s="99">
        <f>((C32+D32)*E33/360*B32)+((C33+D33)*E33/360*B33)</f>
        <v>117927.90222666666</v>
      </c>
      <c r="G33" s="99">
        <f>G31</f>
        <v>2064</v>
      </c>
      <c r="H33" s="359">
        <f>SUM(F27:G33)</f>
        <v>487264.4155266667</v>
      </c>
      <c r="I33" s="359">
        <f>SUM(D26:D33)</f>
        <v>638160</v>
      </c>
      <c r="J33" s="360">
        <f>SUM(H33:I33)</f>
        <v>1125424.4155266667</v>
      </c>
    </row>
    <row r="34" spans="1:10" ht="12.75">
      <c r="A34" s="103">
        <v>40607</v>
      </c>
      <c r="B34" s="365">
        <f t="shared" si="0"/>
        <v>64</v>
      </c>
      <c r="C34" s="42">
        <f t="shared" si="1"/>
        <v>9731580</v>
      </c>
      <c r="D34" s="42">
        <f>D32</f>
        <v>159540</v>
      </c>
      <c r="E34" s="104"/>
      <c r="F34" s="104"/>
      <c r="G34" s="104"/>
      <c r="H34" s="104"/>
      <c r="I34" s="104"/>
      <c r="J34" s="253"/>
    </row>
    <row r="35" spans="1:10" ht="12.75">
      <c r="A35" s="90">
        <v>40633</v>
      </c>
      <c r="B35" s="366">
        <f t="shared" si="0"/>
        <v>26</v>
      </c>
      <c r="C35" s="41">
        <f t="shared" si="1"/>
        <v>9731580</v>
      </c>
      <c r="D35" s="41"/>
      <c r="E35" s="361">
        <f>E33</f>
        <v>0.04612</v>
      </c>
      <c r="F35" s="41">
        <f>((C34+D34)*E35/360*B34)+((C35+D35)*E35/360*B35)</f>
        <v>113513.20358666667</v>
      </c>
      <c r="G35" s="41">
        <f>G33</f>
        <v>2064</v>
      </c>
      <c r="H35" s="91"/>
      <c r="I35" s="91"/>
      <c r="J35" s="242"/>
    </row>
    <row r="36" spans="1:10" ht="12.75">
      <c r="A36" s="90">
        <v>40699</v>
      </c>
      <c r="B36" s="366">
        <f t="shared" si="0"/>
        <v>66</v>
      </c>
      <c r="C36" s="41">
        <f t="shared" si="1"/>
        <v>9572040</v>
      </c>
      <c r="D36" s="41">
        <f>D34</f>
        <v>159540</v>
      </c>
      <c r="E36" s="361"/>
      <c r="F36" s="41"/>
      <c r="G36" s="41"/>
      <c r="H36" s="91"/>
      <c r="I36" s="91"/>
      <c r="J36" s="242"/>
    </row>
    <row r="37" spans="1:10" ht="12.75">
      <c r="A37" s="90">
        <v>40724</v>
      </c>
      <c r="B37" s="366">
        <f t="shared" si="0"/>
        <v>25</v>
      </c>
      <c r="C37" s="41">
        <f t="shared" si="1"/>
        <v>9572040</v>
      </c>
      <c r="D37" s="41"/>
      <c r="E37" s="361">
        <f>E35</f>
        <v>0.04612</v>
      </c>
      <c r="F37" s="41">
        <f>((C36+D36)*E37/360*B36)+((C37+D37)*E37/360*B37)</f>
        <v>112940.86976</v>
      </c>
      <c r="G37" s="41">
        <f>G35</f>
        <v>2064</v>
      </c>
      <c r="H37" s="91"/>
      <c r="I37" s="91"/>
      <c r="J37" s="242"/>
    </row>
    <row r="38" spans="1:10" ht="12.75">
      <c r="A38" s="90">
        <v>40791</v>
      </c>
      <c r="B38" s="366">
        <f t="shared" si="0"/>
        <v>67</v>
      </c>
      <c r="C38" s="41">
        <f t="shared" si="1"/>
        <v>9412500</v>
      </c>
      <c r="D38" s="41">
        <f>D36</f>
        <v>159540</v>
      </c>
      <c r="E38" s="361"/>
      <c r="F38" s="41"/>
      <c r="G38" s="41"/>
      <c r="H38" s="91"/>
      <c r="I38" s="91"/>
      <c r="J38" s="242"/>
    </row>
    <row r="39" spans="1:10" ht="12.75">
      <c r="A39" s="90">
        <v>40816</v>
      </c>
      <c r="B39" s="366">
        <f t="shared" si="0"/>
        <v>25</v>
      </c>
      <c r="C39" s="41">
        <f t="shared" si="1"/>
        <v>9412500</v>
      </c>
      <c r="D39" s="41"/>
      <c r="E39" s="361">
        <f>E37</f>
        <v>0.04612</v>
      </c>
      <c r="F39" s="41">
        <f>((C38+D38)*E39/360*B38)+((C39+D39)*E39/360*B39)</f>
        <v>112307.21939333335</v>
      </c>
      <c r="G39" s="41">
        <f>G37</f>
        <v>2064</v>
      </c>
      <c r="H39" s="91"/>
      <c r="I39" s="91"/>
      <c r="J39" s="242"/>
    </row>
    <row r="40" spans="1:10" ht="12.75">
      <c r="A40" s="90">
        <v>40882</v>
      </c>
      <c r="B40" s="366">
        <f t="shared" si="0"/>
        <v>66</v>
      </c>
      <c r="C40" s="41">
        <f t="shared" si="1"/>
        <v>9252960</v>
      </c>
      <c r="D40" s="41">
        <f>D38</f>
        <v>159540</v>
      </c>
      <c r="E40" s="361"/>
      <c r="F40" s="41"/>
      <c r="G40" s="41"/>
      <c r="H40" s="91"/>
      <c r="I40" s="91"/>
      <c r="J40" s="242"/>
    </row>
    <row r="41" spans="1:10" ht="12.75">
      <c r="A41" s="97">
        <v>40908</v>
      </c>
      <c r="B41" s="367">
        <f t="shared" si="0"/>
        <v>26</v>
      </c>
      <c r="C41" s="99">
        <f t="shared" si="1"/>
        <v>9252960</v>
      </c>
      <c r="D41" s="99"/>
      <c r="E41" s="362">
        <f>E39</f>
        <v>0.04612</v>
      </c>
      <c r="F41" s="99">
        <f>((C40+D40)*E41/360*B40)+((C41+D41)*E41/360*B41)</f>
        <v>110406.40665333332</v>
      </c>
      <c r="G41" s="99">
        <f>G39</f>
        <v>2064</v>
      </c>
      <c r="H41" s="359">
        <f>SUM(F35:G41)</f>
        <v>457423.69939333334</v>
      </c>
      <c r="I41" s="359">
        <f>SUM(D34:D41)</f>
        <v>638160</v>
      </c>
      <c r="J41" s="360">
        <f>SUM(H41:I41)</f>
        <v>1095583.6993933334</v>
      </c>
    </row>
    <row r="42" spans="1:10" ht="12.75">
      <c r="A42" s="103">
        <v>40973</v>
      </c>
      <c r="B42" s="365">
        <f aca="true" t="shared" si="5" ref="B42:B73">A42-A41</f>
        <v>65</v>
      </c>
      <c r="C42" s="42">
        <f aca="true" t="shared" si="6" ref="C42:C73">C41-D42</f>
        <v>9093420</v>
      </c>
      <c r="D42" s="42">
        <f>D40</f>
        <v>159540</v>
      </c>
      <c r="E42" s="104"/>
      <c r="F42" s="104"/>
      <c r="G42" s="104"/>
      <c r="H42" s="104"/>
      <c r="I42" s="104"/>
      <c r="J42" s="253"/>
    </row>
    <row r="43" spans="1:10" ht="12.75">
      <c r="A43" s="90">
        <v>40999</v>
      </c>
      <c r="B43" s="366">
        <f t="shared" si="5"/>
        <v>26</v>
      </c>
      <c r="C43" s="41">
        <f t="shared" si="6"/>
        <v>9093420</v>
      </c>
      <c r="D43" s="41"/>
      <c r="E43" s="361">
        <f>E41</f>
        <v>0.04612</v>
      </c>
      <c r="F43" s="41">
        <f>((C42+D42)*E43/360*B42)+((C43+D43)*E43/360*B43)</f>
        <v>107340.62577333333</v>
      </c>
      <c r="G43" s="41">
        <f>G41</f>
        <v>2064</v>
      </c>
      <c r="H43" s="91"/>
      <c r="I43" s="91"/>
      <c r="J43" s="242"/>
    </row>
    <row r="44" spans="1:10" ht="12.75">
      <c r="A44" s="90">
        <v>41065</v>
      </c>
      <c r="B44" s="366">
        <f t="shared" si="5"/>
        <v>66</v>
      </c>
      <c r="C44" s="41">
        <f t="shared" si="6"/>
        <v>8933880</v>
      </c>
      <c r="D44" s="41">
        <f>D42</f>
        <v>159540</v>
      </c>
      <c r="E44" s="361"/>
      <c r="F44" s="41"/>
      <c r="G44" s="41"/>
      <c r="H44" s="91"/>
      <c r="I44" s="91"/>
      <c r="J44" s="242"/>
    </row>
    <row r="45" spans="1:10" ht="12.75">
      <c r="A45" s="90">
        <v>41090</v>
      </c>
      <c r="B45" s="366">
        <f t="shared" si="5"/>
        <v>25</v>
      </c>
      <c r="C45" s="41">
        <f t="shared" si="6"/>
        <v>8933880</v>
      </c>
      <c r="D45" s="41"/>
      <c r="E45" s="361">
        <f>E43</f>
        <v>0.04612</v>
      </c>
      <c r="F45" s="41">
        <f>((C44+D44)*E45/360*B44)+((C45+D45)*E45/360*B45)</f>
        <v>105501.12957333332</v>
      </c>
      <c r="G45" s="41">
        <f>G43</f>
        <v>2064</v>
      </c>
      <c r="H45" s="91"/>
      <c r="I45" s="91"/>
      <c r="J45" s="242"/>
    </row>
    <row r="46" spans="1:10" ht="12.75">
      <c r="A46" s="90">
        <v>41157</v>
      </c>
      <c r="B46" s="366">
        <f t="shared" si="5"/>
        <v>67</v>
      </c>
      <c r="C46" s="41">
        <f t="shared" si="6"/>
        <v>8774340</v>
      </c>
      <c r="D46" s="41">
        <f>D44</f>
        <v>159540</v>
      </c>
      <c r="E46" s="361"/>
      <c r="F46" s="41"/>
      <c r="G46" s="41"/>
      <c r="H46" s="91"/>
      <c r="I46" s="91"/>
      <c r="J46" s="242"/>
    </row>
    <row r="47" spans="1:10" ht="12.75">
      <c r="A47" s="90">
        <v>41182</v>
      </c>
      <c r="B47" s="366">
        <f t="shared" si="5"/>
        <v>25</v>
      </c>
      <c r="C47" s="41">
        <f t="shared" si="6"/>
        <v>8774340</v>
      </c>
      <c r="D47" s="41"/>
      <c r="E47" s="361">
        <f>E45</f>
        <v>0.04612</v>
      </c>
      <c r="F47" s="41">
        <f>((C46+D46)*E47/360*B46)+((C47+D47)*E47/360*B47)</f>
        <v>104785.72382000001</v>
      </c>
      <c r="G47" s="41">
        <f>G45</f>
        <v>2064</v>
      </c>
      <c r="H47" s="91"/>
      <c r="I47" s="91"/>
      <c r="J47" s="242"/>
    </row>
    <row r="48" spans="1:10" ht="12.75">
      <c r="A48" s="90">
        <v>41248</v>
      </c>
      <c r="B48" s="366">
        <f t="shared" si="5"/>
        <v>66</v>
      </c>
      <c r="C48" s="41">
        <f t="shared" si="6"/>
        <v>8614800</v>
      </c>
      <c r="D48" s="41">
        <f>D46</f>
        <v>159540</v>
      </c>
      <c r="E48" s="361"/>
      <c r="F48" s="41"/>
      <c r="G48" s="41"/>
      <c r="H48" s="91"/>
      <c r="I48" s="91"/>
      <c r="J48" s="242"/>
    </row>
    <row r="49" spans="1:10" ht="12.75">
      <c r="A49" s="97">
        <v>41274</v>
      </c>
      <c r="B49" s="367">
        <f t="shared" si="5"/>
        <v>26</v>
      </c>
      <c r="C49" s="99">
        <f t="shared" si="6"/>
        <v>8614800</v>
      </c>
      <c r="D49" s="99"/>
      <c r="E49" s="362">
        <f>E47</f>
        <v>0.04612</v>
      </c>
      <c r="F49" s="99">
        <f>((C48+D48)*E49/360*B48)+((C49+D49)*E49/360*B49)</f>
        <v>102884.91108000002</v>
      </c>
      <c r="G49" s="99">
        <f>G47</f>
        <v>2064</v>
      </c>
      <c r="H49" s="359">
        <f>SUM(F43:G49)</f>
        <v>428768.39024666674</v>
      </c>
      <c r="I49" s="359">
        <f>SUM(D42:D49)</f>
        <v>638160</v>
      </c>
      <c r="J49" s="360">
        <f>SUM(H49:I49)</f>
        <v>1066928.3902466667</v>
      </c>
    </row>
    <row r="50" spans="1:10" ht="12.75">
      <c r="A50" s="103">
        <v>41338</v>
      </c>
      <c r="B50" s="365">
        <f t="shared" si="5"/>
        <v>64</v>
      </c>
      <c r="C50" s="42">
        <f t="shared" si="6"/>
        <v>8455260</v>
      </c>
      <c r="D50" s="42">
        <f>D48</f>
        <v>159540</v>
      </c>
      <c r="E50" s="104"/>
      <c r="F50" s="104"/>
      <c r="G50" s="104"/>
      <c r="H50" s="104"/>
      <c r="I50" s="104"/>
      <c r="J50" s="253"/>
    </row>
    <row r="51" spans="1:10" ht="12.75">
      <c r="A51" s="90">
        <v>41364</v>
      </c>
      <c r="B51" s="366">
        <f t="shared" si="5"/>
        <v>26</v>
      </c>
      <c r="C51" s="41">
        <f t="shared" si="6"/>
        <v>8455260</v>
      </c>
      <c r="D51" s="41"/>
      <c r="E51" s="361">
        <f>E49</f>
        <v>0.04612</v>
      </c>
      <c r="F51" s="41">
        <f>((C50+D50)*E51/360*B50)+((C51+D51)*E51/360*B51)</f>
        <v>98797.23398666666</v>
      </c>
      <c r="G51" s="41">
        <f>G49</f>
        <v>2064</v>
      </c>
      <c r="H51" s="91"/>
      <c r="I51" s="91"/>
      <c r="J51" s="242"/>
    </row>
    <row r="52" spans="1:10" ht="12.75">
      <c r="A52" s="90">
        <v>41430</v>
      </c>
      <c r="B52" s="366">
        <f t="shared" si="5"/>
        <v>66</v>
      </c>
      <c r="C52" s="41">
        <f t="shared" si="6"/>
        <v>8295720</v>
      </c>
      <c r="D52" s="41">
        <f>D50</f>
        <v>159540</v>
      </c>
      <c r="E52" s="361"/>
      <c r="F52" s="41"/>
      <c r="G52" s="41"/>
      <c r="H52" s="91"/>
      <c r="I52" s="91"/>
      <c r="J52" s="242"/>
    </row>
    <row r="53" spans="1:10" ht="12.75">
      <c r="A53" s="90">
        <v>41455</v>
      </c>
      <c r="B53" s="366">
        <f t="shared" si="5"/>
        <v>25</v>
      </c>
      <c r="C53" s="41">
        <f t="shared" si="6"/>
        <v>8295720</v>
      </c>
      <c r="D53" s="41"/>
      <c r="E53" s="361">
        <f>E51</f>
        <v>0.04612</v>
      </c>
      <c r="F53" s="41">
        <f>((C52+D52)*E53/360*B52)+((C53+D53)*E53/360*B53)</f>
        <v>98061.38938666668</v>
      </c>
      <c r="G53" s="41">
        <f>G51</f>
        <v>2064</v>
      </c>
      <c r="H53" s="91"/>
      <c r="I53" s="91"/>
      <c r="J53" s="242"/>
    </row>
    <row r="54" spans="1:10" ht="12.75">
      <c r="A54" s="90">
        <v>41522</v>
      </c>
      <c r="B54" s="366">
        <f t="shared" si="5"/>
        <v>67</v>
      </c>
      <c r="C54" s="41">
        <f t="shared" si="6"/>
        <v>8136180</v>
      </c>
      <c r="D54" s="41">
        <f>D52</f>
        <v>159540</v>
      </c>
      <c r="E54" s="361"/>
      <c r="F54" s="41"/>
      <c r="G54" s="41"/>
      <c r="H54" s="91"/>
      <c r="I54" s="91"/>
      <c r="J54" s="242"/>
    </row>
    <row r="55" spans="1:10" ht="12.75">
      <c r="A55" s="90">
        <v>41547</v>
      </c>
      <c r="B55" s="366">
        <f t="shared" si="5"/>
        <v>25</v>
      </c>
      <c r="C55" s="41">
        <f t="shared" si="6"/>
        <v>8136180</v>
      </c>
      <c r="D55" s="41"/>
      <c r="E55" s="361">
        <f>E53</f>
        <v>0.04612</v>
      </c>
      <c r="F55" s="41">
        <f>((C54+D54)*E55/360*B54)+((C55+D55)*E55/360*B55)</f>
        <v>97264.22824666665</v>
      </c>
      <c r="G55" s="41">
        <f>G53</f>
        <v>2064</v>
      </c>
      <c r="H55" s="91"/>
      <c r="I55" s="91"/>
      <c r="J55" s="242"/>
    </row>
    <row r="56" spans="1:10" ht="12.75">
      <c r="A56" s="90">
        <v>41613</v>
      </c>
      <c r="B56" s="366">
        <f t="shared" si="5"/>
        <v>66</v>
      </c>
      <c r="C56" s="41">
        <f t="shared" si="6"/>
        <v>7976640</v>
      </c>
      <c r="D56" s="41">
        <f>D54</f>
        <v>159540</v>
      </c>
      <c r="E56" s="361"/>
      <c r="F56" s="41"/>
      <c r="G56" s="41"/>
      <c r="H56" s="91"/>
      <c r="I56" s="91"/>
      <c r="J56" s="242"/>
    </row>
    <row r="57" spans="1:10" ht="12.75">
      <c r="A57" s="97">
        <v>41639</v>
      </c>
      <c r="B57" s="367">
        <f t="shared" si="5"/>
        <v>26</v>
      </c>
      <c r="C57" s="99">
        <f t="shared" si="6"/>
        <v>7976640</v>
      </c>
      <c r="D57" s="99"/>
      <c r="E57" s="362">
        <f>E55</f>
        <v>0.04612</v>
      </c>
      <c r="F57" s="99">
        <f>((C56+D56)*E57/360*B56)+((C57+D57)*E57/360*B57)</f>
        <v>95363.41550666667</v>
      </c>
      <c r="G57" s="99">
        <f>G55</f>
        <v>2064</v>
      </c>
      <c r="H57" s="359">
        <f>SUM(F51:G57)</f>
        <v>397742.2671266666</v>
      </c>
      <c r="I57" s="359">
        <f>SUM(D50:D57)</f>
        <v>638160</v>
      </c>
      <c r="J57" s="360">
        <f>SUM(H57:I57)</f>
        <v>1035902.2671266666</v>
      </c>
    </row>
    <row r="58" spans="1:10" ht="12.75">
      <c r="A58" s="103">
        <v>41703</v>
      </c>
      <c r="B58" s="365">
        <f t="shared" si="5"/>
        <v>64</v>
      </c>
      <c r="C58" s="42">
        <f t="shared" si="6"/>
        <v>7817100</v>
      </c>
      <c r="D58" s="42">
        <f>D56</f>
        <v>159540</v>
      </c>
      <c r="E58" s="104"/>
      <c r="F58" s="104"/>
      <c r="G58" s="104"/>
      <c r="H58" s="104"/>
      <c r="I58" s="104"/>
      <c r="J58" s="253"/>
    </row>
    <row r="59" spans="1:10" ht="12.75">
      <c r="A59" s="90">
        <v>41729</v>
      </c>
      <c r="B59" s="366">
        <f t="shared" si="5"/>
        <v>26</v>
      </c>
      <c r="C59" s="41">
        <f t="shared" si="6"/>
        <v>7817100</v>
      </c>
      <c r="D59" s="41"/>
      <c r="E59" s="361">
        <f>E57</f>
        <v>0.04612</v>
      </c>
      <c r="F59" s="41">
        <f>((C58+D58)*E59/360*B58)+((C59+D59)*E59/360*B59)</f>
        <v>91439.24918666667</v>
      </c>
      <c r="G59" s="41">
        <f>G57</f>
        <v>2064</v>
      </c>
      <c r="H59" s="91"/>
      <c r="I59" s="91"/>
      <c r="J59" s="242"/>
    </row>
    <row r="60" spans="1:10" ht="12.75">
      <c r="A60" s="90">
        <v>41795</v>
      </c>
      <c r="B60" s="366">
        <f t="shared" si="5"/>
        <v>66</v>
      </c>
      <c r="C60" s="41">
        <f t="shared" si="6"/>
        <v>7657560</v>
      </c>
      <c r="D60" s="41">
        <f>D58</f>
        <v>159540</v>
      </c>
      <c r="E60" s="361"/>
      <c r="F60" s="41"/>
      <c r="G60" s="41"/>
      <c r="H60" s="91"/>
      <c r="I60" s="91"/>
      <c r="J60" s="242"/>
    </row>
    <row r="61" spans="1:10" ht="12.75">
      <c r="A61" s="90">
        <v>41820</v>
      </c>
      <c r="B61" s="366">
        <f t="shared" si="5"/>
        <v>25</v>
      </c>
      <c r="C61" s="41">
        <f t="shared" si="6"/>
        <v>7657560</v>
      </c>
      <c r="D61" s="41"/>
      <c r="E61" s="361">
        <f>E59</f>
        <v>0.04612</v>
      </c>
      <c r="F61" s="41">
        <f>((C60+D60)*E61/360*B60)+((C61+D61)*E61/360*B61)</f>
        <v>90621.6492</v>
      </c>
      <c r="G61" s="41">
        <f>G59</f>
        <v>2064</v>
      </c>
      <c r="H61" s="91"/>
      <c r="I61" s="91"/>
      <c r="J61" s="242"/>
    </row>
    <row r="62" spans="1:10" ht="12.75">
      <c r="A62" s="90">
        <v>41887</v>
      </c>
      <c r="B62" s="366">
        <f t="shared" si="5"/>
        <v>67</v>
      </c>
      <c r="C62" s="41">
        <f t="shared" si="6"/>
        <v>7498020</v>
      </c>
      <c r="D62" s="41">
        <f>D60</f>
        <v>159540</v>
      </c>
      <c r="E62" s="361"/>
      <c r="F62" s="41"/>
      <c r="G62" s="41"/>
      <c r="H62" s="91"/>
      <c r="I62" s="91"/>
      <c r="J62" s="242"/>
    </row>
    <row r="63" spans="1:10" ht="12.75">
      <c r="A63" s="90">
        <v>41912</v>
      </c>
      <c r="B63" s="366">
        <f t="shared" si="5"/>
        <v>25</v>
      </c>
      <c r="C63" s="41">
        <f t="shared" si="6"/>
        <v>7498020</v>
      </c>
      <c r="D63" s="41"/>
      <c r="E63" s="361">
        <f>E61</f>
        <v>0.04612</v>
      </c>
      <c r="F63" s="41">
        <f>((C62+D62)*E63/360*B62)+((C63+D63)*E63/360*B63)</f>
        <v>89742.73267333333</v>
      </c>
      <c r="G63" s="41">
        <f>G61</f>
        <v>2064</v>
      </c>
      <c r="H63" s="91"/>
      <c r="I63" s="91"/>
      <c r="J63" s="242"/>
    </row>
    <row r="64" spans="1:10" ht="12.75">
      <c r="A64" s="90">
        <v>41978</v>
      </c>
      <c r="B64" s="366">
        <f t="shared" si="5"/>
        <v>66</v>
      </c>
      <c r="C64" s="41">
        <f t="shared" si="6"/>
        <v>7338480</v>
      </c>
      <c r="D64" s="41">
        <f>D62</f>
        <v>159540</v>
      </c>
      <c r="E64" s="361"/>
      <c r="F64" s="41"/>
      <c r="G64" s="41"/>
      <c r="H64" s="91"/>
      <c r="I64" s="91"/>
      <c r="J64" s="242"/>
    </row>
    <row r="65" spans="1:10" ht="12.75">
      <c r="A65" s="97">
        <v>42004</v>
      </c>
      <c r="B65" s="367">
        <f t="shared" si="5"/>
        <v>26</v>
      </c>
      <c r="C65" s="99">
        <f t="shared" si="6"/>
        <v>7338480</v>
      </c>
      <c r="D65" s="99"/>
      <c r="E65" s="362">
        <f>E63</f>
        <v>0.04612</v>
      </c>
      <c r="F65" s="99">
        <f>((C64+D64)*E65/360*B64)+((C65+D65)*E65/360*B65)</f>
        <v>87841.91993333332</v>
      </c>
      <c r="G65" s="99">
        <f>G63</f>
        <v>2064</v>
      </c>
      <c r="H65" s="359">
        <f>SUM(F59:G65)</f>
        <v>367901.55099333334</v>
      </c>
      <c r="I65" s="359">
        <f>SUM(D58:D65)</f>
        <v>638160</v>
      </c>
      <c r="J65" s="360">
        <f>SUM(H65:I65)</f>
        <v>1006061.5509933333</v>
      </c>
    </row>
    <row r="66" spans="1:10" ht="12.75">
      <c r="A66" s="103">
        <v>42068</v>
      </c>
      <c r="B66" s="365">
        <f t="shared" si="5"/>
        <v>64</v>
      </c>
      <c r="C66" s="42">
        <f t="shared" si="6"/>
        <v>7178940</v>
      </c>
      <c r="D66" s="42">
        <f>D64</f>
        <v>159540</v>
      </c>
      <c r="E66" s="104"/>
      <c r="F66" s="104"/>
      <c r="G66" s="104"/>
      <c r="H66" s="104"/>
      <c r="I66" s="104"/>
      <c r="J66" s="253"/>
    </row>
    <row r="67" spans="1:10" ht="12.75">
      <c r="A67" s="90">
        <v>42094</v>
      </c>
      <c r="B67" s="366">
        <f t="shared" si="5"/>
        <v>26</v>
      </c>
      <c r="C67" s="41">
        <f t="shared" si="6"/>
        <v>7178940</v>
      </c>
      <c r="D67" s="41"/>
      <c r="E67" s="361">
        <f>E65</f>
        <v>0.04612</v>
      </c>
      <c r="F67" s="41">
        <f>((C66+D66)*E67/360*B66)+((C67+D67)*E67/360*B67)</f>
        <v>84081.26438666668</v>
      </c>
      <c r="G67" s="41">
        <f>G65</f>
        <v>2064</v>
      </c>
      <c r="H67" s="91"/>
      <c r="I67" s="91"/>
      <c r="J67" s="242"/>
    </row>
    <row r="68" spans="1:10" ht="12.75">
      <c r="A68" s="90">
        <v>42160</v>
      </c>
      <c r="B68" s="366">
        <f t="shared" si="5"/>
        <v>66</v>
      </c>
      <c r="C68" s="41">
        <f t="shared" si="6"/>
        <v>7019400</v>
      </c>
      <c r="D68" s="41">
        <f>D66</f>
        <v>159540</v>
      </c>
      <c r="E68" s="361"/>
      <c r="F68" s="41"/>
      <c r="G68" s="41"/>
      <c r="H68" s="91"/>
      <c r="I68" s="91"/>
      <c r="J68" s="242"/>
    </row>
    <row r="69" spans="1:10" ht="12.75">
      <c r="A69" s="90">
        <v>42185</v>
      </c>
      <c r="B69" s="366">
        <f t="shared" si="5"/>
        <v>25</v>
      </c>
      <c r="C69" s="41">
        <f t="shared" si="6"/>
        <v>7019400</v>
      </c>
      <c r="D69" s="41"/>
      <c r="E69" s="361">
        <f>E67</f>
        <v>0.04612</v>
      </c>
      <c r="F69" s="41">
        <f>((C68+D68)*E69/360*B68)+((C69+D69)*E69/360*B69)</f>
        <v>83181.90901333334</v>
      </c>
      <c r="G69" s="41">
        <f>G67</f>
        <v>2064</v>
      </c>
      <c r="H69" s="91"/>
      <c r="I69" s="91"/>
      <c r="J69" s="242"/>
    </row>
    <row r="70" spans="1:10" ht="12.75">
      <c r="A70" s="90">
        <v>42252</v>
      </c>
      <c r="B70" s="366">
        <f t="shared" si="5"/>
        <v>67</v>
      </c>
      <c r="C70" s="41">
        <f t="shared" si="6"/>
        <v>6859860</v>
      </c>
      <c r="D70" s="41">
        <f>D68</f>
        <v>159540</v>
      </c>
      <c r="E70" s="361"/>
      <c r="F70" s="41"/>
      <c r="G70" s="41"/>
      <c r="H70" s="91"/>
      <c r="I70" s="91"/>
      <c r="J70" s="242"/>
    </row>
    <row r="71" spans="1:10" ht="12.75">
      <c r="A71" s="90">
        <v>42277</v>
      </c>
      <c r="B71" s="366">
        <f t="shared" si="5"/>
        <v>25</v>
      </c>
      <c r="C71" s="41">
        <f t="shared" si="6"/>
        <v>6859860</v>
      </c>
      <c r="D71" s="41"/>
      <c r="E71" s="361">
        <f>E69</f>
        <v>0.04612</v>
      </c>
      <c r="F71" s="41">
        <f>((C70+D70)*E71/360*B70)+((C71+D71)*E71/360*B71)</f>
        <v>82221.2371</v>
      </c>
      <c r="G71" s="41">
        <f>G69</f>
        <v>2064</v>
      </c>
      <c r="H71" s="91"/>
      <c r="I71" s="91"/>
      <c r="J71" s="242"/>
    </row>
    <row r="72" spans="1:10" ht="12.75">
      <c r="A72" s="90">
        <v>42343</v>
      </c>
      <c r="B72" s="366">
        <f t="shared" si="5"/>
        <v>66</v>
      </c>
      <c r="C72" s="41">
        <f t="shared" si="6"/>
        <v>6700320</v>
      </c>
      <c r="D72" s="41">
        <f>D70</f>
        <v>159540</v>
      </c>
      <c r="E72" s="361"/>
      <c r="F72" s="41"/>
      <c r="G72" s="41"/>
      <c r="H72" s="91"/>
      <c r="I72" s="91"/>
      <c r="J72" s="242"/>
    </row>
    <row r="73" spans="1:10" ht="12.75">
      <c r="A73" s="97">
        <v>42369</v>
      </c>
      <c r="B73" s="367">
        <f t="shared" si="5"/>
        <v>26</v>
      </c>
      <c r="C73" s="99">
        <f t="shared" si="6"/>
        <v>6700320</v>
      </c>
      <c r="D73" s="99"/>
      <c r="E73" s="362">
        <f>E71</f>
        <v>0.04612</v>
      </c>
      <c r="F73" s="99">
        <f>((C72+D72)*E73/360*B72)+((C73+D73)*E73/360*B73)</f>
        <v>80320.42436</v>
      </c>
      <c r="G73" s="99">
        <f>G71</f>
        <v>2064</v>
      </c>
      <c r="H73" s="359">
        <f>SUM(F67:G73)</f>
        <v>338060.83486000006</v>
      </c>
      <c r="I73" s="359">
        <f>SUM(D66:D73)</f>
        <v>638160</v>
      </c>
      <c r="J73" s="360">
        <f>SUM(H73:I73)</f>
        <v>976220.8348600001</v>
      </c>
    </row>
    <row r="74" spans="1:10" ht="12.75">
      <c r="A74" s="103">
        <v>42434</v>
      </c>
      <c r="B74" s="365">
        <f aca="true" t="shared" si="7" ref="B74:B105">A74-A73</f>
        <v>65</v>
      </c>
      <c r="C74" s="42">
        <f aca="true" t="shared" si="8" ref="C74:C105">C73-D74</f>
        <v>6540780</v>
      </c>
      <c r="D74" s="42">
        <f>D72</f>
        <v>159540</v>
      </c>
      <c r="E74" s="104"/>
      <c r="F74" s="104"/>
      <c r="G74" s="104"/>
      <c r="H74" s="104"/>
      <c r="I74" s="104"/>
      <c r="J74" s="253"/>
    </row>
    <row r="75" spans="1:10" ht="12.75">
      <c r="A75" s="90">
        <v>42460</v>
      </c>
      <c r="B75" s="366">
        <f t="shared" si="7"/>
        <v>26</v>
      </c>
      <c r="C75" s="41">
        <f t="shared" si="8"/>
        <v>6540780</v>
      </c>
      <c r="D75" s="41"/>
      <c r="E75" s="361">
        <f>E73</f>
        <v>0.04612</v>
      </c>
      <c r="F75" s="41">
        <f>((C74+D74)*E75/360*B74)+((C75+D75)*E75/360*B75)</f>
        <v>77581.66502666667</v>
      </c>
      <c r="G75" s="41">
        <f>G73</f>
        <v>2064</v>
      </c>
      <c r="H75" s="91"/>
      <c r="I75" s="91"/>
      <c r="J75" s="242"/>
    </row>
    <row r="76" spans="1:10" ht="12.75">
      <c r="A76" s="90">
        <v>42526</v>
      </c>
      <c r="B76" s="366">
        <f t="shared" si="7"/>
        <v>66</v>
      </c>
      <c r="C76" s="41">
        <f t="shared" si="8"/>
        <v>6381240</v>
      </c>
      <c r="D76" s="41">
        <f>D74</f>
        <v>159540</v>
      </c>
      <c r="E76" s="361"/>
      <c r="F76" s="41"/>
      <c r="G76" s="41"/>
      <c r="H76" s="91"/>
      <c r="I76" s="91"/>
      <c r="J76" s="242"/>
    </row>
    <row r="77" spans="1:10" ht="12.75">
      <c r="A77" s="90">
        <v>42551</v>
      </c>
      <c r="B77" s="366">
        <f t="shared" si="7"/>
        <v>25</v>
      </c>
      <c r="C77" s="41">
        <f t="shared" si="8"/>
        <v>6381240</v>
      </c>
      <c r="D77" s="41"/>
      <c r="E77" s="361">
        <f>E75</f>
        <v>0.04612</v>
      </c>
      <c r="F77" s="41">
        <f>((C76+D76)*E77/360*B76)+((C77+D77)*E77/360*B77)</f>
        <v>75742.16882666666</v>
      </c>
      <c r="G77" s="41">
        <f>G75</f>
        <v>2064</v>
      </c>
      <c r="H77" s="91"/>
      <c r="I77" s="91"/>
      <c r="J77" s="242"/>
    </row>
    <row r="78" spans="1:10" ht="12.75">
      <c r="A78" s="90">
        <v>42618</v>
      </c>
      <c r="B78" s="366">
        <f t="shared" si="7"/>
        <v>67</v>
      </c>
      <c r="C78" s="41">
        <f t="shared" si="8"/>
        <v>6221700</v>
      </c>
      <c r="D78" s="41">
        <f>D76</f>
        <v>159540</v>
      </c>
      <c r="E78" s="361"/>
      <c r="F78" s="41"/>
      <c r="G78" s="41"/>
      <c r="H78" s="91"/>
      <c r="I78" s="91"/>
      <c r="J78" s="242"/>
    </row>
    <row r="79" spans="1:10" ht="12.75">
      <c r="A79" s="90">
        <v>42643</v>
      </c>
      <c r="B79" s="366">
        <f t="shared" si="7"/>
        <v>25</v>
      </c>
      <c r="C79" s="41">
        <f t="shared" si="8"/>
        <v>6221700</v>
      </c>
      <c r="D79" s="41"/>
      <c r="E79" s="361">
        <f>E77</f>
        <v>0.04612</v>
      </c>
      <c r="F79" s="41">
        <f>((C78+D78)*E79/360*B78)+((C79+D79)*E79/360*B79)</f>
        <v>74699.74152666666</v>
      </c>
      <c r="G79" s="41">
        <f>G77</f>
        <v>2064</v>
      </c>
      <c r="H79" s="91"/>
      <c r="I79" s="91"/>
      <c r="J79" s="242"/>
    </row>
    <row r="80" spans="1:10" ht="12.75">
      <c r="A80" s="90">
        <v>42709</v>
      </c>
      <c r="B80" s="366">
        <f t="shared" si="7"/>
        <v>66</v>
      </c>
      <c r="C80" s="41">
        <f t="shared" si="8"/>
        <v>6062160</v>
      </c>
      <c r="D80" s="41">
        <f>D78</f>
        <v>159540</v>
      </c>
      <c r="E80" s="361"/>
      <c r="F80" s="41"/>
      <c r="G80" s="41"/>
      <c r="H80" s="91"/>
      <c r="I80" s="91"/>
      <c r="J80" s="242"/>
    </row>
    <row r="81" spans="1:10" ht="12.75">
      <c r="A81" s="97">
        <v>42735</v>
      </c>
      <c r="B81" s="367">
        <f t="shared" si="7"/>
        <v>26</v>
      </c>
      <c r="C81" s="99">
        <f t="shared" si="8"/>
        <v>6062160</v>
      </c>
      <c r="D81" s="99"/>
      <c r="E81" s="362">
        <f>E79</f>
        <v>0.04612</v>
      </c>
      <c r="F81" s="99">
        <f>((C80+D80)*E81/360*B80)+((C81+D81)*E81/360*B81)</f>
        <v>72798.92878666666</v>
      </c>
      <c r="G81" s="99">
        <f>G79</f>
        <v>2064</v>
      </c>
      <c r="H81" s="359">
        <f>SUM(F75:G81)</f>
        <v>309078.50416666665</v>
      </c>
      <c r="I81" s="359">
        <f>SUM(D74:D81)</f>
        <v>638160</v>
      </c>
      <c r="J81" s="360">
        <f>SUM(H81:I81)</f>
        <v>947238.5041666667</v>
      </c>
    </row>
    <row r="82" spans="1:10" ht="12.75">
      <c r="A82" s="103">
        <v>42799</v>
      </c>
      <c r="B82" s="365">
        <f t="shared" si="7"/>
        <v>64</v>
      </c>
      <c r="C82" s="42">
        <f t="shared" si="8"/>
        <v>5902620</v>
      </c>
      <c r="D82" s="42">
        <f>D80</f>
        <v>159540</v>
      </c>
      <c r="E82" s="104"/>
      <c r="F82" s="104"/>
      <c r="G82" s="104"/>
      <c r="H82" s="104"/>
      <c r="I82" s="104"/>
      <c r="J82" s="253"/>
    </row>
    <row r="83" spans="1:10" ht="12.75">
      <c r="A83" s="90">
        <v>42825</v>
      </c>
      <c r="B83" s="366">
        <f t="shared" si="7"/>
        <v>26</v>
      </c>
      <c r="C83" s="41">
        <f t="shared" si="8"/>
        <v>5902620</v>
      </c>
      <c r="D83" s="41"/>
      <c r="E83" s="361">
        <f>E81</f>
        <v>0.04612</v>
      </c>
      <c r="F83" s="41">
        <f>((C82+D82)*E83/360*B82)+((C83+D83)*E83/360*B83)</f>
        <v>69365.29478666667</v>
      </c>
      <c r="G83" s="41">
        <f>G81</f>
        <v>2064</v>
      </c>
      <c r="H83" s="91"/>
      <c r="I83" s="91"/>
      <c r="J83" s="242"/>
    </row>
    <row r="84" spans="1:10" ht="12.75">
      <c r="A84" s="90">
        <v>42891</v>
      </c>
      <c r="B84" s="366">
        <f t="shared" si="7"/>
        <v>66</v>
      </c>
      <c r="C84" s="41">
        <f t="shared" si="8"/>
        <v>5743080</v>
      </c>
      <c r="D84" s="41">
        <f>D82</f>
        <v>159540</v>
      </c>
      <c r="E84" s="361"/>
      <c r="F84" s="41"/>
      <c r="G84" s="41"/>
      <c r="H84" s="91"/>
      <c r="I84" s="91"/>
      <c r="J84" s="242"/>
    </row>
    <row r="85" spans="1:10" ht="12.75">
      <c r="A85" s="90">
        <v>42916</v>
      </c>
      <c r="B85" s="366">
        <f t="shared" si="7"/>
        <v>25</v>
      </c>
      <c r="C85" s="41">
        <f t="shared" si="8"/>
        <v>5743080</v>
      </c>
      <c r="D85" s="41"/>
      <c r="E85" s="361">
        <f>E83</f>
        <v>0.04612</v>
      </c>
      <c r="F85" s="41">
        <f>((C84+D84)*E85/360*B84)+((C85+D85)*E85/360*B85)</f>
        <v>68302.42864</v>
      </c>
      <c r="G85" s="41">
        <f>G83</f>
        <v>2064</v>
      </c>
      <c r="H85" s="91"/>
      <c r="I85" s="91"/>
      <c r="J85" s="242"/>
    </row>
    <row r="86" spans="1:10" ht="12.75">
      <c r="A86" s="90">
        <v>42983</v>
      </c>
      <c r="B86" s="366">
        <f t="shared" si="7"/>
        <v>67</v>
      </c>
      <c r="C86" s="41">
        <f t="shared" si="8"/>
        <v>5583540</v>
      </c>
      <c r="D86" s="41">
        <f>D84</f>
        <v>159540</v>
      </c>
      <c r="E86" s="361"/>
      <c r="F86" s="41"/>
      <c r="G86" s="41"/>
      <c r="H86" s="91"/>
      <c r="I86" s="91"/>
      <c r="J86" s="242"/>
    </row>
    <row r="87" spans="1:10" ht="12.75">
      <c r="A87" s="90">
        <v>43008</v>
      </c>
      <c r="B87" s="366">
        <f t="shared" si="7"/>
        <v>25</v>
      </c>
      <c r="C87" s="41">
        <f t="shared" si="8"/>
        <v>5583540</v>
      </c>
      <c r="D87" s="41"/>
      <c r="E87" s="361">
        <f>E85</f>
        <v>0.04612</v>
      </c>
      <c r="F87" s="41">
        <f>((C86+D86)*E87/360*B86)+((C87+D87)*E87/360*B87)</f>
        <v>67178.24595333335</v>
      </c>
      <c r="G87" s="41">
        <f>G85</f>
        <v>2064</v>
      </c>
      <c r="H87" s="91"/>
      <c r="I87" s="91"/>
      <c r="J87" s="242"/>
    </row>
    <row r="88" spans="1:10" ht="12.75">
      <c r="A88" s="90">
        <v>43074</v>
      </c>
      <c r="B88" s="366">
        <f t="shared" si="7"/>
        <v>66</v>
      </c>
      <c r="C88" s="41">
        <f t="shared" si="8"/>
        <v>5424000</v>
      </c>
      <c r="D88" s="41">
        <f>D86</f>
        <v>159540</v>
      </c>
      <c r="E88" s="361"/>
      <c r="F88" s="41"/>
      <c r="G88" s="41"/>
      <c r="H88" s="91"/>
      <c r="I88" s="91"/>
      <c r="J88" s="242"/>
    </row>
    <row r="89" spans="1:10" ht="12.75">
      <c r="A89" s="97">
        <v>43100</v>
      </c>
      <c r="B89" s="367">
        <f t="shared" si="7"/>
        <v>26</v>
      </c>
      <c r="C89" s="99">
        <f t="shared" si="8"/>
        <v>5424000</v>
      </c>
      <c r="D89" s="99"/>
      <c r="E89" s="362">
        <f>E87</f>
        <v>0.04612</v>
      </c>
      <c r="F89" s="99">
        <f>((C88+D88)*E89/360*B88)+((C89+D89)*E89/360*B89)</f>
        <v>65277.43321333334</v>
      </c>
      <c r="G89" s="99">
        <f>G87</f>
        <v>2064</v>
      </c>
      <c r="H89" s="359">
        <f>SUM(F83:G89)</f>
        <v>278379.4025933334</v>
      </c>
      <c r="I89" s="359">
        <f>SUM(D82:D89)</f>
        <v>638160</v>
      </c>
      <c r="J89" s="360">
        <f>SUM(H89:I89)</f>
        <v>916539.4025933334</v>
      </c>
    </row>
    <row r="90" spans="1:10" ht="12.75">
      <c r="A90" s="103">
        <v>43164</v>
      </c>
      <c r="B90" s="365">
        <f t="shared" si="7"/>
        <v>64</v>
      </c>
      <c r="C90" s="42">
        <f t="shared" si="8"/>
        <v>5264460</v>
      </c>
      <c r="D90" s="42">
        <f>D88</f>
        <v>159540</v>
      </c>
      <c r="E90" s="104"/>
      <c r="F90" s="104"/>
      <c r="G90" s="104"/>
      <c r="H90" s="104"/>
      <c r="I90" s="104"/>
      <c r="J90" s="253"/>
    </row>
    <row r="91" spans="1:10" ht="12.75">
      <c r="A91" s="90">
        <v>43190</v>
      </c>
      <c r="B91" s="366">
        <f t="shared" si="7"/>
        <v>26</v>
      </c>
      <c r="C91" s="41">
        <f t="shared" si="8"/>
        <v>5264460</v>
      </c>
      <c r="D91" s="41"/>
      <c r="E91" s="361">
        <f>E89</f>
        <v>0.04612</v>
      </c>
      <c r="F91" s="41">
        <f>((C90+D90)*E91/360*B90)+((C91+D91)*E91/360*B91)</f>
        <v>62007.309986666674</v>
      </c>
      <c r="G91" s="41">
        <f>G89</f>
        <v>2064</v>
      </c>
      <c r="H91" s="91"/>
      <c r="I91" s="91"/>
      <c r="J91" s="242"/>
    </row>
    <row r="92" spans="1:10" ht="12.75">
      <c r="A92" s="90">
        <v>43256</v>
      </c>
      <c r="B92" s="366">
        <f t="shared" si="7"/>
        <v>66</v>
      </c>
      <c r="C92" s="41">
        <f t="shared" si="8"/>
        <v>5104920</v>
      </c>
      <c r="D92" s="41">
        <f>D90</f>
        <v>159540</v>
      </c>
      <c r="E92" s="361"/>
      <c r="F92" s="41"/>
      <c r="G92" s="41"/>
      <c r="H92" s="91"/>
      <c r="I92" s="91"/>
      <c r="J92" s="242"/>
    </row>
    <row r="93" spans="1:10" ht="12.75">
      <c r="A93" s="90">
        <v>43281</v>
      </c>
      <c r="B93" s="366">
        <f t="shared" si="7"/>
        <v>25</v>
      </c>
      <c r="C93" s="41">
        <f t="shared" si="8"/>
        <v>5104920</v>
      </c>
      <c r="D93" s="41"/>
      <c r="E93" s="361">
        <f>E91</f>
        <v>0.04612</v>
      </c>
      <c r="F93" s="41">
        <f>((C92+D92)*E93/360*B92)+((C93+D93)*E93/360*B93)</f>
        <v>60862.688453333336</v>
      </c>
      <c r="G93" s="41">
        <f>G91</f>
        <v>2064</v>
      </c>
      <c r="H93" s="91"/>
      <c r="I93" s="91"/>
      <c r="J93" s="242"/>
    </row>
    <row r="94" spans="1:10" ht="12.75">
      <c r="A94" s="90">
        <v>43348</v>
      </c>
      <c r="B94" s="366">
        <f t="shared" si="7"/>
        <v>67</v>
      </c>
      <c r="C94" s="41">
        <f t="shared" si="8"/>
        <v>4945380</v>
      </c>
      <c r="D94" s="41">
        <f>D92</f>
        <v>159540</v>
      </c>
      <c r="E94" s="361"/>
      <c r="F94" s="41"/>
      <c r="G94" s="41"/>
      <c r="H94" s="91"/>
      <c r="I94" s="91"/>
      <c r="J94" s="242"/>
    </row>
    <row r="95" spans="1:10" ht="12.75">
      <c r="A95" s="90">
        <v>43373</v>
      </c>
      <c r="B95" s="366">
        <f t="shared" si="7"/>
        <v>25</v>
      </c>
      <c r="C95" s="41">
        <f t="shared" si="8"/>
        <v>4945380</v>
      </c>
      <c r="D95" s="41"/>
      <c r="E95" s="361">
        <f>E93</f>
        <v>0.04612</v>
      </c>
      <c r="F95" s="41">
        <f>((C94+D94)*E95/360*B94)+((C95+D95)*E95/360*B95)</f>
        <v>59656.75038</v>
      </c>
      <c r="G95" s="41">
        <f>G93</f>
        <v>2064</v>
      </c>
      <c r="H95" s="91"/>
      <c r="I95" s="91"/>
      <c r="J95" s="242"/>
    </row>
    <row r="96" spans="1:10" ht="12.75">
      <c r="A96" s="90">
        <v>43439</v>
      </c>
      <c r="B96" s="366">
        <f t="shared" si="7"/>
        <v>66</v>
      </c>
      <c r="C96" s="41">
        <f t="shared" si="8"/>
        <v>4785840</v>
      </c>
      <c r="D96" s="41">
        <f>D94</f>
        <v>159540</v>
      </c>
      <c r="E96" s="361"/>
      <c r="F96" s="41"/>
      <c r="G96" s="41"/>
      <c r="H96" s="91"/>
      <c r="I96" s="91"/>
      <c r="J96" s="242"/>
    </row>
    <row r="97" spans="1:10" ht="12.75">
      <c r="A97" s="97">
        <v>43465</v>
      </c>
      <c r="B97" s="367">
        <f t="shared" si="7"/>
        <v>26</v>
      </c>
      <c r="C97" s="99">
        <f t="shared" si="8"/>
        <v>4785840</v>
      </c>
      <c r="D97" s="99"/>
      <c r="E97" s="362">
        <f>E95</f>
        <v>0.04612</v>
      </c>
      <c r="F97" s="99">
        <f>((C96+D96)*E97/360*B96)+((C97+D97)*E97/360*B97)</f>
        <v>57755.937640000004</v>
      </c>
      <c r="G97" s="99">
        <f>G95</f>
        <v>2064</v>
      </c>
      <c r="H97" s="359">
        <f>SUM(F91:G97)</f>
        <v>248538.68646</v>
      </c>
      <c r="I97" s="359">
        <f>SUM(D90:D97)</f>
        <v>638160</v>
      </c>
      <c r="J97" s="360">
        <f>SUM(H97:I97)</f>
        <v>886698.68646</v>
      </c>
    </row>
    <row r="98" spans="1:10" ht="12.75">
      <c r="A98" s="103">
        <v>43529</v>
      </c>
      <c r="B98" s="365">
        <f t="shared" si="7"/>
        <v>64</v>
      </c>
      <c r="C98" s="42">
        <f t="shared" si="8"/>
        <v>4626300</v>
      </c>
      <c r="D98" s="42">
        <f>D96</f>
        <v>159540</v>
      </c>
      <c r="E98" s="104"/>
      <c r="F98" s="104"/>
      <c r="G98" s="104"/>
      <c r="H98" s="104"/>
      <c r="I98" s="104"/>
      <c r="J98" s="253"/>
    </row>
    <row r="99" spans="1:10" ht="12.75">
      <c r="A99" s="90">
        <v>43555</v>
      </c>
      <c r="B99" s="366">
        <f t="shared" si="7"/>
        <v>26</v>
      </c>
      <c r="C99" s="41">
        <f t="shared" si="8"/>
        <v>4626300</v>
      </c>
      <c r="D99" s="41"/>
      <c r="E99" s="361">
        <f>E97</f>
        <v>0.04612</v>
      </c>
      <c r="F99" s="41">
        <f>((C98+D98)*E99/360*B98)+((C99+D99)*E99/360*B99)</f>
        <v>54649.32518666667</v>
      </c>
      <c r="G99" s="41">
        <f>G97</f>
        <v>2064</v>
      </c>
      <c r="H99" s="91"/>
      <c r="I99" s="91"/>
      <c r="J99" s="242"/>
    </row>
    <row r="100" spans="1:10" ht="12.75">
      <c r="A100" s="90">
        <v>43621</v>
      </c>
      <c r="B100" s="366">
        <f t="shared" si="7"/>
        <v>66</v>
      </c>
      <c r="C100" s="41">
        <f t="shared" si="8"/>
        <v>4466760</v>
      </c>
      <c r="D100" s="41">
        <f>D98</f>
        <v>159540</v>
      </c>
      <c r="E100" s="361"/>
      <c r="F100" s="41"/>
      <c r="G100" s="41"/>
      <c r="H100" s="91"/>
      <c r="I100" s="91"/>
      <c r="J100" s="242"/>
    </row>
    <row r="101" spans="1:10" ht="12.75">
      <c r="A101" s="90">
        <v>43646</v>
      </c>
      <c r="B101" s="366">
        <f t="shared" si="7"/>
        <v>25</v>
      </c>
      <c r="C101" s="41">
        <f t="shared" si="8"/>
        <v>4466760</v>
      </c>
      <c r="D101" s="41"/>
      <c r="E101" s="361">
        <f>E99</f>
        <v>0.04612</v>
      </c>
      <c r="F101" s="41">
        <f>((C100+D100)*E101/360*B100)+((C101+D101)*E101/360*B101)</f>
        <v>53422.948266666666</v>
      </c>
      <c r="G101" s="41">
        <f>G99</f>
        <v>2064</v>
      </c>
      <c r="H101" s="91"/>
      <c r="I101" s="91"/>
      <c r="J101" s="242"/>
    </row>
    <row r="102" spans="1:10" ht="12.75">
      <c r="A102" s="90">
        <v>43713</v>
      </c>
      <c r="B102" s="366">
        <f t="shared" si="7"/>
        <v>67</v>
      </c>
      <c r="C102" s="41">
        <f t="shared" si="8"/>
        <v>4307220</v>
      </c>
      <c r="D102" s="41">
        <f>D100</f>
        <v>159540</v>
      </c>
      <c r="E102" s="361"/>
      <c r="F102" s="41"/>
      <c r="G102" s="41"/>
      <c r="H102" s="91"/>
      <c r="I102" s="91"/>
      <c r="J102" s="242"/>
    </row>
    <row r="103" spans="1:10" ht="12.75">
      <c r="A103" s="90">
        <v>43738</v>
      </c>
      <c r="B103" s="366">
        <f t="shared" si="7"/>
        <v>25</v>
      </c>
      <c r="C103" s="41">
        <f t="shared" si="8"/>
        <v>4307220</v>
      </c>
      <c r="D103" s="41"/>
      <c r="E103" s="361">
        <f>E101</f>
        <v>0.04612</v>
      </c>
      <c r="F103" s="41">
        <f>((C102+D102)*E103/360*B102)+((C103+D103)*E103/360*B103)</f>
        <v>52135.254806666664</v>
      </c>
      <c r="G103" s="41">
        <f>G101</f>
        <v>2064</v>
      </c>
      <c r="H103" s="91"/>
      <c r="I103" s="91"/>
      <c r="J103" s="242"/>
    </row>
    <row r="104" spans="1:10" ht="12.75">
      <c r="A104" s="90">
        <v>43804</v>
      </c>
      <c r="B104" s="366">
        <f t="shared" si="7"/>
        <v>66</v>
      </c>
      <c r="C104" s="41">
        <f t="shared" si="8"/>
        <v>4147680</v>
      </c>
      <c r="D104" s="41">
        <f>D102</f>
        <v>159540</v>
      </c>
      <c r="E104" s="361"/>
      <c r="F104" s="41"/>
      <c r="G104" s="41"/>
      <c r="H104" s="91"/>
      <c r="I104" s="91"/>
      <c r="J104" s="242"/>
    </row>
    <row r="105" spans="1:10" ht="12.75">
      <c r="A105" s="97">
        <v>43830</v>
      </c>
      <c r="B105" s="367">
        <f t="shared" si="7"/>
        <v>26</v>
      </c>
      <c r="C105" s="99">
        <f t="shared" si="8"/>
        <v>4147680</v>
      </c>
      <c r="D105" s="99"/>
      <c r="E105" s="362">
        <f>E103</f>
        <v>0.04612</v>
      </c>
      <c r="F105" s="99">
        <f>((C104+D104)*E105/360*B104)+((C105+D105)*E105/360*B105)</f>
        <v>50234.44206666666</v>
      </c>
      <c r="G105" s="99">
        <f>G103</f>
        <v>2064</v>
      </c>
      <c r="H105" s="359">
        <f>SUM(F99:G105)</f>
        <v>218697.97032666666</v>
      </c>
      <c r="I105" s="359">
        <f>SUM(D98:D105)</f>
        <v>638160</v>
      </c>
      <c r="J105" s="360">
        <f>SUM(H105:I105)</f>
        <v>856857.9703266667</v>
      </c>
    </row>
    <row r="106" spans="1:10" ht="12.75">
      <c r="A106" s="103">
        <v>43895</v>
      </c>
      <c r="B106" s="365">
        <f aca="true" t="shared" si="9" ref="B106:B137">A106-A105</f>
        <v>65</v>
      </c>
      <c r="C106" s="42">
        <f aca="true" t="shared" si="10" ref="C106:C137">C105-D106</f>
        <v>3988140</v>
      </c>
      <c r="D106" s="42">
        <f>D104</f>
        <v>159540</v>
      </c>
      <c r="E106" s="104"/>
      <c r="F106" s="104"/>
      <c r="G106" s="104"/>
      <c r="H106" s="104"/>
      <c r="I106" s="104"/>
      <c r="J106" s="253"/>
    </row>
    <row r="107" spans="1:10" ht="12.75">
      <c r="A107" s="90">
        <v>43921</v>
      </c>
      <c r="B107" s="366">
        <f t="shared" si="9"/>
        <v>26</v>
      </c>
      <c r="C107" s="41">
        <f t="shared" si="10"/>
        <v>3988140</v>
      </c>
      <c r="D107" s="41"/>
      <c r="E107" s="361">
        <f>E105</f>
        <v>0.04612</v>
      </c>
      <c r="F107" s="41">
        <f>((C106+D106)*E107/360*B106)+((C107+D107)*E107/360*B107)</f>
        <v>47822.704280000005</v>
      </c>
      <c r="G107" s="41">
        <f>G105</f>
        <v>2064</v>
      </c>
      <c r="H107" s="91"/>
      <c r="I107" s="91"/>
      <c r="J107" s="242"/>
    </row>
    <row r="108" spans="1:10" ht="12.75">
      <c r="A108" s="90">
        <v>43987</v>
      </c>
      <c r="B108" s="366">
        <f t="shared" si="9"/>
        <v>66</v>
      </c>
      <c r="C108" s="41">
        <f t="shared" si="10"/>
        <v>3828600</v>
      </c>
      <c r="D108" s="41">
        <f>D106</f>
        <v>159540</v>
      </c>
      <c r="E108" s="361"/>
      <c r="F108" s="41"/>
      <c r="G108" s="41"/>
      <c r="H108" s="91"/>
      <c r="I108" s="91"/>
      <c r="J108" s="242"/>
    </row>
    <row r="109" spans="1:10" ht="12.75">
      <c r="A109" s="90">
        <v>44012</v>
      </c>
      <c r="B109" s="366">
        <f t="shared" si="9"/>
        <v>25</v>
      </c>
      <c r="C109" s="41">
        <f t="shared" si="10"/>
        <v>3828600</v>
      </c>
      <c r="D109" s="41"/>
      <c r="E109" s="361">
        <f>E107</f>
        <v>0.04612</v>
      </c>
      <c r="F109" s="41">
        <f>((C108+D108)*E109/360*B108)+((C109+D109)*E109/360*B109)</f>
        <v>45983.20808</v>
      </c>
      <c r="G109" s="41">
        <f>G107</f>
        <v>2064</v>
      </c>
      <c r="H109" s="91"/>
      <c r="I109" s="91"/>
      <c r="J109" s="242"/>
    </row>
    <row r="110" spans="1:10" ht="12.75">
      <c r="A110" s="90">
        <v>44079</v>
      </c>
      <c r="B110" s="366">
        <f t="shared" si="9"/>
        <v>67</v>
      </c>
      <c r="C110" s="41">
        <f t="shared" si="10"/>
        <v>3669060</v>
      </c>
      <c r="D110" s="41">
        <f>D108</f>
        <v>159540</v>
      </c>
      <c r="E110" s="361"/>
      <c r="F110" s="41"/>
      <c r="G110" s="41"/>
      <c r="H110" s="91"/>
      <c r="I110" s="91"/>
      <c r="J110" s="242"/>
    </row>
    <row r="111" spans="1:10" ht="12.75">
      <c r="A111" s="90">
        <v>44104</v>
      </c>
      <c r="B111" s="366">
        <f t="shared" si="9"/>
        <v>25</v>
      </c>
      <c r="C111" s="41">
        <f t="shared" si="10"/>
        <v>3669060</v>
      </c>
      <c r="D111" s="41"/>
      <c r="E111" s="361">
        <f>E109</f>
        <v>0.04612</v>
      </c>
      <c r="F111" s="41">
        <f>((C110+D110)*E111/360*B110)+((C111+D111)*E111/360*B111)</f>
        <v>44613.75923333333</v>
      </c>
      <c r="G111" s="41">
        <f>G109</f>
        <v>2064</v>
      </c>
      <c r="H111" s="91"/>
      <c r="I111" s="91"/>
      <c r="J111" s="242"/>
    </row>
    <row r="112" spans="1:10" ht="12.75">
      <c r="A112" s="90">
        <v>44170</v>
      </c>
      <c r="B112" s="366">
        <f t="shared" si="9"/>
        <v>66</v>
      </c>
      <c r="C112" s="41">
        <f t="shared" si="10"/>
        <v>3509520</v>
      </c>
      <c r="D112" s="41">
        <f>D110</f>
        <v>159540</v>
      </c>
      <c r="E112" s="361"/>
      <c r="F112" s="41"/>
      <c r="G112" s="41"/>
      <c r="H112" s="91"/>
      <c r="I112" s="91"/>
      <c r="J112" s="242"/>
    </row>
    <row r="113" spans="1:10" ht="12.75">
      <c r="A113" s="97">
        <v>44196</v>
      </c>
      <c r="B113" s="367">
        <f t="shared" si="9"/>
        <v>26</v>
      </c>
      <c r="C113" s="99">
        <f t="shared" si="10"/>
        <v>3509520</v>
      </c>
      <c r="D113" s="99"/>
      <c r="E113" s="362">
        <f>E111</f>
        <v>0.04612</v>
      </c>
      <c r="F113" s="99">
        <f>((C112+D112)*E113/360*B112)+((C113+D113)*E113/360*B113)</f>
        <v>42712.94649333333</v>
      </c>
      <c r="G113" s="99">
        <f>G111</f>
        <v>2064</v>
      </c>
      <c r="H113" s="359">
        <f>SUM(F107:G113)</f>
        <v>189388.61808666665</v>
      </c>
      <c r="I113" s="359">
        <f>SUM(D106:D113)</f>
        <v>638160</v>
      </c>
      <c r="J113" s="360">
        <f>SUM(H113:I113)</f>
        <v>827548.6180866667</v>
      </c>
    </row>
    <row r="114" spans="1:10" ht="12.75">
      <c r="A114" s="103">
        <v>44260</v>
      </c>
      <c r="B114" s="365">
        <f t="shared" si="9"/>
        <v>64</v>
      </c>
      <c r="C114" s="42">
        <f t="shared" si="10"/>
        <v>3349980</v>
      </c>
      <c r="D114" s="42">
        <f>D112</f>
        <v>159540</v>
      </c>
      <c r="E114" s="104"/>
      <c r="F114" s="104"/>
      <c r="G114" s="104"/>
      <c r="H114" s="104"/>
      <c r="I114" s="104"/>
      <c r="J114" s="253"/>
    </row>
    <row r="115" spans="1:10" ht="12.75">
      <c r="A115" s="90">
        <v>44286</v>
      </c>
      <c r="B115" s="366">
        <f t="shared" si="9"/>
        <v>26</v>
      </c>
      <c r="C115" s="41">
        <f t="shared" si="10"/>
        <v>3349980</v>
      </c>
      <c r="D115" s="41"/>
      <c r="E115" s="361">
        <f>E113</f>
        <v>0.04612</v>
      </c>
      <c r="F115" s="41">
        <f>((C114+D114)*E115/360*B114)+((C115+D115)*E115/360*B115)</f>
        <v>39933.355586666665</v>
      </c>
      <c r="G115" s="41">
        <f>G113</f>
        <v>2064</v>
      </c>
      <c r="H115" s="91"/>
      <c r="I115" s="91"/>
      <c r="J115" s="242"/>
    </row>
    <row r="116" spans="1:10" ht="12.75">
      <c r="A116" s="90">
        <v>44352</v>
      </c>
      <c r="B116" s="366">
        <f t="shared" si="9"/>
        <v>66</v>
      </c>
      <c r="C116" s="41">
        <f t="shared" si="10"/>
        <v>3190440</v>
      </c>
      <c r="D116" s="41">
        <f>D114</f>
        <v>159540</v>
      </c>
      <c r="E116" s="361"/>
      <c r="F116" s="41"/>
      <c r="G116" s="41"/>
      <c r="H116" s="91"/>
      <c r="I116" s="91"/>
      <c r="J116" s="242"/>
    </row>
    <row r="117" spans="1:10" ht="12.75">
      <c r="A117" s="90">
        <v>44377</v>
      </c>
      <c r="B117" s="366">
        <f t="shared" si="9"/>
        <v>25</v>
      </c>
      <c r="C117" s="41">
        <f t="shared" si="10"/>
        <v>3190440</v>
      </c>
      <c r="D117" s="41"/>
      <c r="E117" s="361">
        <f>E115</f>
        <v>0.04612</v>
      </c>
      <c r="F117" s="41">
        <f>((C116+D116)*E117/360*B116)+((C117+D117)*E117/360*B117)</f>
        <v>38543.467893333334</v>
      </c>
      <c r="G117" s="41">
        <f>G115</f>
        <v>2064</v>
      </c>
      <c r="H117" s="91"/>
      <c r="I117" s="91"/>
      <c r="J117" s="242"/>
    </row>
    <row r="118" spans="1:10" ht="12.75">
      <c r="A118" s="90">
        <v>44444</v>
      </c>
      <c r="B118" s="366">
        <f t="shared" si="9"/>
        <v>67</v>
      </c>
      <c r="C118" s="41">
        <f t="shared" si="10"/>
        <v>3030900</v>
      </c>
      <c r="D118" s="41">
        <f>D116</f>
        <v>159540</v>
      </c>
      <c r="E118" s="361"/>
      <c r="F118" s="41"/>
      <c r="G118" s="41"/>
      <c r="H118" s="91"/>
      <c r="I118" s="91"/>
      <c r="J118" s="242"/>
    </row>
    <row r="119" spans="1:10" ht="12.75">
      <c r="A119" s="90">
        <v>44469</v>
      </c>
      <c r="B119" s="366">
        <f t="shared" si="9"/>
        <v>25</v>
      </c>
      <c r="C119" s="41">
        <f t="shared" si="10"/>
        <v>3030900</v>
      </c>
      <c r="D119" s="41"/>
      <c r="E119" s="361">
        <f>E117</f>
        <v>0.04612</v>
      </c>
      <c r="F119" s="41">
        <f>((C118+D118)*E119/360*B118)+((C119+D119)*E119/360*B119)</f>
        <v>37092.26366</v>
      </c>
      <c r="G119" s="41">
        <f>G117</f>
        <v>2064</v>
      </c>
      <c r="H119" s="91"/>
      <c r="I119" s="91"/>
      <c r="J119" s="242"/>
    </row>
    <row r="120" spans="1:10" ht="12.75">
      <c r="A120" s="90">
        <v>44535</v>
      </c>
      <c r="B120" s="366">
        <f t="shared" si="9"/>
        <v>66</v>
      </c>
      <c r="C120" s="41">
        <f t="shared" si="10"/>
        <v>2871360</v>
      </c>
      <c r="D120" s="41">
        <f>D118</f>
        <v>159540</v>
      </c>
      <c r="E120" s="361"/>
      <c r="F120" s="41"/>
      <c r="G120" s="41"/>
      <c r="H120" s="91"/>
      <c r="I120" s="91"/>
      <c r="J120" s="242"/>
    </row>
    <row r="121" spans="1:10" ht="12.75">
      <c r="A121" s="97">
        <v>44561</v>
      </c>
      <c r="B121" s="367">
        <f t="shared" si="9"/>
        <v>26</v>
      </c>
      <c r="C121" s="99">
        <f t="shared" si="10"/>
        <v>2871360</v>
      </c>
      <c r="D121" s="99"/>
      <c r="E121" s="362">
        <f>E119</f>
        <v>0.04612</v>
      </c>
      <c r="F121" s="99">
        <f>((C120+D120)*E121/360*B120)+((C121+D121)*E121/360*B121)</f>
        <v>35191.45092</v>
      </c>
      <c r="G121" s="99">
        <f>G119</f>
        <v>2064</v>
      </c>
      <c r="H121" s="359">
        <f>SUM(F115:G121)</f>
        <v>159016.53806</v>
      </c>
      <c r="I121" s="359">
        <f>SUM(D114:D121)</f>
        <v>638160</v>
      </c>
      <c r="J121" s="360">
        <f>SUM(H121:I121)</f>
        <v>797176.5380599999</v>
      </c>
    </row>
    <row r="122" spans="1:10" ht="12.75">
      <c r="A122" s="103">
        <v>44625</v>
      </c>
      <c r="B122" s="365">
        <f t="shared" si="9"/>
        <v>64</v>
      </c>
      <c r="C122" s="42">
        <f t="shared" si="10"/>
        <v>2711820</v>
      </c>
      <c r="D122" s="42">
        <f>D120</f>
        <v>159540</v>
      </c>
      <c r="E122" s="104"/>
      <c r="F122" s="104"/>
      <c r="G122" s="104"/>
      <c r="H122" s="104"/>
      <c r="I122" s="104"/>
      <c r="J122" s="253"/>
    </row>
    <row r="123" spans="1:10" ht="12.75">
      <c r="A123" s="90">
        <v>44651</v>
      </c>
      <c r="B123" s="366">
        <f t="shared" si="9"/>
        <v>26</v>
      </c>
      <c r="C123" s="41">
        <f t="shared" si="10"/>
        <v>2711820</v>
      </c>
      <c r="D123" s="41"/>
      <c r="E123" s="361">
        <f>E121</f>
        <v>0.04612</v>
      </c>
      <c r="F123" s="41">
        <f>((C122+D122)*E123/360*B122)+((C123+D123)*E123/360*B123)</f>
        <v>32575.370786666666</v>
      </c>
      <c r="G123" s="41">
        <f>G121</f>
        <v>2064</v>
      </c>
      <c r="H123" s="91"/>
      <c r="I123" s="91"/>
      <c r="J123" s="242"/>
    </row>
    <row r="124" spans="1:10" ht="12.75">
      <c r="A124" s="90">
        <v>44717</v>
      </c>
      <c r="B124" s="366">
        <f t="shared" si="9"/>
        <v>66</v>
      </c>
      <c r="C124" s="41">
        <f t="shared" si="10"/>
        <v>2552280</v>
      </c>
      <c r="D124" s="41">
        <f>D122</f>
        <v>159540</v>
      </c>
      <c r="E124" s="361"/>
      <c r="F124" s="41"/>
      <c r="G124" s="41"/>
      <c r="H124" s="91"/>
      <c r="I124" s="91"/>
      <c r="J124" s="242"/>
    </row>
    <row r="125" spans="1:10" ht="12.75">
      <c r="A125" s="90">
        <v>44742</v>
      </c>
      <c r="B125" s="366">
        <f t="shared" si="9"/>
        <v>25</v>
      </c>
      <c r="C125" s="41">
        <f t="shared" si="10"/>
        <v>2552280</v>
      </c>
      <c r="D125" s="41"/>
      <c r="E125" s="361">
        <f>E123</f>
        <v>0.04612</v>
      </c>
      <c r="F125" s="41">
        <f>((C124+D124)*E125/360*B124)+((C125+D125)*E125/360*B125)</f>
        <v>31103.727706666665</v>
      </c>
      <c r="G125" s="41">
        <f>G123</f>
        <v>2064</v>
      </c>
      <c r="H125" s="91"/>
      <c r="I125" s="91"/>
      <c r="J125" s="242"/>
    </row>
    <row r="126" spans="1:10" ht="12.75">
      <c r="A126" s="90">
        <v>44809</v>
      </c>
      <c r="B126" s="366">
        <f t="shared" si="9"/>
        <v>67</v>
      </c>
      <c r="C126" s="41">
        <f t="shared" si="10"/>
        <v>2392740</v>
      </c>
      <c r="D126" s="41">
        <f>D124</f>
        <v>159540</v>
      </c>
      <c r="E126" s="361"/>
      <c r="F126" s="41"/>
      <c r="G126" s="41"/>
      <c r="H126" s="91"/>
      <c r="I126" s="91"/>
      <c r="J126" s="242"/>
    </row>
    <row r="127" spans="1:10" ht="12.75">
      <c r="A127" s="90">
        <v>44834</v>
      </c>
      <c r="B127" s="366">
        <f t="shared" si="9"/>
        <v>25</v>
      </c>
      <c r="C127" s="41">
        <f t="shared" si="10"/>
        <v>2392740</v>
      </c>
      <c r="D127" s="41"/>
      <c r="E127" s="361">
        <f>E125</f>
        <v>0.04612</v>
      </c>
      <c r="F127" s="41">
        <f>((C126+D126)*E127/360*B126)+((C127+D127)*E127/360*B127)</f>
        <v>29570.76808666667</v>
      </c>
      <c r="G127" s="41">
        <f>G125</f>
        <v>2064</v>
      </c>
      <c r="H127" s="91"/>
      <c r="I127" s="91"/>
      <c r="J127" s="242"/>
    </row>
    <row r="128" spans="1:10" ht="12.75">
      <c r="A128" s="90">
        <v>44900</v>
      </c>
      <c r="B128" s="366">
        <f t="shared" si="9"/>
        <v>66</v>
      </c>
      <c r="C128" s="41">
        <f t="shared" si="10"/>
        <v>2233200</v>
      </c>
      <c r="D128" s="41">
        <f>D126</f>
        <v>159540</v>
      </c>
      <c r="E128" s="361"/>
      <c r="F128" s="41"/>
      <c r="G128" s="41"/>
      <c r="H128" s="91"/>
      <c r="I128" s="91"/>
      <c r="J128" s="242"/>
    </row>
    <row r="129" spans="1:10" ht="12.75">
      <c r="A129" s="97">
        <v>44926</v>
      </c>
      <c r="B129" s="367">
        <f t="shared" si="9"/>
        <v>26</v>
      </c>
      <c r="C129" s="99">
        <f t="shared" si="10"/>
        <v>2233200</v>
      </c>
      <c r="D129" s="99"/>
      <c r="E129" s="362">
        <f>E127</f>
        <v>0.04612</v>
      </c>
      <c r="F129" s="99">
        <f>((C128+D128)*E129/360*B128)+((C129+D129)*E129/360*B129)</f>
        <v>27669.95534666667</v>
      </c>
      <c r="G129" s="99">
        <f>G127</f>
        <v>2064</v>
      </c>
      <c r="H129" s="359">
        <f>SUM(F123:G129)</f>
        <v>129175.82192666667</v>
      </c>
      <c r="I129" s="359">
        <f>SUM(D122:D129)</f>
        <v>638160</v>
      </c>
      <c r="J129" s="360">
        <f>SUM(H129:I129)</f>
        <v>767335.8219266667</v>
      </c>
    </row>
    <row r="130" spans="1:10" ht="12.75">
      <c r="A130" s="103">
        <v>44990</v>
      </c>
      <c r="B130" s="365">
        <f t="shared" si="9"/>
        <v>64</v>
      </c>
      <c r="C130" s="42">
        <f t="shared" si="10"/>
        <v>2073660</v>
      </c>
      <c r="D130" s="42">
        <f>D128</f>
        <v>159540</v>
      </c>
      <c r="E130" s="104"/>
      <c r="F130" s="104"/>
      <c r="G130" s="104"/>
      <c r="H130" s="104"/>
      <c r="I130" s="104"/>
      <c r="J130" s="253"/>
    </row>
    <row r="131" spans="1:10" ht="12.75">
      <c r="A131" s="90">
        <v>45016</v>
      </c>
      <c r="B131" s="366">
        <f t="shared" si="9"/>
        <v>26</v>
      </c>
      <c r="C131" s="41">
        <f t="shared" si="10"/>
        <v>2073660</v>
      </c>
      <c r="D131" s="41"/>
      <c r="E131" s="361">
        <f>E129</f>
        <v>0.04612</v>
      </c>
      <c r="F131" s="41">
        <f>((C130+D130)*E131/360*B130)+((C131+D131)*E131/360*B131)</f>
        <v>25217.385986666668</v>
      </c>
      <c r="G131" s="41">
        <f>G129</f>
        <v>2064</v>
      </c>
      <c r="H131" s="91"/>
      <c r="I131" s="91"/>
      <c r="J131" s="242"/>
    </row>
    <row r="132" spans="1:10" ht="12.75">
      <c r="A132" s="90">
        <v>45082</v>
      </c>
      <c r="B132" s="366">
        <f t="shared" si="9"/>
        <v>66</v>
      </c>
      <c r="C132" s="41">
        <f t="shared" si="10"/>
        <v>1914120</v>
      </c>
      <c r="D132" s="41">
        <f>D130</f>
        <v>159540</v>
      </c>
      <c r="E132" s="361"/>
      <c r="F132" s="41"/>
      <c r="G132" s="41"/>
      <c r="H132" s="91"/>
      <c r="I132" s="91"/>
      <c r="J132" s="242"/>
    </row>
    <row r="133" spans="1:10" ht="12.75">
      <c r="A133" s="90">
        <v>45107</v>
      </c>
      <c r="B133" s="366">
        <f t="shared" si="9"/>
        <v>25</v>
      </c>
      <c r="C133" s="41">
        <f t="shared" si="10"/>
        <v>1914120</v>
      </c>
      <c r="D133" s="41"/>
      <c r="E133" s="361">
        <f>E131</f>
        <v>0.04612</v>
      </c>
      <c r="F133" s="41">
        <f>((C132+D132)*E133/360*B132)+((C133+D133)*E133/360*B133)</f>
        <v>23663.98752</v>
      </c>
      <c r="G133" s="41">
        <f>G131</f>
        <v>2064</v>
      </c>
      <c r="H133" s="91"/>
      <c r="I133" s="91"/>
      <c r="J133" s="242"/>
    </row>
    <row r="134" spans="1:10" ht="12.75">
      <c r="A134" s="90">
        <v>45174</v>
      </c>
      <c r="B134" s="366">
        <f t="shared" si="9"/>
        <v>67</v>
      </c>
      <c r="C134" s="41">
        <f t="shared" si="10"/>
        <v>1754580</v>
      </c>
      <c r="D134" s="41">
        <f>D132</f>
        <v>159540</v>
      </c>
      <c r="E134" s="361"/>
      <c r="F134" s="41"/>
      <c r="G134" s="41"/>
      <c r="H134" s="91"/>
      <c r="I134" s="91"/>
      <c r="J134" s="242"/>
    </row>
    <row r="135" spans="1:10" ht="12.75">
      <c r="A135" s="90">
        <v>45199</v>
      </c>
      <c r="B135" s="366">
        <f t="shared" si="9"/>
        <v>25</v>
      </c>
      <c r="C135" s="41">
        <f t="shared" si="10"/>
        <v>1754580</v>
      </c>
      <c r="D135" s="41"/>
      <c r="E135" s="361">
        <f>E133</f>
        <v>0.04612</v>
      </c>
      <c r="F135" s="41">
        <f>((C134+D134)*E135/360*B134)+((C135+D135)*E135/360*B135)</f>
        <v>22049.272513333333</v>
      </c>
      <c r="G135" s="41">
        <f>G133</f>
        <v>2064</v>
      </c>
      <c r="H135" s="91"/>
      <c r="I135" s="91"/>
      <c r="J135" s="242"/>
    </row>
    <row r="136" spans="1:10" ht="12.75">
      <c r="A136" s="90">
        <v>45265</v>
      </c>
      <c r="B136" s="366">
        <f t="shared" si="9"/>
        <v>66</v>
      </c>
      <c r="C136" s="41">
        <f t="shared" si="10"/>
        <v>1595040</v>
      </c>
      <c r="D136" s="41">
        <f>D134</f>
        <v>159540</v>
      </c>
      <c r="E136" s="361"/>
      <c r="F136" s="41"/>
      <c r="G136" s="41"/>
      <c r="H136" s="91"/>
      <c r="I136" s="91"/>
      <c r="J136" s="242"/>
    </row>
    <row r="137" spans="1:10" ht="12.75">
      <c r="A137" s="97">
        <v>45291</v>
      </c>
      <c r="B137" s="367">
        <f t="shared" si="9"/>
        <v>26</v>
      </c>
      <c r="C137" s="99">
        <f t="shared" si="10"/>
        <v>1595040</v>
      </c>
      <c r="D137" s="99"/>
      <c r="E137" s="362">
        <f>E135</f>
        <v>0.04612</v>
      </c>
      <c r="F137" s="99">
        <f>((C136+D136)*E137/360*B136)+((C137+D137)*E137/360*B137)</f>
        <v>20148.459773333336</v>
      </c>
      <c r="G137" s="99">
        <f>G135</f>
        <v>2064</v>
      </c>
      <c r="H137" s="359">
        <f>SUM(F131:G137)</f>
        <v>99335.10579333334</v>
      </c>
      <c r="I137" s="359">
        <f>SUM(D130:D137)</f>
        <v>638160</v>
      </c>
      <c r="J137" s="360">
        <f>SUM(H137:I137)</f>
        <v>737495.1057933334</v>
      </c>
    </row>
    <row r="138" spans="1:10" ht="12.75">
      <c r="A138" s="103">
        <v>45356</v>
      </c>
      <c r="B138" s="365">
        <f aca="true" t="shared" si="11" ref="B138:B156">A138-A137</f>
        <v>65</v>
      </c>
      <c r="C138" s="42">
        <f aca="true" t="shared" si="12" ref="C138:C156">C137-D138</f>
        <v>1435500</v>
      </c>
      <c r="D138" s="42">
        <f>D136</f>
        <v>159540</v>
      </c>
      <c r="E138" s="104"/>
      <c r="F138" s="104"/>
      <c r="G138" s="104"/>
      <c r="H138" s="104"/>
      <c r="I138" s="104"/>
      <c r="J138" s="253"/>
    </row>
    <row r="139" spans="1:10" ht="12.75">
      <c r="A139" s="90">
        <v>45382</v>
      </c>
      <c r="B139" s="366">
        <f t="shared" si="11"/>
        <v>26</v>
      </c>
      <c r="C139" s="41">
        <f t="shared" si="12"/>
        <v>1435500</v>
      </c>
      <c r="D139" s="41"/>
      <c r="E139" s="361">
        <f>E137</f>
        <v>0.04612</v>
      </c>
      <c r="F139" s="41">
        <f>((C138+D138)*E139/360*B138)+((C139+D139)*E139/360*B139)</f>
        <v>18063.74353333333</v>
      </c>
      <c r="G139" s="41">
        <f>G137</f>
        <v>2064</v>
      </c>
      <c r="H139" s="91"/>
      <c r="I139" s="91"/>
      <c r="J139" s="242"/>
    </row>
    <row r="140" spans="1:10" ht="12.75">
      <c r="A140" s="90">
        <v>45448</v>
      </c>
      <c r="B140" s="366">
        <f t="shared" si="11"/>
        <v>66</v>
      </c>
      <c r="C140" s="41">
        <f t="shared" si="12"/>
        <v>1275960</v>
      </c>
      <c r="D140" s="41">
        <f>D138</f>
        <v>159540</v>
      </c>
      <c r="E140" s="361"/>
      <c r="F140" s="41"/>
      <c r="G140" s="41"/>
      <c r="H140" s="91"/>
      <c r="I140" s="91"/>
      <c r="J140" s="242"/>
    </row>
    <row r="141" spans="1:10" ht="12.75">
      <c r="A141" s="90">
        <v>45473</v>
      </c>
      <c r="B141" s="366">
        <f t="shared" si="11"/>
        <v>25</v>
      </c>
      <c r="C141" s="41">
        <f t="shared" si="12"/>
        <v>1275960</v>
      </c>
      <c r="D141" s="41"/>
      <c r="E141" s="361">
        <f>E139</f>
        <v>0.04612</v>
      </c>
      <c r="F141" s="41">
        <f>((C140+D140)*E141/360*B140)+((C141+D141)*E141/360*B141)</f>
        <v>16224.247333333333</v>
      </c>
      <c r="G141" s="41">
        <f>G139</f>
        <v>2064</v>
      </c>
      <c r="H141" s="91"/>
      <c r="I141" s="91"/>
      <c r="J141" s="242"/>
    </row>
    <row r="142" spans="1:10" ht="12.75">
      <c r="A142" s="90">
        <v>45540</v>
      </c>
      <c r="B142" s="366">
        <f t="shared" si="11"/>
        <v>67</v>
      </c>
      <c r="C142" s="41">
        <f t="shared" si="12"/>
        <v>1116420</v>
      </c>
      <c r="D142" s="41">
        <f>D140</f>
        <v>159540</v>
      </c>
      <c r="E142" s="361"/>
      <c r="F142" s="41"/>
      <c r="G142" s="41"/>
      <c r="H142" s="91"/>
      <c r="I142" s="91"/>
      <c r="J142" s="242"/>
    </row>
    <row r="143" spans="1:10" ht="12.75">
      <c r="A143" s="90">
        <v>45565</v>
      </c>
      <c r="B143" s="366">
        <f t="shared" si="11"/>
        <v>25</v>
      </c>
      <c r="C143" s="41">
        <f t="shared" si="12"/>
        <v>1116420</v>
      </c>
      <c r="D143" s="41"/>
      <c r="E143" s="361">
        <f>E141</f>
        <v>0.04612</v>
      </c>
      <c r="F143" s="41">
        <f>((C142+D142)*E143/360*B142)+((C143+D143)*E143/360*B143)</f>
        <v>14527.77694</v>
      </c>
      <c r="G143" s="41">
        <f>G141</f>
        <v>2064</v>
      </c>
      <c r="H143" s="91"/>
      <c r="I143" s="91"/>
      <c r="J143" s="242"/>
    </row>
    <row r="144" spans="1:10" ht="12.75">
      <c r="A144" s="90">
        <v>45631</v>
      </c>
      <c r="B144" s="366">
        <f t="shared" si="11"/>
        <v>66</v>
      </c>
      <c r="C144" s="41">
        <f t="shared" si="12"/>
        <v>956880</v>
      </c>
      <c r="D144" s="41">
        <f>D142</f>
        <v>159540</v>
      </c>
      <c r="E144" s="361"/>
      <c r="F144" s="41"/>
      <c r="G144" s="41"/>
      <c r="H144" s="91"/>
      <c r="I144" s="91"/>
      <c r="J144" s="242"/>
    </row>
    <row r="145" spans="1:10" ht="12.75">
      <c r="A145" s="97">
        <v>45657</v>
      </c>
      <c r="B145" s="367">
        <f t="shared" si="11"/>
        <v>26</v>
      </c>
      <c r="C145" s="99">
        <f t="shared" si="12"/>
        <v>956880</v>
      </c>
      <c r="D145" s="99"/>
      <c r="E145" s="362">
        <f>E143</f>
        <v>0.04612</v>
      </c>
      <c r="F145" s="99">
        <f>((C144+D144)*E145/360*B144)+((C145+D145)*E145/360*B145)</f>
        <v>12626.964199999999</v>
      </c>
      <c r="G145" s="99">
        <f>G143</f>
        <v>2064</v>
      </c>
      <c r="H145" s="359">
        <f>SUM(F139:G145)</f>
        <v>69698.73200666666</v>
      </c>
      <c r="I145" s="359">
        <f>SUM(D138:D145)</f>
        <v>638160</v>
      </c>
      <c r="J145" s="360">
        <f>SUM(H145:I145)</f>
        <v>707858.7320066667</v>
      </c>
    </row>
    <row r="146" spans="1:10" ht="12.75">
      <c r="A146" s="103">
        <v>45721</v>
      </c>
      <c r="B146" s="365">
        <f t="shared" si="11"/>
        <v>64</v>
      </c>
      <c r="C146" s="42">
        <f t="shared" si="12"/>
        <v>797340</v>
      </c>
      <c r="D146" s="42">
        <f>D144</f>
        <v>159540</v>
      </c>
      <c r="E146" s="104"/>
      <c r="F146" s="104"/>
      <c r="G146" s="104"/>
      <c r="H146" s="104"/>
      <c r="I146" s="104"/>
      <c r="J146" s="253"/>
    </row>
    <row r="147" spans="1:10" ht="12.75">
      <c r="A147" s="90">
        <v>45747</v>
      </c>
      <c r="B147" s="366">
        <f t="shared" si="11"/>
        <v>26</v>
      </c>
      <c r="C147" s="41">
        <f t="shared" si="12"/>
        <v>797340</v>
      </c>
      <c r="D147" s="41"/>
      <c r="E147" s="361">
        <f>E145</f>
        <v>0.04612</v>
      </c>
      <c r="F147" s="41">
        <f>((C146+D146)*E147/360*B146)+((C147+D147)*E147/360*B147)</f>
        <v>10501.416386666668</v>
      </c>
      <c r="G147" s="41">
        <f>G145</f>
        <v>2064</v>
      </c>
      <c r="H147" s="91"/>
      <c r="I147" s="91"/>
      <c r="J147" s="242"/>
    </row>
    <row r="148" spans="1:10" ht="12.75">
      <c r="A148" s="90">
        <v>45813</v>
      </c>
      <c r="B148" s="366">
        <f t="shared" si="11"/>
        <v>66</v>
      </c>
      <c r="C148" s="41">
        <f t="shared" si="12"/>
        <v>637800</v>
      </c>
      <c r="D148" s="41">
        <f>D146</f>
        <v>159540</v>
      </c>
      <c r="E148" s="361"/>
      <c r="F148" s="41"/>
      <c r="G148" s="41"/>
      <c r="H148" s="91"/>
      <c r="I148" s="91"/>
      <c r="J148" s="242"/>
    </row>
    <row r="149" spans="1:10" ht="12.75">
      <c r="A149" s="90">
        <v>45838</v>
      </c>
      <c r="B149" s="366">
        <f t="shared" si="11"/>
        <v>25</v>
      </c>
      <c r="C149" s="41">
        <f t="shared" si="12"/>
        <v>637800</v>
      </c>
      <c r="D149" s="41"/>
      <c r="E149" s="361">
        <f>E147</f>
        <v>0.04612</v>
      </c>
      <c r="F149" s="41">
        <f>((C148+D148)*E149/360*B148)+((C149+D149)*E149/360*B149)</f>
        <v>8784.507146666667</v>
      </c>
      <c r="G149" s="41">
        <f>G147</f>
        <v>2064</v>
      </c>
      <c r="H149" s="91"/>
      <c r="I149" s="91"/>
      <c r="J149" s="242"/>
    </row>
    <row r="150" spans="1:10" ht="12.75">
      <c r="A150" s="90">
        <v>45905</v>
      </c>
      <c r="B150" s="366">
        <f t="shared" si="11"/>
        <v>67</v>
      </c>
      <c r="C150" s="41">
        <f t="shared" si="12"/>
        <v>478260</v>
      </c>
      <c r="D150" s="41">
        <f>D148</f>
        <v>159540</v>
      </c>
      <c r="E150" s="361"/>
      <c r="F150" s="41"/>
      <c r="G150" s="41"/>
      <c r="H150" s="91"/>
      <c r="I150" s="91"/>
      <c r="J150" s="242"/>
    </row>
    <row r="151" spans="1:10" ht="12.75">
      <c r="A151" s="90">
        <v>45930</v>
      </c>
      <c r="B151" s="366">
        <f t="shared" si="11"/>
        <v>25</v>
      </c>
      <c r="C151" s="41">
        <f t="shared" si="12"/>
        <v>478260</v>
      </c>
      <c r="D151" s="41"/>
      <c r="E151" s="361">
        <f>E149</f>
        <v>0.04612</v>
      </c>
      <c r="F151" s="41">
        <f>((C150+D150)*E151/360*B150)+((C151+D151)*E151/360*B151)</f>
        <v>7006.281366666667</v>
      </c>
      <c r="G151" s="41">
        <f>G149</f>
        <v>2064</v>
      </c>
      <c r="H151" s="91"/>
      <c r="I151" s="91"/>
      <c r="J151" s="242"/>
    </row>
    <row r="152" spans="1:10" ht="12.75">
      <c r="A152" s="90">
        <v>45996</v>
      </c>
      <c r="B152" s="366">
        <f t="shared" si="11"/>
        <v>66</v>
      </c>
      <c r="C152" s="41">
        <f t="shared" si="12"/>
        <v>318720</v>
      </c>
      <c r="D152" s="41">
        <f>D150</f>
        <v>159540</v>
      </c>
      <c r="E152" s="361"/>
      <c r="F152" s="41"/>
      <c r="G152" s="41"/>
      <c r="H152" s="91"/>
      <c r="I152" s="91"/>
      <c r="J152" s="242"/>
    </row>
    <row r="153" spans="1:10" ht="12.75">
      <c r="A153" s="97">
        <v>46022</v>
      </c>
      <c r="B153" s="367">
        <f t="shared" si="11"/>
        <v>26</v>
      </c>
      <c r="C153" s="99">
        <f t="shared" si="12"/>
        <v>318720</v>
      </c>
      <c r="D153" s="99"/>
      <c r="E153" s="362">
        <f>E151</f>
        <v>0.04612</v>
      </c>
      <c r="F153" s="99">
        <f>((C152+D152)*E153/360*B152)+((C153+D153)*E153/360*B153)</f>
        <v>5105.468626666667</v>
      </c>
      <c r="G153" s="99">
        <f>G151</f>
        <v>2064</v>
      </c>
      <c r="H153" s="359">
        <f>SUM(F147:G153)</f>
        <v>39653.673526666666</v>
      </c>
      <c r="I153" s="359">
        <f>SUM(D146:D153)</f>
        <v>638160</v>
      </c>
      <c r="J153" s="360">
        <f>SUM(H153:I153)</f>
        <v>677813.6735266667</v>
      </c>
    </row>
    <row r="154" spans="1:10" ht="12.75">
      <c r="A154" s="103">
        <v>46086</v>
      </c>
      <c r="B154" s="365">
        <f t="shared" si="11"/>
        <v>64</v>
      </c>
      <c r="C154" s="42">
        <f t="shared" si="12"/>
        <v>159180</v>
      </c>
      <c r="D154" s="42">
        <f>D152</f>
        <v>159540</v>
      </c>
      <c r="E154" s="104"/>
      <c r="F154" s="104"/>
      <c r="G154" s="104"/>
      <c r="H154" s="104"/>
      <c r="I154" s="104"/>
      <c r="J154" s="253"/>
    </row>
    <row r="155" spans="1:10" ht="12.75">
      <c r="A155" s="90">
        <v>46112</v>
      </c>
      <c r="B155" s="366">
        <f t="shared" si="11"/>
        <v>26</v>
      </c>
      <c r="C155" s="41">
        <f t="shared" si="12"/>
        <v>159180</v>
      </c>
      <c r="D155" s="41"/>
      <c r="E155" s="361">
        <f>E153</f>
        <v>0.04612</v>
      </c>
      <c r="F155" s="41">
        <f>((C154+D154)*E155/360*B154)+((C155+D155)*E155/360*B155)</f>
        <v>3143.431586666667</v>
      </c>
      <c r="G155" s="41">
        <f>G153</f>
        <v>2064</v>
      </c>
      <c r="H155" s="91"/>
      <c r="I155" s="91"/>
      <c r="J155" s="242"/>
    </row>
    <row r="156" spans="1:10" ht="13.5" thickBot="1">
      <c r="A156" s="90">
        <v>46178</v>
      </c>
      <c r="B156" s="366">
        <f t="shared" si="11"/>
        <v>66</v>
      </c>
      <c r="C156" s="41">
        <f t="shared" si="12"/>
        <v>0</v>
      </c>
      <c r="D156" s="41">
        <v>159180</v>
      </c>
      <c r="E156" s="361">
        <f>E155</f>
        <v>0.04612</v>
      </c>
      <c r="F156" s="41">
        <f>((C156+D156)*E156/360*B156)</f>
        <v>1345.9199600000002</v>
      </c>
      <c r="G156" s="41">
        <f>G155-1+4128</f>
        <v>6191</v>
      </c>
      <c r="H156" s="359">
        <f>SUM(F154:G156)</f>
        <v>12744.351546666669</v>
      </c>
      <c r="I156" s="359">
        <f>SUM(D154:D156)</f>
        <v>318720</v>
      </c>
      <c r="J156" s="360">
        <f>SUM(H156:I156)</f>
        <v>331464.35154666664</v>
      </c>
    </row>
    <row r="157" spans="1:10" ht="13.5" thickTop="1">
      <c r="A157" s="471" t="s">
        <v>14</v>
      </c>
      <c r="B157" s="472"/>
      <c r="C157" s="473"/>
      <c r="D157" s="120">
        <f>SUM(D7:D156)</f>
        <v>11007900</v>
      </c>
      <c r="E157" s="121"/>
      <c r="F157" s="120">
        <f>SUM(F7:F156)</f>
        <v>5628886.746080002</v>
      </c>
      <c r="G157" s="120">
        <f>SUM(G7:G156)</f>
        <v>165119</v>
      </c>
      <c r="H157" s="120">
        <f>SUM(H7:H156)</f>
        <v>5794005.746080001</v>
      </c>
      <c r="I157" s="120">
        <f>SUM(I7:I156)</f>
        <v>11007900</v>
      </c>
      <c r="J157" s="122">
        <f>SUM(J7:J156)</f>
        <v>16801905.74608</v>
      </c>
    </row>
    <row r="158" spans="1:10" ht="12.75">
      <c r="A158" s="123"/>
      <c r="B158" s="124"/>
      <c r="E158" s="125"/>
      <c r="H158" s="124"/>
      <c r="J158" s="124"/>
    </row>
    <row r="159" spans="1:10" ht="12.75">
      <c r="A159" s="123"/>
      <c r="B159" s="124"/>
      <c r="E159" s="125"/>
      <c r="G159" s="124"/>
      <c r="H159" s="124"/>
      <c r="J159" s="124"/>
    </row>
    <row r="160" spans="2:7" ht="12.75">
      <c r="B160" s="58" t="s">
        <v>223</v>
      </c>
      <c r="D160" s="58"/>
      <c r="E160" s="125" t="s">
        <v>226</v>
      </c>
      <c r="G160" s="370">
        <v>9264000</v>
      </c>
    </row>
    <row r="161" spans="2:7" ht="13.5" thickBot="1">
      <c r="B161" s="58" t="s">
        <v>228</v>
      </c>
      <c r="D161" s="58"/>
      <c r="E161" s="125" t="s">
        <v>227</v>
      </c>
      <c r="G161" s="370">
        <v>1743900</v>
      </c>
    </row>
    <row r="162" spans="2:7" ht="13.5" thickTop="1">
      <c r="B162" s="127" t="s">
        <v>14</v>
      </c>
      <c r="C162" s="132"/>
      <c r="D162" s="127"/>
      <c r="E162" s="128"/>
      <c r="F162" s="129"/>
      <c r="G162" s="371">
        <f>SUM(G160:G161)</f>
        <v>11007900</v>
      </c>
    </row>
  </sheetData>
  <mergeCells count="1">
    <mergeCell ref="A157:C157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11.007,9 eFt hitel
(Önkormányzati Fejlesztési Hitelprogram 7.1 hitelcél)</oddHeader>
    <oddFooter>&amp;L&amp;8&amp;D&amp;C&amp;8C:\Andi\adósságszolgálat\&amp;F\&amp;A&amp;R&amp;8&amp;P/&amp;N</oddFooter>
  </headerFooter>
  <rowBreaks count="2" manualBreakCount="2">
    <brk id="57" max="255" man="1"/>
    <brk id="11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58" customWidth="1"/>
    <col min="6" max="6" width="12.625" style="58" customWidth="1"/>
    <col min="7" max="7" width="13.00390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5" t="s">
        <v>188</v>
      </c>
    </row>
    <row r="2" spans="1:10" ht="12.75">
      <c r="A2" s="166" t="s">
        <v>137</v>
      </c>
      <c r="B2" s="165"/>
      <c r="C2" s="166" t="s">
        <v>138</v>
      </c>
      <c r="D2" s="166"/>
      <c r="H2" s="166"/>
      <c r="I2" s="166"/>
      <c r="J2" s="166"/>
    </row>
    <row r="3" spans="1:10" ht="12.75">
      <c r="A3" s="166" t="s">
        <v>181</v>
      </c>
      <c r="B3" s="136"/>
      <c r="C3" s="135"/>
      <c r="D3" s="135"/>
      <c r="E3" s="135"/>
      <c r="F3" s="166" t="s">
        <v>182</v>
      </c>
      <c r="G3" s="166"/>
      <c r="H3" s="135"/>
      <c r="I3" s="135"/>
      <c r="J3" s="135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152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153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9" t="s">
        <v>183</v>
      </c>
      <c r="H6" s="139" t="s">
        <v>155</v>
      </c>
      <c r="I6" s="82" t="s">
        <v>13</v>
      </c>
      <c r="J6" s="83" t="s">
        <v>12</v>
      </c>
    </row>
    <row r="7" spans="1:10" ht="12.75">
      <c r="A7" s="410">
        <v>38990</v>
      </c>
      <c r="B7" s="73"/>
      <c r="C7" s="74"/>
      <c r="D7" s="74"/>
      <c r="E7" s="74"/>
      <c r="F7" s="405"/>
      <c r="G7" s="407">
        <v>0</v>
      </c>
      <c r="H7" s="406"/>
      <c r="I7" s="76"/>
      <c r="J7" s="77"/>
    </row>
    <row r="8" spans="1:10" ht="12.75">
      <c r="A8" s="313">
        <v>39070</v>
      </c>
      <c r="B8" s="427"/>
      <c r="C8" s="300">
        <v>201368000</v>
      </c>
      <c r="D8" s="41"/>
      <c r="E8" s="361"/>
      <c r="F8" s="41"/>
      <c r="G8" s="41"/>
      <c r="H8" s="91"/>
      <c r="I8" s="91"/>
      <c r="J8" s="242"/>
    </row>
    <row r="9" spans="1:10" ht="12.75">
      <c r="A9" s="97">
        <v>39080</v>
      </c>
      <c r="B9" s="367">
        <f>A9-A8</f>
        <v>10</v>
      </c>
      <c r="C9" s="99">
        <f>C8-D9</f>
        <v>201368000</v>
      </c>
      <c r="D9" s="99"/>
      <c r="E9" s="362">
        <v>0.04266</v>
      </c>
      <c r="F9" s="99">
        <v>238621</v>
      </c>
      <c r="G9" s="99">
        <f>G7</f>
        <v>0</v>
      </c>
      <c r="H9" s="359">
        <f>SUM(F7:G9)</f>
        <v>238621</v>
      </c>
      <c r="I9" s="359">
        <f>SUM(D8:D9)</f>
        <v>0</v>
      </c>
      <c r="J9" s="360">
        <f>SUM(H9:I9)</f>
        <v>238621</v>
      </c>
    </row>
    <row r="10" spans="1:10" ht="12.75">
      <c r="A10" s="357">
        <v>39142</v>
      </c>
      <c r="B10" s="414">
        <f>A10-A9</f>
        <v>62</v>
      </c>
      <c r="C10" s="424">
        <v>204214500</v>
      </c>
      <c r="D10" s="107"/>
      <c r="E10" s="364"/>
      <c r="F10" s="107"/>
      <c r="G10" s="107"/>
      <c r="H10" s="424"/>
      <c r="I10" s="424"/>
      <c r="J10" s="426"/>
    </row>
    <row r="11" spans="1:10" ht="12.75">
      <c r="A11" s="90">
        <v>39172</v>
      </c>
      <c r="B11" s="366">
        <f>A11-A10</f>
        <v>30</v>
      </c>
      <c r="C11" s="41">
        <f aca="true" t="shared" si="0" ref="C11:C36">C10-D11</f>
        <v>204214500</v>
      </c>
      <c r="D11" s="41"/>
      <c r="E11" s="361">
        <v>0.04612</v>
      </c>
      <c r="F11" s="41">
        <f>((C9+D9)*E11/360*B10)+((C11+D11)*E11/360*B11)</f>
        <v>2384308.044777778</v>
      </c>
      <c r="G11" s="41">
        <v>38290</v>
      </c>
      <c r="H11" s="91"/>
      <c r="I11" s="91"/>
      <c r="J11" s="242"/>
    </row>
    <row r="12" spans="1:10" ht="12.75">
      <c r="A12" s="90">
        <v>39263</v>
      </c>
      <c r="B12" s="366">
        <f>A12-A11</f>
        <v>91</v>
      </c>
      <c r="C12" s="41">
        <f t="shared" si="0"/>
        <v>204214500</v>
      </c>
      <c r="D12" s="41"/>
      <c r="E12" s="361">
        <f aca="true" t="shared" si="1" ref="E12:E19">E11</f>
        <v>0.04612</v>
      </c>
      <c r="F12" s="41">
        <f aca="true" t="shared" si="2" ref="F12:F19">((C12+D12)*E12/360*B12)</f>
        <v>2380755.3315</v>
      </c>
      <c r="G12" s="41">
        <f aca="true" t="shared" si="3" ref="G12:G19">G11</f>
        <v>38290</v>
      </c>
      <c r="H12" s="91"/>
      <c r="I12" s="91"/>
      <c r="J12" s="242"/>
    </row>
    <row r="13" spans="1:10" ht="12.75">
      <c r="A13" s="90">
        <v>39355</v>
      </c>
      <c r="B13" s="366">
        <f aca="true" t="shared" si="4" ref="B13:B32">A13-A12</f>
        <v>92</v>
      </c>
      <c r="C13" s="41">
        <f t="shared" si="0"/>
        <v>204214500</v>
      </c>
      <c r="D13" s="41"/>
      <c r="E13" s="361">
        <f t="shared" si="1"/>
        <v>0.04612</v>
      </c>
      <c r="F13" s="41">
        <f t="shared" si="2"/>
        <v>2406917.478</v>
      </c>
      <c r="G13" s="41">
        <f t="shared" si="3"/>
        <v>38290</v>
      </c>
      <c r="H13" s="91"/>
      <c r="I13" s="91"/>
      <c r="J13" s="242"/>
    </row>
    <row r="14" spans="1:10" ht="12.75">
      <c r="A14" s="97">
        <v>39447</v>
      </c>
      <c r="B14" s="367">
        <f t="shared" si="4"/>
        <v>92</v>
      </c>
      <c r="C14" s="99">
        <f t="shared" si="0"/>
        <v>204214500</v>
      </c>
      <c r="D14" s="99"/>
      <c r="E14" s="362">
        <f t="shared" si="1"/>
        <v>0.04612</v>
      </c>
      <c r="F14" s="99">
        <f t="shared" si="2"/>
        <v>2406917.478</v>
      </c>
      <c r="G14" s="99">
        <f t="shared" si="3"/>
        <v>38290</v>
      </c>
      <c r="H14" s="359">
        <f>SUM(F11:G14)</f>
        <v>9732058.332277779</v>
      </c>
      <c r="I14" s="359">
        <f>SUM(D11:D14)</f>
        <v>0</v>
      </c>
      <c r="J14" s="360">
        <f>SUM(H14:I14)</f>
        <v>9732058.332277779</v>
      </c>
    </row>
    <row r="15" spans="1:10" ht="12.75">
      <c r="A15" s="103">
        <v>39538</v>
      </c>
      <c r="B15" s="365">
        <f t="shared" si="4"/>
        <v>91</v>
      </c>
      <c r="C15" s="42">
        <f t="shared" si="0"/>
        <v>204214500</v>
      </c>
      <c r="D15" s="42"/>
      <c r="E15" s="363">
        <f t="shared" si="1"/>
        <v>0.04612</v>
      </c>
      <c r="F15" s="42">
        <f t="shared" si="2"/>
        <v>2380755.3315</v>
      </c>
      <c r="G15" s="42">
        <f t="shared" si="3"/>
        <v>38290</v>
      </c>
      <c r="H15" s="104"/>
      <c r="I15" s="104"/>
      <c r="J15" s="253"/>
    </row>
    <row r="16" spans="1:10" ht="12.75">
      <c r="A16" s="90">
        <v>39629</v>
      </c>
      <c r="B16" s="366">
        <f t="shared" si="4"/>
        <v>91</v>
      </c>
      <c r="C16" s="41">
        <f>C15-D16</f>
        <v>204214500</v>
      </c>
      <c r="D16" s="41"/>
      <c r="E16" s="361">
        <f t="shared" si="1"/>
        <v>0.04612</v>
      </c>
      <c r="F16" s="41">
        <f t="shared" si="2"/>
        <v>2380755.3315</v>
      </c>
      <c r="G16" s="41">
        <f t="shared" si="3"/>
        <v>38290</v>
      </c>
      <c r="H16" s="91"/>
      <c r="I16" s="91"/>
      <c r="J16" s="242"/>
    </row>
    <row r="17" spans="1:10" ht="12.75">
      <c r="A17" s="90">
        <v>39721</v>
      </c>
      <c r="B17" s="366">
        <f t="shared" si="4"/>
        <v>92</v>
      </c>
      <c r="C17" s="41">
        <f>C16-D17</f>
        <v>204214500</v>
      </c>
      <c r="D17" s="41"/>
      <c r="E17" s="361">
        <f t="shared" si="1"/>
        <v>0.04612</v>
      </c>
      <c r="F17" s="41">
        <f t="shared" si="2"/>
        <v>2406917.478</v>
      </c>
      <c r="G17" s="41">
        <f t="shared" si="3"/>
        <v>38290</v>
      </c>
      <c r="H17" s="91"/>
      <c r="I17" s="91"/>
      <c r="J17" s="242"/>
    </row>
    <row r="18" spans="1:10" ht="12.75">
      <c r="A18" s="97">
        <v>39813</v>
      </c>
      <c r="B18" s="367">
        <f t="shared" si="4"/>
        <v>92</v>
      </c>
      <c r="C18" s="99">
        <f>C17-D18</f>
        <v>204214500</v>
      </c>
      <c r="D18" s="99"/>
      <c r="E18" s="362">
        <f t="shared" si="1"/>
        <v>0.04612</v>
      </c>
      <c r="F18" s="99">
        <f t="shared" si="2"/>
        <v>2406917.478</v>
      </c>
      <c r="G18" s="99">
        <f t="shared" si="3"/>
        <v>38290</v>
      </c>
      <c r="H18" s="359">
        <f>SUM(F15:G18)</f>
        <v>9728505.618999999</v>
      </c>
      <c r="I18" s="359">
        <f>SUM(D15:D18)</f>
        <v>0</v>
      </c>
      <c r="J18" s="360">
        <f>SUM(H18:I18)</f>
        <v>9728505.618999999</v>
      </c>
    </row>
    <row r="19" spans="1:10" ht="12.75">
      <c r="A19" s="90">
        <v>39903</v>
      </c>
      <c r="B19" s="369">
        <f t="shared" si="4"/>
        <v>90</v>
      </c>
      <c r="C19" s="42">
        <f>C18-D19</f>
        <v>204214500</v>
      </c>
      <c r="D19" s="41"/>
      <c r="E19" s="361">
        <f t="shared" si="1"/>
        <v>0.04612</v>
      </c>
      <c r="F19" s="42">
        <f t="shared" si="2"/>
        <v>2354593.185</v>
      </c>
      <c r="G19" s="41">
        <f t="shared" si="3"/>
        <v>38290</v>
      </c>
      <c r="H19" s="91"/>
      <c r="I19" s="91"/>
      <c r="J19" s="242"/>
    </row>
    <row r="20" spans="1:10" ht="12.75">
      <c r="A20" s="90">
        <v>39969</v>
      </c>
      <c r="B20" s="366">
        <f t="shared" si="4"/>
        <v>66</v>
      </c>
      <c r="C20" s="41">
        <f t="shared" si="0"/>
        <v>201254860</v>
      </c>
      <c r="D20" s="41">
        <v>2959640</v>
      </c>
      <c r="E20" s="361"/>
      <c r="F20" s="41"/>
      <c r="G20" s="41"/>
      <c r="H20" s="91"/>
      <c r="I20" s="91"/>
      <c r="J20" s="242"/>
    </row>
    <row r="21" spans="1:10" ht="12.75">
      <c r="A21" s="90">
        <v>39994</v>
      </c>
      <c r="B21" s="366">
        <f t="shared" si="4"/>
        <v>25</v>
      </c>
      <c r="C21" s="41">
        <f t="shared" si="0"/>
        <v>201254860</v>
      </c>
      <c r="D21" s="41"/>
      <c r="E21" s="361">
        <f>E19</f>
        <v>0.04612</v>
      </c>
      <c r="F21" s="41">
        <f>((C20+D20)*E21/360*B20)+((C21+D21)*E21/360*B21)</f>
        <v>2371276.262277778</v>
      </c>
      <c r="G21" s="41">
        <f>G19</f>
        <v>38290</v>
      </c>
      <c r="H21" s="91"/>
      <c r="I21" s="91"/>
      <c r="J21" s="242"/>
    </row>
    <row r="22" spans="1:10" ht="12.75">
      <c r="A22" s="90">
        <v>40061</v>
      </c>
      <c r="B22" s="366">
        <f t="shared" si="4"/>
        <v>67</v>
      </c>
      <c r="C22" s="41">
        <f t="shared" si="0"/>
        <v>198295220</v>
      </c>
      <c r="D22" s="41">
        <f>D20</f>
        <v>2959640</v>
      </c>
      <c r="E22" s="361"/>
      <c r="F22" s="41"/>
      <c r="G22" s="41"/>
      <c r="H22" s="91"/>
      <c r="I22" s="91"/>
      <c r="J22" s="242"/>
    </row>
    <row r="23" spans="1:10" ht="12.75">
      <c r="A23" s="90">
        <v>40086</v>
      </c>
      <c r="B23" s="366">
        <f t="shared" si="4"/>
        <v>25</v>
      </c>
      <c r="C23" s="41">
        <f t="shared" si="0"/>
        <v>198295220</v>
      </c>
      <c r="D23" s="41"/>
      <c r="E23" s="361">
        <f>E21</f>
        <v>0.04612</v>
      </c>
      <c r="F23" s="41">
        <f>((C22+D22)*E23/360*B22)+((C23+D23)*E23/360*B23)</f>
        <v>2362555.4340399997</v>
      </c>
      <c r="G23" s="41">
        <f>G21</f>
        <v>38290</v>
      </c>
      <c r="H23" s="91"/>
      <c r="I23" s="91"/>
      <c r="J23" s="242"/>
    </row>
    <row r="24" spans="1:10" ht="12.75">
      <c r="A24" s="90">
        <v>40152</v>
      </c>
      <c r="B24" s="366">
        <f t="shared" si="4"/>
        <v>66</v>
      </c>
      <c r="C24" s="41">
        <f t="shared" si="0"/>
        <v>195335580</v>
      </c>
      <c r="D24" s="41">
        <f>D22</f>
        <v>2959640</v>
      </c>
      <c r="E24" s="361"/>
      <c r="F24" s="41"/>
      <c r="G24" s="41"/>
      <c r="H24" s="91"/>
      <c r="I24" s="91"/>
      <c r="J24" s="242"/>
    </row>
    <row r="25" spans="1:10" ht="12.75">
      <c r="A25" s="97">
        <v>40178</v>
      </c>
      <c r="B25" s="367">
        <f t="shared" si="4"/>
        <v>26</v>
      </c>
      <c r="C25" s="99">
        <f t="shared" si="0"/>
        <v>195335580</v>
      </c>
      <c r="D25" s="99"/>
      <c r="E25" s="362">
        <f>E23</f>
        <v>0.04612</v>
      </c>
      <c r="F25" s="99">
        <f>((C24+D24)*E25/360*B24)+((C25+D25)*E25/360*B25)</f>
        <v>2327293.296533333</v>
      </c>
      <c r="G25" s="99">
        <f>G23</f>
        <v>38290</v>
      </c>
      <c r="H25" s="359">
        <f>SUM(F19:G25)</f>
        <v>9568878.17785111</v>
      </c>
      <c r="I25" s="359">
        <f>SUM(D19:D25)</f>
        <v>8878920</v>
      </c>
      <c r="J25" s="360">
        <f>SUM(H25:I25)</f>
        <v>18447798.17785111</v>
      </c>
    </row>
    <row r="26" spans="1:10" ht="12.75">
      <c r="A26" s="103">
        <v>40242</v>
      </c>
      <c r="B26" s="365">
        <f t="shared" si="4"/>
        <v>64</v>
      </c>
      <c r="C26" s="42">
        <f t="shared" si="0"/>
        <v>192375940</v>
      </c>
      <c r="D26" s="42">
        <f>D24</f>
        <v>2959640</v>
      </c>
      <c r="E26" s="104"/>
      <c r="F26" s="104"/>
      <c r="G26" s="104"/>
      <c r="H26" s="104"/>
      <c r="I26" s="104"/>
      <c r="J26" s="253"/>
    </row>
    <row r="27" spans="1:10" ht="12.75">
      <c r="A27" s="90">
        <v>40268</v>
      </c>
      <c r="B27" s="366">
        <f t="shared" si="4"/>
        <v>26</v>
      </c>
      <c r="C27" s="41">
        <f t="shared" si="0"/>
        <v>192375940</v>
      </c>
      <c r="D27" s="41"/>
      <c r="E27" s="361">
        <f>E25</f>
        <v>0.04612</v>
      </c>
      <c r="F27" s="41">
        <f>((C26+D26)*E27/360*B26)+((C27+D27)*E27/360*B27)</f>
        <v>2242361.0054088887</v>
      </c>
      <c r="G27" s="41">
        <f>G25</f>
        <v>38290</v>
      </c>
      <c r="H27" s="91"/>
      <c r="I27" s="91"/>
      <c r="J27" s="242"/>
    </row>
    <row r="28" spans="1:10" ht="12.75">
      <c r="A28" s="90">
        <v>40334</v>
      </c>
      <c r="B28" s="366">
        <f t="shared" si="4"/>
        <v>66</v>
      </c>
      <c r="C28" s="41">
        <f t="shared" si="0"/>
        <v>189416300</v>
      </c>
      <c r="D28" s="41">
        <f>D26</f>
        <v>2959640</v>
      </c>
      <c r="E28" s="361"/>
      <c r="F28" s="41"/>
      <c r="G28" s="41"/>
      <c r="H28" s="91"/>
      <c r="I28" s="91"/>
      <c r="J28" s="242"/>
    </row>
    <row r="29" spans="1:10" ht="12.75">
      <c r="A29" s="90">
        <v>40359</v>
      </c>
      <c r="B29" s="366">
        <f t="shared" si="4"/>
        <v>25</v>
      </c>
      <c r="C29" s="41">
        <f t="shared" si="0"/>
        <v>189416300</v>
      </c>
      <c r="D29" s="41"/>
      <c r="E29" s="361">
        <f>E27</f>
        <v>0.04612</v>
      </c>
      <c r="F29" s="41">
        <f>((C28+D28)*E29/360*B28)+((C29+D29)*E29/360*B29)</f>
        <v>2233261.0144022224</v>
      </c>
      <c r="G29" s="41">
        <f>G27</f>
        <v>38290</v>
      </c>
      <c r="H29" s="91"/>
      <c r="I29" s="91"/>
      <c r="J29" s="242"/>
    </row>
    <row r="30" spans="1:10" ht="12.75">
      <c r="A30" s="90">
        <v>40426</v>
      </c>
      <c r="B30" s="366">
        <f t="shared" si="4"/>
        <v>67</v>
      </c>
      <c r="C30" s="41">
        <f t="shared" si="0"/>
        <v>186456660</v>
      </c>
      <c r="D30" s="41">
        <f>D28</f>
        <v>2959640</v>
      </c>
      <c r="E30" s="361"/>
      <c r="F30" s="41"/>
      <c r="G30" s="41"/>
      <c r="H30" s="91"/>
      <c r="I30" s="91"/>
      <c r="J30" s="242"/>
    </row>
    <row r="31" spans="1:10" ht="12.75">
      <c r="A31" s="90">
        <v>40451</v>
      </c>
      <c r="B31" s="366">
        <f t="shared" si="4"/>
        <v>25</v>
      </c>
      <c r="C31" s="41">
        <f t="shared" si="0"/>
        <v>186456660</v>
      </c>
      <c r="D31" s="41"/>
      <c r="E31" s="361">
        <f>E29</f>
        <v>0.04612</v>
      </c>
      <c r="F31" s="41">
        <f>((C30+D30)*E31/360*B30)+((C31+D31)*E31/360*B31)</f>
        <v>2223023.5350888893</v>
      </c>
      <c r="G31" s="41">
        <f>G29</f>
        <v>38290</v>
      </c>
      <c r="H31" s="91"/>
      <c r="I31" s="91"/>
      <c r="J31" s="242"/>
    </row>
    <row r="32" spans="1:10" ht="12.75">
      <c r="A32" s="90">
        <v>40517</v>
      </c>
      <c r="B32" s="366">
        <f t="shared" si="4"/>
        <v>66</v>
      </c>
      <c r="C32" s="41">
        <f t="shared" si="0"/>
        <v>183497020</v>
      </c>
      <c r="D32" s="41">
        <f>D30</f>
        <v>2959640</v>
      </c>
      <c r="E32" s="361"/>
      <c r="F32" s="41"/>
      <c r="G32" s="41"/>
      <c r="H32" s="91"/>
      <c r="I32" s="91"/>
      <c r="J32" s="242"/>
    </row>
    <row r="33" spans="1:10" ht="12.75">
      <c r="A33" s="97">
        <v>40543</v>
      </c>
      <c r="B33" s="367">
        <f aca="true" t="shared" si="5" ref="B33:B64">A33-A32</f>
        <v>26</v>
      </c>
      <c r="C33" s="99">
        <f t="shared" si="0"/>
        <v>183497020</v>
      </c>
      <c r="D33" s="99"/>
      <c r="E33" s="362">
        <f>E31</f>
        <v>0.04612</v>
      </c>
      <c r="F33" s="99">
        <f>((C32+D32)*E33/360*B32)+((C33+D33)*E33/360*B33)</f>
        <v>2187761.3975822222</v>
      </c>
      <c r="G33" s="99">
        <f>G31</f>
        <v>38290</v>
      </c>
      <c r="H33" s="359">
        <f>SUM(F27:G33)</f>
        <v>9039566.952482222</v>
      </c>
      <c r="I33" s="359">
        <f>SUM(D26:D33)</f>
        <v>11838560</v>
      </c>
      <c r="J33" s="360">
        <f>SUM(H33:I33)</f>
        <v>20878126.952482224</v>
      </c>
    </row>
    <row r="34" spans="1:10" ht="12.75">
      <c r="A34" s="103">
        <v>40607</v>
      </c>
      <c r="B34" s="365">
        <f t="shared" si="5"/>
        <v>64</v>
      </c>
      <c r="C34" s="42">
        <f t="shared" si="0"/>
        <v>180537380</v>
      </c>
      <c r="D34" s="42">
        <f>D32</f>
        <v>2959640</v>
      </c>
      <c r="E34" s="104"/>
      <c r="F34" s="104"/>
      <c r="G34" s="104"/>
      <c r="H34" s="104"/>
      <c r="I34" s="104"/>
      <c r="J34" s="253"/>
    </row>
    <row r="35" spans="1:10" ht="12.75">
      <c r="A35" s="90">
        <v>40633</v>
      </c>
      <c r="B35" s="366">
        <f t="shared" si="5"/>
        <v>26</v>
      </c>
      <c r="C35" s="41">
        <f t="shared" si="0"/>
        <v>180537380</v>
      </c>
      <c r="D35" s="41"/>
      <c r="E35" s="361">
        <f>E33</f>
        <v>0.04612</v>
      </c>
      <c r="F35" s="41">
        <f>((C34+D34)*E35/360*B34)+((C35+D35)*E35/360*B35)</f>
        <v>2105862.408608889</v>
      </c>
      <c r="G35" s="41">
        <f>G33</f>
        <v>38290</v>
      </c>
      <c r="H35" s="91"/>
      <c r="I35" s="91"/>
      <c r="J35" s="242"/>
    </row>
    <row r="36" spans="1:10" ht="12.75">
      <c r="A36" s="90">
        <v>40699</v>
      </c>
      <c r="B36" s="366">
        <f t="shared" si="5"/>
        <v>66</v>
      </c>
      <c r="C36" s="41">
        <f t="shared" si="0"/>
        <v>177577740</v>
      </c>
      <c r="D36" s="41">
        <f>D34</f>
        <v>2959640</v>
      </c>
      <c r="E36" s="361"/>
      <c r="F36" s="41"/>
      <c r="G36" s="41"/>
      <c r="H36" s="91"/>
      <c r="I36" s="91"/>
      <c r="J36" s="242"/>
    </row>
    <row r="37" spans="1:10" ht="12.75">
      <c r="A37" s="90">
        <v>40724</v>
      </c>
      <c r="B37" s="366">
        <f t="shared" si="5"/>
        <v>25</v>
      </c>
      <c r="C37" s="41">
        <f aca="true" t="shared" si="6" ref="C37:C68">C36-D37</f>
        <v>177577740</v>
      </c>
      <c r="D37" s="41"/>
      <c r="E37" s="361">
        <f>E35</f>
        <v>0.04612</v>
      </c>
      <c r="F37" s="41">
        <f>((C36+D36)*E37/360*B36)+((C37+D37)*E37/360*B37)</f>
        <v>2095245.7665266667</v>
      </c>
      <c r="G37" s="41">
        <f>G35</f>
        <v>38290</v>
      </c>
      <c r="H37" s="91"/>
      <c r="I37" s="91"/>
      <c r="J37" s="242"/>
    </row>
    <row r="38" spans="1:10" ht="12.75">
      <c r="A38" s="90">
        <v>40791</v>
      </c>
      <c r="B38" s="366">
        <f t="shared" si="5"/>
        <v>67</v>
      </c>
      <c r="C38" s="41">
        <f t="shared" si="6"/>
        <v>174618100</v>
      </c>
      <c r="D38" s="41">
        <f>D36</f>
        <v>2959640</v>
      </c>
      <c r="E38" s="361"/>
      <c r="F38" s="41"/>
      <c r="G38" s="41"/>
      <c r="H38" s="91"/>
      <c r="I38" s="91"/>
      <c r="J38" s="242"/>
    </row>
    <row r="39" spans="1:10" ht="12.75">
      <c r="A39" s="90">
        <v>40816</v>
      </c>
      <c r="B39" s="366">
        <f t="shared" si="5"/>
        <v>25</v>
      </c>
      <c r="C39" s="41">
        <f t="shared" si="6"/>
        <v>174618100</v>
      </c>
      <c r="D39" s="41"/>
      <c r="E39" s="361">
        <f>E37</f>
        <v>0.04612</v>
      </c>
      <c r="F39" s="41">
        <f>((C38+D38)*E39/360*B38)+((C39+D39)*E39/360*B39)</f>
        <v>2083491.636137778</v>
      </c>
      <c r="G39" s="41">
        <f>G37</f>
        <v>38290</v>
      </c>
      <c r="H39" s="91"/>
      <c r="I39" s="91"/>
      <c r="J39" s="242"/>
    </row>
    <row r="40" spans="1:10" ht="12.75">
      <c r="A40" s="90">
        <v>40882</v>
      </c>
      <c r="B40" s="366">
        <f t="shared" si="5"/>
        <v>66</v>
      </c>
      <c r="C40" s="41">
        <f t="shared" si="6"/>
        <v>171658460</v>
      </c>
      <c r="D40" s="41">
        <f>D38</f>
        <v>2959640</v>
      </c>
      <c r="E40" s="361"/>
      <c r="F40" s="41"/>
      <c r="G40" s="41"/>
      <c r="H40" s="91"/>
      <c r="I40" s="91"/>
      <c r="J40" s="242"/>
    </row>
    <row r="41" spans="1:10" ht="12.75">
      <c r="A41" s="97">
        <v>40908</v>
      </c>
      <c r="B41" s="367">
        <f t="shared" si="5"/>
        <v>26</v>
      </c>
      <c r="C41" s="99">
        <f t="shared" si="6"/>
        <v>171658460</v>
      </c>
      <c r="D41" s="99"/>
      <c r="E41" s="362">
        <f>E39</f>
        <v>0.04612</v>
      </c>
      <c r="F41" s="99">
        <f>((C40+D40)*E41/360*B40)+((C41+D41)*E41/360*B41)</f>
        <v>2048229.4986311109</v>
      </c>
      <c r="G41" s="99">
        <f>G39</f>
        <v>38290</v>
      </c>
      <c r="H41" s="359">
        <f>SUM(F35:G41)</f>
        <v>8485989.309904445</v>
      </c>
      <c r="I41" s="359">
        <f>SUM(D34:D41)</f>
        <v>11838560</v>
      </c>
      <c r="J41" s="360">
        <f>SUM(H41:I41)</f>
        <v>20324549.309904445</v>
      </c>
    </row>
    <row r="42" spans="1:10" ht="12.75">
      <c r="A42" s="103">
        <v>40973</v>
      </c>
      <c r="B42" s="365">
        <f t="shared" si="5"/>
        <v>65</v>
      </c>
      <c r="C42" s="42">
        <f t="shared" si="6"/>
        <v>168698820</v>
      </c>
      <c r="D42" s="42">
        <f>D40</f>
        <v>2959640</v>
      </c>
      <c r="E42" s="104"/>
      <c r="F42" s="104"/>
      <c r="G42" s="104"/>
      <c r="H42" s="104"/>
      <c r="I42" s="104"/>
      <c r="J42" s="253"/>
    </row>
    <row r="43" spans="1:10" ht="12.75">
      <c r="A43" s="90">
        <v>40999</v>
      </c>
      <c r="B43" s="366">
        <f t="shared" si="5"/>
        <v>26</v>
      </c>
      <c r="C43" s="41">
        <f t="shared" si="6"/>
        <v>168698820</v>
      </c>
      <c r="D43" s="41"/>
      <c r="E43" s="361">
        <f>E41</f>
        <v>0.04612</v>
      </c>
      <c r="F43" s="41">
        <f>((C42+D42)*E43/360*B42)+((C43+D43)*E43/360*B43)</f>
        <v>1991355.167851111</v>
      </c>
      <c r="G43" s="41">
        <f>G41</f>
        <v>38290</v>
      </c>
      <c r="H43" s="91"/>
      <c r="I43" s="91"/>
      <c r="J43" s="242"/>
    </row>
    <row r="44" spans="1:10" ht="12.75">
      <c r="A44" s="90">
        <v>41065</v>
      </c>
      <c r="B44" s="366">
        <f t="shared" si="5"/>
        <v>66</v>
      </c>
      <c r="C44" s="41">
        <f t="shared" si="6"/>
        <v>165739180</v>
      </c>
      <c r="D44" s="41">
        <f>D42</f>
        <v>2959640</v>
      </c>
      <c r="E44" s="361"/>
      <c r="F44" s="41"/>
      <c r="G44" s="41"/>
      <c r="H44" s="91"/>
      <c r="I44" s="91"/>
      <c r="J44" s="242"/>
    </row>
    <row r="45" spans="1:10" ht="12.75">
      <c r="A45" s="90">
        <v>41090</v>
      </c>
      <c r="B45" s="366">
        <f t="shared" si="5"/>
        <v>25</v>
      </c>
      <c r="C45" s="41">
        <f t="shared" si="6"/>
        <v>165739180</v>
      </c>
      <c r="D45" s="41"/>
      <c r="E45" s="361">
        <f>E43</f>
        <v>0.04612</v>
      </c>
      <c r="F45" s="41">
        <f>((C44+D44)*E45/360*B44)+((C45+D45)*E45/360*B45)</f>
        <v>1957230.5186511113</v>
      </c>
      <c r="G45" s="41">
        <f>G43</f>
        <v>38290</v>
      </c>
      <c r="H45" s="91"/>
      <c r="I45" s="91"/>
      <c r="J45" s="242"/>
    </row>
    <row r="46" spans="1:10" ht="12.75">
      <c r="A46" s="90">
        <v>41157</v>
      </c>
      <c r="B46" s="366">
        <f t="shared" si="5"/>
        <v>67</v>
      </c>
      <c r="C46" s="41">
        <f t="shared" si="6"/>
        <v>162779540</v>
      </c>
      <c r="D46" s="41">
        <f>D44</f>
        <v>2959640</v>
      </c>
      <c r="E46" s="361"/>
      <c r="F46" s="41"/>
      <c r="G46" s="41"/>
      <c r="H46" s="91"/>
      <c r="I46" s="91"/>
      <c r="J46" s="242"/>
    </row>
    <row r="47" spans="1:10" ht="12.75">
      <c r="A47" s="90">
        <v>41182</v>
      </c>
      <c r="B47" s="366">
        <f t="shared" si="5"/>
        <v>25</v>
      </c>
      <c r="C47" s="41">
        <f t="shared" si="6"/>
        <v>162779540</v>
      </c>
      <c r="D47" s="41"/>
      <c r="E47" s="361">
        <f>E45</f>
        <v>0.04612</v>
      </c>
      <c r="F47" s="41">
        <f>((C46+D46)*E47/360*B46)+((C47+D47)*E47/360*B47)</f>
        <v>1943959.7371866668</v>
      </c>
      <c r="G47" s="41">
        <f>G45</f>
        <v>38290</v>
      </c>
      <c r="H47" s="91"/>
      <c r="I47" s="91"/>
      <c r="J47" s="242"/>
    </row>
    <row r="48" spans="1:10" ht="12.75">
      <c r="A48" s="90">
        <v>41248</v>
      </c>
      <c r="B48" s="366">
        <f t="shared" si="5"/>
        <v>66</v>
      </c>
      <c r="C48" s="41">
        <f t="shared" si="6"/>
        <v>159819900</v>
      </c>
      <c r="D48" s="41">
        <f>D46</f>
        <v>2959640</v>
      </c>
      <c r="E48" s="361"/>
      <c r="F48" s="41"/>
      <c r="G48" s="41"/>
      <c r="H48" s="91"/>
      <c r="I48" s="91"/>
      <c r="J48" s="242"/>
    </row>
    <row r="49" spans="1:10" ht="12.75">
      <c r="A49" s="97">
        <v>41274</v>
      </c>
      <c r="B49" s="367">
        <f t="shared" si="5"/>
        <v>26</v>
      </c>
      <c r="C49" s="99">
        <f t="shared" si="6"/>
        <v>159819900</v>
      </c>
      <c r="D49" s="99"/>
      <c r="E49" s="362">
        <f>E47</f>
        <v>0.04612</v>
      </c>
      <c r="F49" s="99">
        <f>((C48+D48)*E49/360*B48)+((C49+D49)*E49/360*B49)</f>
        <v>1908697.59968</v>
      </c>
      <c r="G49" s="99">
        <f>G47</f>
        <v>38290</v>
      </c>
      <c r="H49" s="359">
        <f>SUM(F43:G49)</f>
        <v>7954403.023368889</v>
      </c>
      <c r="I49" s="359">
        <f>SUM(D42:D49)</f>
        <v>11838560</v>
      </c>
      <c r="J49" s="360">
        <f>SUM(H49:I49)</f>
        <v>19792963.023368888</v>
      </c>
    </row>
    <row r="50" spans="1:10" ht="12.75">
      <c r="A50" s="103">
        <v>41338</v>
      </c>
      <c r="B50" s="365">
        <f t="shared" si="5"/>
        <v>64</v>
      </c>
      <c r="C50" s="42">
        <f t="shared" si="6"/>
        <v>156860260</v>
      </c>
      <c r="D50" s="42">
        <f>D48</f>
        <v>2959640</v>
      </c>
      <c r="E50" s="104"/>
      <c r="F50" s="104"/>
      <c r="G50" s="104"/>
      <c r="H50" s="104"/>
      <c r="I50" s="104"/>
      <c r="J50" s="253"/>
    </row>
    <row r="51" spans="1:10" ht="12.75">
      <c r="A51" s="90">
        <v>41364</v>
      </c>
      <c r="B51" s="366">
        <f t="shared" si="5"/>
        <v>26</v>
      </c>
      <c r="C51" s="41">
        <f t="shared" si="6"/>
        <v>156860260</v>
      </c>
      <c r="D51" s="41"/>
      <c r="E51" s="361">
        <f>E49</f>
        <v>0.04612</v>
      </c>
      <c r="F51" s="41">
        <f>((C50+D50)*E51/360*B50)+((C51+D51)*E51/360*B51)</f>
        <v>1832865.2150088889</v>
      </c>
      <c r="G51" s="41">
        <f>G49</f>
        <v>38290</v>
      </c>
      <c r="H51" s="91"/>
      <c r="I51" s="91"/>
      <c r="J51" s="242"/>
    </row>
    <row r="52" spans="1:10" ht="12.75">
      <c r="A52" s="90">
        <v>41430</v>
      </c>
      <c r="B52" s="366">
        <f t="shared" si="5"/>
        <v>66</v>
      </c>
      <c r="C52" s="41">
        <f t="shared" si="6"/>
        <v>153900620</v>
      </c>
      <c r="D52" s="41">
        <f>D50</f>
        <v>2959640</v>
      </c>
      <c r="E52" s="361"/>
      <c r="F52" s="41"/>
      <c r="G52" s="41"/>
      <c r="H52" s="91"/>
      <c r="I52" s="91"/>
      <c r="J52" s="242"/>
    </row>
    <row r="53" spans="1:10" ht="12.75">
      <c r="A53" s="90">
        <v>41455</v>
      </c>
      <c r="B53" s="366">
        <f t="shared" si="5"/>
        <v>25</v>
      </c>
      <c r="C53" s="41">
        <f t="shared" si="6"/>
        <v>153900620</v>
      </c>
      <c r="D53" s="41"/>
      <c r="E53" s="361">
        <f>E51</f>
        <v>0.04612</v>
      </c>
      <c r="F53" s="41">
        <f>((C52+D52)*E53/360*B52)+((C53+D53)*E53/360*B53)</f>
        <v>1819215.2707755556</v>
      </c>
      <c r="G53" s="41">
        <f>G51</f>
        <v>38290</v>
      </c>
      <c r="H53" s="91"/>
      <c r="I53" s="91"/>
      <c r="J53" s="242"/>
    </row>
    <row r="54" spans="1:10" ht="12.75">
      <c r="A54" s="90">
        <v>41522</v>
      </c>
      <c r="B54" s="366">
        <f t="shared" si="5"/>
        <v>67</v>
      </c>
      <c r="C54" s="41">
        <f t="shared" si="6"/>
        <v>150940980</v>
      </c>
      <c r="D54" s="41">
        <f>D52</f>
        <v>2959640</v>
      </c>
      <c r="E54" s="361"/>
      <c r="F54" s="41"/>
      <c r="G54" s="41"/>
      <c r="H54" s="91"/>
      <c r="I54" s="91"/>
      <c r="J54" s="242"/>
    </row>
    <row r="55" spans="1:10" ht="12.75">
      <c r="A55" s="90">
        <v>41547</v>
      </c>
      <c r="B55" s="366">
        <f t="shared" si="5"/>
        <v>25</v>
      </c>
      <c r="C55" s="41">
        <f t="shared" si="6"/>
        <v>150940980</v>
      </c>
      <c r="D55" s="41"/>
      <c r="E55" s="361">
        <f>E53</f>
        <v>0.04612</v>
      </c>
      <c r="F55" s="41">
        <f>((C54+D54)*E55/360*B54)+((C55+D55)*E55/360*B55)</f>
        <v>1804427.8382355557</v>
      </c>
      <c r="G55" s="41">
        <f>G53</f>
        <v>38290</v>
      </c>
      <c r="H55" s="91"/>
      <c r="I55" s="91"/>
      <c r="J55" s="242"/>
    </row>
    <row r="56" spans="1:10" ht="12.75">
      <c r="A56" s="90">
        <v>41613</v>
      </c>
      <c r="B56" s="366">
        <f t="shared" si="5"/>
        <v>66</v>
      </c>
      <c r="C56" s="41">
        <f t="shared" si="6"/>
        <v>147981340</v>
      </c>
      <c r="D56" s="41">
        <f>D54</f>
        <v>2959640</v>
      </c>
      <c r="E56" s="361"/>
      <c r="F56" s="41"/>
      <c r="G56" s="41"/>
      <c r="H56" s="91"/>
      <c r="I56" s="91"/>
      <c r="J56" s="242"/>
    </row>
    <row r="57" spans="1:10" ht="12.75">
      <c r="A57" s="97">
        <v>41639</v>
      </c>
      <c r="B57" s="367">
        <f t="shared" si="5"/>
        <v>26</v>
      </c>
      <c r="C57" s="99">
        <f t="shared" si="6"/>
        <v>147981340</v>
      </c>
      <c r="D57" s="99"/>
      <c r="E57" s="362">
        <f>E55</f>
        <v>0.04612</v>
      </c>
      <c r="F57" s="99">
        <f>((C56+D56)*E57/360*B56)+((C57+D57)*E57/360*B57)</f>
        <v>1769165.700728889</v>
      </c>
      <c r="G57" s="99">
        <f>G55</f>
        <v>38290</v>
      </c>
      <c r="H57" s="359">
        <f>SUM(F51:G57)</f>
        <v>7378834.02474889</v>
      </c>
      <c r="I57" s="359">
        <f>SUM(D50:D57)</f>
        <v>11838560</v>
      </c>
      <c r="J57" s="360">
        <f>SUM(H57:I57)</f>
        <v>19217394.02474889</v>
      </c>
    </row>
    <row r="58" spans="1:10" ht="12.75">
      <c r="A58" s="103">
        <v>41703</v>
      </c>
      <c r="B58" s="365">
        <f t="shared" si="5"/>
        <v>64</v>
      </c>
      <c r="C58" s="42">
        <f t="shared" si="6"/>
        <v>145021700</v>
      </c>
      <c r="D58" s="42">
        <f>D56</f>
        <v>2959640</v>
      </c>
      <c r="E58" s="104"/>
      <c r="F58" s="104"/>
      <c r="G58" s="104"/>
      <c r="H58" s="104"/>
      <c r="I58" s="104"/>
      <c r="J58" s="253"/>
    </row>
    <row r="59" spans="1:10" ht="12.75">
      <c r="A59" s="90">
        <v>41729</v>
      </c>
      <c r="B59" s="366">
        <f t="shared" si="5"/>
        <v>26</v>
      </c>
      <c r="C59" s="41">
        <f t="shared" si="6"/>
        <v>145021700</v>
      </c>
      <c r="D59" s="41"/>
      <c r="E59" s="361">
        <f>E57</f>
        <v>0.04612</v>
      </c>
      <c r="F59" s="41">
        <f>((C58+D58)*E59/360*B58)+((C59+D59)*E59/360*B59)</f>
        <v>1696366.618208889</v>
      </c>
      <c r="G59" s="41">
        <f>G57</f>
        <v>38290</v>
      </c>
      <c r="H59" s="91"/>
      <c r="I59" s="91"/>
      <c r="J59" s="242"/>
    </row>
    <row r="60" spans="1:10" ht="12.75">
      <c r="A60" s="90">
        <v>41795</v>
      </c>
      <c r="B60" s="366">
        <f t="shared" si="5"/>
        <v>66</v>
      </c>
      <c r="C60" s="41">
        <f t="shared" si="6"/>
        <v>142062060</v>
      </c>
      <c r="D60" s="41">
        <f>D58</f>
        <v>2959640</v>
      </c>
      <c r="E60" s="361"/>
      <c r="F60" s="41"/>
      <c r="G60" s="41"/>
      <c r="H60" s="91"/>
      <c r="I60" s="91"/>
      <c r="J60" s="242"/>
    </row>
    <row r="61" spans="1:10" ht="12.75">
      <c r="A61" s="90">
        <v>41820</v>
      </c>
      <c r="B61" s="366">
        <f t="shared" si="5"/>
        <v>25</v>
      </c>
      <c r="C61" s="41">
        <f t="shared" si="6"/>
        <v>142062060</v>
      </c>
      <c r="D61" s="41"/>
      <c r="E61" s="361">
        <f>E59</f>
        <v>0.04612</v>
      </c>
      <c r="F61" s="41">
        <f>((C60+D60)*E61/360*B60)+((C61+D61)*E61/360*B61)</f>
        <v>1681200.0229</v>
      </c>
      <c r="G61" s="41">
        <f>G59</f>
        <v>38290</v>
      </c>
      <c r="H61" s="91"/>
      <c r="I61" s="91"/>
      <c r="J61" s="242"/>
    </row>
    <row r="62" spans="1:10" ht="12.75">
      <c r="A62" s="90">
        <v>41887</v>
      </c>
      <c r="B62" s="366">
        <f t="shared" si="5"/>
        <v>67</v>
      </c>
      <c r="C62" s="41">
        <f t="shared" si="6"/>
        <v>139102420</v>
      </c>
      <c r="D62" s="41">
        <f>D60</f>
        <v>2959640</v>
      </c>
      <c r="E62" s="361"/>
      <c r="F62" s="41"/>
      <c r="G62" s="41"/>
      <c r="H62" s="91"/>
      <c r="I62" s="91"/>
      <c r="J62" s="242"/>
    </row>
    <row r="63" spans="1:10" ht="12.75">
      <c r="A63" s="90">
        <v>41912</v>
      </c>
      <c r="B63" s="366">
        <f t="shared" si="5"/>
        <v>25</v>
      </c>
      <c r="C63" s="41">
        <f t="shared" si="6"/>
        <v>139102420</v>
      </c>
      <c r="D63" s="41"/>
      <c r="E63" s="361">
        <f>E61</f>
        <v>0.04612</v>
      </c>
      <c r="F63" s="41">
        <f>((C62+D62)*E63/360*B62)+((C63+D63)*E63/360*B63)</f>
        <v>1664895.9392844443</v>
      </c>
      <c r="G63" s="41">
        <f>G61</f>
        <v>38290</v>
      </c>
      <c r="H63" s="91"/>
      <c r="I63" s="91"/>
      <c r="J63" s="242"/>
    </row>
    <row r="64" spans="1:10" ht="12.75">
      <c r="A64" s="90">
        <v>41978</v>
      </c>
      <c r="B64" s="366">
        <f t="shared" si="5"/>
        <v>66</v>
      </c>
      <c r="C64" s="41">
        <f t="shared" si="6"/>
        <v>136142780</v>
      </c>
      <c r="D64" s="41">
        <f>D62</f>
        <v>2959640</v>
      </c>
      <c r="E64" s="361"/>
      <c r="F64" s="41"/>
      <c r="G64" s="41"/>
      <c r="H64" s="91"/>
      <c r="I64" s="91"/>
      <c r="J64" s="242"/>
    </row>
    <row r="65" spans="1:10" ht="12.75">
      <c r="A65" s="97">
        <v>42004</v>
      </c>
      <c r="B65" s="367">
        <f aca="true" t="shared" si="7" ref="B65:B96">A65-A64</f>
        <v>26</v>
      </c>
      <c r="C65" s="99">
        <f t="shared" si="6"/>
        <v>136142780</v>
      </c>
      <c r="D65" s="99"/>
      <c r="E65" s="362">
        <f>E63</f>
        <v>0.04612</v>
      </c>
      <c r="F65" s="99">
        <f>((C64+D64)*E65/360*B64)+((C65+D65)*E65/360*B65)</f>
        <v>1629633.8017777777</v>
      </c>
      <c r="G65" s="99">
        <f>G63</f>
        <v>38290</v>
      </c>
      <c r="H65" s="359">
        <f>SUM(F59:G65)</f>
        <v>6825256.382171111</v>
      </c>
      <c r="I65" s="359">
        <f>SUM(D58:D65)</f>
        <v>11838560</v>
      </c>
      <c r="J65" s="360">
        <f>SUM(H65:I65)</f>
        <v>18663816.38217111</v>
      </c>
    </row>
    <row r="66" spans="1:10" ht="12.75">
      <c r="A66" s="103">
        <v>42068</v>
      </c>
      <c r="B66" s="365">
        <f t="shared" si="7"/>
        <v>64</v>
      </c>
      <c r="C66" s="42">
        <f t="shared" si="6"/>
        <v>133183140</v>
      </c>
      <c r="D66" s="42">
        <f>D64</f>
        <v>2959640</v>
      </c>
      <c r="E66" s="104"/>
      <c r="F66" s="104"/>
      <c r="G66" s="104"/>
      <c r="H66" s="104"/>
      <c r="I66" s="104"/>
      <c r="J66" s="253"/>
    </row>
    <row r="67" spans="1:10" ht="12.75">
      <c r="A67" s="90">
        <v>42094</v>
      </c>
      <c r="B67" s="366">
        <f t="shared" si="7"/>
        <v>26</v>
      </c>
      <c r="C67" s="41">
        <f t="shared" si="6"/>
        <v>133183140</v>
      </c>
      <c r="D67" s="41"/>
      <c r="E67" s="361">
        <f>E65</f>
        <v>0.04612</v>
      </c>
      <c r="F67" s="41">
        <f>((C66+D66)*E67/360*B66)+((C67+D67)*E67/360*B67)</f>
        <v>1559868.021408889</v>
      </c>
      <c r="G67" s="41">
        <f>G65</f>
        <v>38290</v>
      </c>
      <c r="H67" s="91"/>
      <c r="I67" s="91"/>
      <c r="J67" s="242"/>
    </row>
    <row r="68" spans="1:10" ht="12.75">
      <c r="A68" s="90">
        <v>42160</v>
      </c>
      <c r="B68" s="366">
        <f t="shared" si="7"/>
        <v>66</v>
      </c>
      <c r="C68" s="41">
        <f t="shared" si="6"/>
        <v>130223500</v>
      </c>
      <c r="D68" s="41">
        <f>D66</f>
        <v>2959640</v>
      </c>
      <c r="E68" s="361"/>
      <c r="F68" s="41"/>
      <c r="G68" s="41"/>
      <c r="H68" s="91"/>
      <c r="I68" s="91"/>
      <c r="J68" s="242"/>
    </row>
    <row r="69" spans="1:10" ht="12.75">
      <c r="A69" s="90">
        <v>42185</v>
      </c>
      <c r="B69" s="366">
        <f t="shared" si="7"/>
        <v>25</v>
      </c>
      <c r="C69" s="41">
        <f aca="true" t="shared" si="8" ref="C69:C100">C68-D69</f>
        <v>130223500</v>
      </c>
      <c r="D69" s="41"/>
      <c r="E69" s="361">
        <f>E67</f>
        <v>0.04612</v>
      </c>
      <c r="F69" s="41">
        <f>((C68+D68)*E69/360*B68)+((C69+D69)*E69/360*B69)</f>
        <v>1543184.7750244446</v>
      </c>
      <c r="G69" s="41">
        <f>G67</f>
        <v>38290</v>
      </c>
      <c r="H69" s="91"/>
      <c r="I69" s="91"/>
      <c r="J69" s="242"/>
    </row>
    <row r="70" spans="1:10" ht="12.75">
      <c r="A70" s="90">
        <v>42252</v>
      </c>
      <c r="B70" s="366">
        <f t="shared" si="7"/>
        <v>67</v>
      </c>
      <c r="C70" s="41">
        <f t="shared" si="8"/>
        <v>127263860</v>
      </c>
      <c r="D70" s="41">
        <f>D68</f>
        <v>2959640</v>
      </c>
      <c r="E70" s="361"/>
      <c r="F70" s="41"/>
      <c r="G70" s="41"/>
      <c r="H70" s="91"/>
      <c r="I70" s="91"/>
      <c r="J70" s="242"/>
    </row>
    <row r="71" spans="1:10" ht="12.75">
      <c r="A71" s="90">
        <v>42277</v>
      </c>
      <c r="B71" s="366">
        <f t="shared" si="7"/>
        <v>25</v>
      </c>
      <c r="C71" s="41">
        <f t="shared" si="8"/>
        <v>127263860</v>
      </c>
      <c r="D71" s="41"/>
      <c r="E71" s="361">
        <f>E69</f>
        <v>0.04612</v>
      </c>
      <c r="F71" s="41">
        <f>((C70+D70)*E71/360*B70)+((C71+D71)*E71/360*B71)</f>
        <v>1525364.0403333334</v>
      </c>
      <c r="G71" s="41">
        <f>G69</f>
        <v>38290</v>
      </c>
      <c r="H71" s="91"/>
      <c r="I71" s="91"/>
      <c r="J71" s="242"/>
    </row>
    <row r="72" spans="1:10" ht="12.75">
      <c r="A72" s="90">
        <v>42343</v>
      </c>
      <c r="B72" s="366">
        <f t="shared" si="7"/>
        <v>66</v>
      </c>
      <c r="C72" s="41">
        <f t="shared" si="8"/>
        <v>124304220</v>
      </c>
      <c r="D72" s="41">
        <f>D70</f>
        <v>2959640</v>
      </c>
      <c r="E72" s="361"/>
      <c r="F72" s="41"/>
      <c r="G72" s="41"/>
      <c r="H72" s="91"/>
      <c r="I72" s="91"/>
      <c r="J72" s="242"/>
    </row>
    <row r="73" spans="1:10" ht="12.75">
      <c r="A73" s="97">
        <v>42369</v>
      </c>
      <c r="B73" s="367">
        <f t="shared" si="7"/>
        <v>26</v>
      </c>
      <c r="C73" s="99">
        <f t="shared" si="8"/>
        <v>124304220</v>
      </c>
      <c r="D73" s="99"/>
      <c r="E73" s="362">
        <f>E71</f>
        <v>0.04612</v>
      </c>
      <c r="F73" s="99">
        <f>((C72+D72)*E73/360*B72)+((C73+D73)*E73/360*B73)</f>
        <v>1490101.9028266668</v>
      </c>
      <c r="G73" s="99">
        <f>G71</f>
        <v>38290</v>
      </c>
      <c r="H73" s="359">
        <f>SUM(F67:G73)</f>
        <v>6271678.739593334</v>
      </c>
      <c r="I73" s="359">
        <f>SUM(D66:D73)</f>
        <v>11838560</v>
      </c>
      <c r="J73" s="360">
        <f>SUM(H73:I73)</f>
        <v>18110238.739593334</v>
      </c>
    </row>
    <row r="74" spans="1:10" ht="12.75">
      <c r="A74" s="103">
        <v>42434</v>
      </c>
      <c r="B74" s="365">
        <f t="shared" si="7"/>
        <v>65</v>
      </c>
      <c r="C74" s="42">
        <f t="shared" si="8"/>
        <v>121344580</v>
      </c>
      <c r="D74" s="42">
        <f>D72</f>
        <v>2959640</v>
      </c>
      <c r="E74" s="104"/>
      <c r="F74" s="104"/>
      <c r="G74" s="104"/>
      <c r="H74" s="104"/>
      <c r="I74" s="104"/>
      <c r="J74" s="253"/>
    </row>
    <row r="75" spans="1:10" ht="12.75">
      <c r="A75" s="90">
        <v>42460</v>
      </c>
      <c r="B75" s="366">
        <f t="shared" si="7"/>
        <v>26</v>
      </c>
      <c r="C75" s="41">
        <f t="shared" si="8"/>
        <v>121344580</v>
      </c>
      <c r="D75" s="41"/>
      <c r="E75" s="361">
        <f>E73</f>
        <v>0.04612</v>
      </c>
      <c r="F75" s="41">
        <f>((C74+D74)*E75/360*B74)+((C75+D75)*E75/360*B75)</f>
        <v>1439294.176348889</v>
      </c>
      <c r="G75" s="41">
        <f>G73</f>
        <v>38290</v>
      </c>
      <c r="H75" s="91"/>
      <c r="I75" s="91"/>
      <c r="J75" s="242"/>
    </row>
    <row r="76" spans="1:10" ht="12.75">
      <c r="A76" s="90">
        <v>42526</v>
      </c>
      <c r="B76" s="366">
        <f t="shared" si="7"/>
        <v>66</v>
      </c>
      <c r="C76" s="41">
        <f t="shared" si="8"/>
        <v>118384940</v>
      </c>
      <c r="D76" s="41">
        <f>D74</f>
        <v>2959640</v>
      </c>
      <c r="E76" s="361"/>
      <c r="F76" s="41"/>
      <c r="G76" s="41"/>
      <c r="H76" s="91"/>
      <c r="I76" s="91"/>
      <c r="J76" s="242"/>
    </row>
    <row r="77" spans="1:10" ht="12.75">
      <c r="A77" s="90">
        <v>42551</v>
      </c>
      <c r="B77" s="366">
        <f t="shared" si="7"/>
        <v>25</v>
      </c>
      <c r="C77" s="41">
        <f t="shared" si="8"/>
        <v>118384940</v>
      </c>
      <c r="D77" s="41"/>
      <c r="E77" s="361">
        <f>E75</f>
        <v>0.04612</v>
      </c>
      <c r="F77" s="41">
        <f>((C76+D76)*E77/360*B76)+((C77+D77)*E77/360*B77)</f>
        <v>1405169.527148889</v>
      </c>
      <c r="G77" s="41">
        <f>G75</f>
        <v>38290</v>
      </c>
      <c r="H77" s="91"/>
      <c r="I77" s="91"/>
      <c r="J77" s="242"/>
    </row>
    <row r="78" spans="1:10" ht="12.75">
      <c r="A78" s="90">
        <v>42618</v>
      </c>
      <c r="B78" s="366">
        <f t="shared" si="7"/>
        <v>67</v>
      </c>
      <c r="C78" s="41">
        <f t="shared" si="8"/>
        <v>115425300</v>
      </c>
      <c r="D78" s="41">
        <f>D76</f>
        <v>2959640</v>
      </c>
      <c r="E78" s="361"/>
      <c r="F78" s="41"/>
      <c r="G78" s="41"/>
      <c r="H78" s="91"/>
      <c r="I78" s="91"/>
      <c r="J78" s="242"/>
    </row>
    <row r="79" spans="1:10" ht="12.75">
      <c r="A79" s="90">
        <v>42643</v>
      </c>
      <c r="B79" s="366">
        <f t="shared" si="7"/>
        <v>25</v>
      </c>
      <c r="C79" s="41">
        <f t="shared" si="8"/>
        <v>115425300</v>
      </c>
      <c r="D79" s="41"/>
      <c r="E79" s="361">
        <f>E77</f>
        <v>0.04612</v>
      </c>
      <c r="F79" s="41">
        <f>((C78+D78)*E79/360*B78)+((C79+D79)*E79/360*B79)</f>
        <v>1385832.1413822223</v>
      </c>
      <c r="G79" s="41">
        <f>G77</f>
        <v>38290</v>
      </c>
      <c r="H79" s="91"/>
      <c r="I79" s="91"/>
      <c r="J79" s="242"/>
    </row>
    <row r="80" spans="1:10" ht="12.75">
      <c r="A80" s="90">
        <v>42709</v>
      </c>
      <c r="B80" s="366">
        <f t="shared" si="7"/>
        <v>66</v>
      </c>
      <c r="C80" s="41">
        <f t="shared" si="8"/>
        <v>112465660</v>
      </c>
      <c r="D80" s="41">
        <f>D78</f>
        <v>2959640</v>
      </c>
      <c r="E80" s="361"/>
      <c r="F80" s="41"/>
      <c r="G80" s="41"/>
      <c r="H80" s="91"/>
      <c r="I80" s="91"/>
      <c r="J80" s="242"/>
    </row>
    <row r="81" spans="1:10" ht="12.75">
      <c r="A81" s="97">
        <v>42735</v>
      </c>
      <c r="B81" s="367">
        <f t="shared" si="7"/>
        <v>26</v>
      </c>
      <c r="C81" s="99">
        <f t="shared" si="8"/>
        <v>112465660</v>
      </c>
      <c r="D81" s="99"/>
      <c r="E81" s="362">
        <f>E79</f>
        <v>0.04612</v>
      </c>
      <c r="F81" s="99">
        <f>((C80+D80)*E81/360*B80)+((C81+D81)*E81/360*B81)</f>
        <v>1350570.0038755555</v>
      </c>
      <c r="G81" s="99">
        <f>G79</f>
        <v>38290</v>
      </c>
      <c r="H81" s="359">
        <f>SUM(F75:G81)</f>
        <v>5734025.848755555</v>
      </c>
      <c r="I81" s="359">
        <f>SUM(D74:D81)</f>
        <v>11838560</v>
      </c>
      <c r="J81" s="360">
        <f>SUM(H81:I81)</f>
        <v>17572585.848755553</v>
      </c>
    </row>
    <row r="82" spans="1:10" ht="12.75">
      <c r="A82" s="103">
        <v>42799</v>
      </c>
      <c r="B82" s="365">
        <f t="shared" si="7"/>
        <v>64</v>
      </c>
      <c r="C82" s="42">
        <f t="shared" si="8"/>
        <v>109506020</v>
      </c>
      <c r="D82" s="42">
        <f>D80</f>
        <v>2959640</v>
      </c>
      <c r="E82" s="104"/>
      <c r="F82" s="104"/>
      <c r="G82" s="104"/>
      <c r="H82" s="104"/>
      <c r="I82" s="104"/>
      <c r="J82" s="253"/>
    </row>
    <row r="83" spans="1:10" ht="12.75">
      <c r="A83" s="90">
        <v>42825</v>
      </c>
      <c r="B83" s="366">
        <f t="shared" si="7"/>
        <v>26</v>
      </c>
      <c r="C83" s="41">
        <f t="shared" si="8"/>
        <v>109506020</v>
      </c>
      <c r="D83" s="41"/>
      <c r="E83" s="361">
        <f>E81</f>
        <v>0.04612</v>
      </c>
      <c r="F83" s="41">
        <f>((C82+D82)*E83/360*B82)+((C83+D83)*E83/360*B83)</f>
        <v>1286870.8278088889</v>
      </c>
      <c r="G83" s="41">
        <f>G81</f>
        <v>38290</v>
      </c>
      <c r="H83" s="91"/>
      <c r="I83" s="91"/>
      <c r="J83" s="242"/>
    </row>
    <row r="84" spans="1:10" ht="12.75">
      <c r="A84" s="90">
        <v>42891</v>
      </c>
      <c r="B84" s="366">
        <f t="shared" si="7"/>
        <v>66</v>
      </c>
      <c r="C84" s="41">
        <f t="shared" si="8"/>
        <v>106546380</v>
      </c>
      <c r="D84" s="41">
        <f>D82</f>
        <v>2959640</v>
      </c>
      <c r="E84" s="361"/>
      <c r="F84" s="41"/>
      <c r="G84" s="41"/>
      <c r="H84" s="91"/>
      <c r="I84" s="91"/>
      <c r="J84" s="242"/>
    </row>
    <row r="85" spans="1:10" ht="12.75">
      <c r="A85" s="90">
        <v>42916</v>
      </c>
      <c r="B85" s="366">
        <f t="shared" si="7"/>
        <v>25</v>
      </c>
      <c r="C85" s="41">
        <f t="shared" si="8"/>
        <v>106546380</v>
      </c>
      <c r="D85" s="41"/>
      <c r="E85" s="361">
        <f>E83</f>
        <v>0.04612</v>
      </c>
      <c r="F85" s="41">
        <f>((C84+D84)*E85/360*B84)+((C85+D85)*E85/360*B85)</f>
        <v>1267154.2792733335</v>
      </c>
      <c r="G85" s="41">
        <f>G83</f>
        <v>38290</v>
      </c>
      <c r="H85" s="91"/>
      <c r="I85" s="91"/>
      <c r="J85" s="242"/>
    </row>
    <row r="86" spans="1:10" ht="12.75">
      <c r="A86" s="90">
        <v>42983</v>
      </c>
      <c r="B86" s="366">
        <f t="shared" si="7"/>
        <v>67</v>
      </c>
      <c r="C86" s="41">
        <f t="shared" si="8"/>
        <v>103586740</v>
      </c>
      <c r="D86" s="41">
        <f>D84</f>
        <v>2959640</v>
      </c>
      <c r="E86" s="361"/>
      <c r="F86" s="41"/>
      <c r="G86" s="41"/>
      <c r="H86" s="91"/>
      <c r="I86" s="91"/>
      <c r="J86" s="242"/>
    </row>
    <row r="87" spans="1:10" ht="12.75">
      <c r="A87" s="90">
        <v>43008</v>
      </c>
      <c r="B87" s="366">
        <f t="shared" si="7"/>
        <v>25</v>
      </c>
      <c r="C87" s="41">
        <f t="shared" si="8"/>
        <v>103586740</v>
      </c>
      <c r="D87" s="41"/>
      <c r="E87" s="361">
        <f>E85</f>
        <v>0.04612</v>
      </c>
      <c r="F87" s="41">
        <f>((C86+D86)*E87/360*B86)+((C87+D87)*E87/360*B87)</f>
        <v>1246300.2424311112</v>
      </c>
      <c r="G87" s="41">
        <f>G85</f>
        <v>38290</v>
      </c>
      <c r="H87" s="91"/>
      <c r="I87" s="91"/>
      <c r="J87" s="242"/>
    </row>
    <row r="88" spans="1:10" ht="12.75">
      <c r="A88" s="90">
        <v>43074</v>
      </c>
      <c r="B88" s="366">
        <f t="shared" si="7"/>
        <v>66</v>
      </c>
      <c r="C88" s="41">
        <f t="shared" si="8"/>
        <v>100627100</v>
      </c>
      <c r="D88" s="41">
        <f>D86</f>
        <v>2959640</v>
      </c>
      <c r="E88" s="361"/>
      <c r="F88" s="41"/>
      <c r="G88" s="41"/>
      <c r="H88" s="91"/>
      <c r="I88" s="91"/>
      <c r="J88" s="242"/>
    </row>
    <row r="89" spans="1:10" ht="12.75">
      <c r="A89" s="97">
        <v>43100</v>
      </c>
      <c r="B89" s="367">
        <f t="shared" si="7"/>
        <v>26</v>
      </c>
      <c r="C89" s="99">
        <f t="shared" si="8"/>
        <v>100627100</v>
      </c>
      <c r="D89" s="99"/>
      <c r="E89" s="362">
        <f>E87</f>
        <v>0.04612</v>
      </c>
      <c r="F89" s="99">
        <f>((C88+D88)*E89/360*B88)+((C89+D89)*E89/360*B89)</f>
        <v>1211038.1049244446</v>
      </c>
      <c r="G89" s="99">
        <f>G87</f>
        <v>38290</v>
      </c>
      <c r="H89" s="359">
        <f>SUM(F83:G89)</f>
        <v>5164523.454437778</v>
      </c>
      <c r="I89" s="359">
        <f>SUM(D82:D89)</f>
        <v>11838560</v>
      </c>
      <c r="J89" s="360">
        <f>SUM(H89:I89)</f>
        <v>17003083.454437777</v>
      </c>
    </row>
    <row r="90" spans="1:10" ht="12.75">
      <c r="A90" s="103">
        <v>43164</v>
      </c>
      <c r="B90" s="365">
        <f t="shared" si="7"/>
        <v>64</v>
      </c>
      <c r="C90" s="42">
        <f t="shared" si="8"/>
        <v>97667460</v>
      </c>
      <c r="D90" s="42">
        <f>D88</f>
        <v>2959640</v>
      </c>
      <c r="E90" s="104"/>
      <c r="F90" s="104"/>
      <c r="G90" s="104"/>
      <c r="H90" s="104"/>
      <c r="I90" s="104"/>
      <c r="J90" s="253"/>
    </row>
    <row r="91" spans="1:10" ht="12.75">
      <c r="A91" s="90">
        <v>43190</v>
      </c>
      <c r="B91" s="366">
        <f t="shared" si="7"/>
        <v>26</v>
      </c>
      <c r="C91" s="41">
        <f t="shared" si="8"/>
        <v>97667460</v>
      </c>
      <c r="D91" s="41"/>
      <c r="E91" s="361">
        <f>E89</f>
        <v>0.04612</v>
      </c>
      <c r="F91" s="41">
        <f>((C90+D90)*E91/360*B90)+((C91+D91)*E91/360*B91)</f>
        <v>1150372.231008889</v>
      </c>
      <c r="G91" s="41">
        <f>G89</f>
        <v>38290</v>
      </c>
      <c r="H91" s="91"/>
      <c r="I91" s="91"/>
      <c r="J91" s="242"/>
    </row>
    <row r="92" spans="1:10" ht="12.75">
      <c r="A92" s="90">
        <v>43256</v>
      </c>
      <c r="B92" s="366">
        <f t="shared" si="7"/>
        <v>66</v>
      </c>
      <c r="C92" s="41">
        <f t="shared" si="8"/>
        <v>94707820</v>
      </c>
      <c r="D92" s="41">
        <f>D90</f>
        <v>2959640</v>
      </c>
      <c r="E92" s="361"/>
      <c r="F92" s="41"/>
      <c r="G92" s="41"/>
      <c r="H92" s="91"/>
      <c r="I92" s="91"/>
      <c r="J92" s="242"/>
    </row>
    <row r="93" spans="1:10" ht="12.75">
      <c r="A93" s="90">
        <v>43281</v>
      </c>
      <c r="B93" s="366">
        <f t="shared" si="7"/>
        <v>25</v>
      </c>
      <c r="C93" s="41">
        <f t="shared" si="8"/>
        <v>94707820</v>
      </c>
      <c r="D93" s="41"/>
      <c r="E93" s="361">
        <f>E91</f>
        <v>0.04612</v>
      </c>
      <c r="F93" s="41">
        <f>((C92+D92)*E93/360*B92)+((C93+D93)*E93/360*B93)</f>
        <v>1129139.0313977778</v>
      </c>
      <c r="G93" s="41">
        <f>G91</f>
        <v>38290</v>
      </c>
      <c r="H93" s="91"/>
      <c r="I93" s="91"/>
      <c r="J93" s="242"/>
    </row>
    <row r="94" spans="1:10" ht="12.75">
      <c r="A94" s="90">
        <v>43348</v>
      </c>
      <c r="B94" s="366">
        <f t="shared" si="7"/>
        <v>67</v>
      </c>
      <c r="C94" s="41">
        <f t="shared" si="8"/>
        <v>91748180</v>
      </c>
      <c r="D94" s="41">
        <f>D92</f>
        <v>2959640</v>
      </c>
      <c r="E94" s="361"/>
      <c r="F94" s="41"/>
      <c r="G94" s="41"/>
      <c r="H94" s="91"/>
      <c r="I94" s="91"/>
      <c r="J94" s="242"/>
    </row>
    <row r="95" spans="1:10" ht="12.75">
      <c r="A95" s="90">
        <v>43373</v>
      </c>
      <c r="B95" s="366">
        <f t="shared" si="7"/>
        <v>25</v>
      </c>
      <c r="C95" s="41">
        <f t="shared" si="8"/>
        <v>91748180</v>
      </c>
      <c r="D95" s="41"/>
      <c r="E95" s="361">
        <f>E93</f>
        <v>0.04612</v>
      </c>
      <c r="F95" s="41">
        <f>((C94+D94)*E95/360*B94)+((C95+D95)*E95/360*B95)</f>
        <v>1106768.34348</v>
      </c>
      <c r="G95" s="41">
        <f>G93</f>
        <v>38290</v>
      </c>
      <c r="H95" s="91"/>
      <c r="I95" s="91"/>
      <c r="J95" s="242"/>
    </row>
    <row r="96" spans="1:10" ht="12.75">
      <c r="A96" s="90">
        <v>43439</v>
      </c>
      <c r="B96" s="366">
        <f t="shared" si="7"/>
        <v>66</v>
      </c>
      <c r="C96" s="41">
        <f t="shared" si="8"/>
        <v>88788540</v>
      </c>
      <c r="D96" s="41">
        <f>D94</f>
        <v>2959640</v>
      </c>
      <c r="E96" s="361"/>
      <c r="F96" s="41"/>
      <c r="G96" s="41"/>
      <c r="H96" s="91"/>
      <c r="I96" s="91"/>
      <c r="J96" s="242"/>
    </row>
    <row r="97" spans="1:10" ht="12.75">
      <c r="A97" s="97">
        <v>43465</v>
      </c>
      <c r="B97" s="367">
        <f aca="true" t="shared" si="9" ref="B97:B128">A97-A96</f>
        <v>26</v>
      </c>
      <c r="C97" s="99">
        <f t="shared" si="8"/>
        <v>88788540</v>
      </c>
      <c r="D97" s="99"/>
      <c r="E97" s="362">
        <f>E95</f>
        <v>0.04612</v>
      </c>
      <c r="F97" s="99">
        <f>((C96+D96)*E97/360*B96)+((C97+D97)*E97/360*B97)</f>
        <v>1071506.2059733332</v>
      </c>
      <c r="G97" s="99">
        <f>G95</f>
        <v>38290</v>
      </c>
      <c r="H97" s="359">
        <f>SUM(F91:G97)</f>
        <v>4610945.811860001</v>
      </c>
      <c r="I97" s="359">
        <f>SUM(D90:D97)</f>
        <v>11838560</v>
      </c>
      <c r="J97" s="360">
        <f>SUM(H97:I97)</f>
        <v>16449505.81186</v>
      </c>
    </row>
    <row r="98" spans="1:10" ht="12.75">
      <c r="A98" s="103">
        <v>43529</v>
      </c>
      <c r="B98" s="365">
        <f t="shared" si="9"/>
        <v>64</v>
      </c>
      <c r="C98" s="42">
        <f t="shared" si="8"/>
        <v>85828900</v>
      </c>
      <c r="D98" s="42">
        <f>D96</f>
        <v>2959640</v>
      </c>
      <c r="E98" s="104"/>
      <c r="F98" s="104"/>
      <c r="G98" s="104"/>
      <c r="H98" s="104"/>
      <c r="I98" s="104"/>
      <c r="J98" s="253"/>
    </row>
    <row r="99" spans="1:10" ht="12.75">
      <c r="A99" s="90">
        <v>43555</v>
      </c>
      <c r="B99" s="366">
        <f t="shared" si="9"/>
        <v>26</v>
      </c>
      <c r="C99" s="41">
        <f t="shared" si="8"/>
        <v>85828900</v>
      </c>
      <c r="D99" s="41"/>
      <c r="E99" s="361">
        <f>E97</f>
        <v>0.04612</v>
      </c>
      <c r="F99" s="41">
        <f>((C98+D98)*E99/360*B98)+((C99+D99)*E99/360*B99)</f>
        <v>1013873.634208889</v>
      </c>
      <c r="G99" s="41">
        <f>G97</f>
        <v>38290</v>
      </c>
      <c r="H99" s="91"/>
      <c r="I99" s="91"/>
      <c r="J99" s="242"/>
    </row>
    <row r="100" spans="1:10" ht="12.75">
      <c r="A100" s="90">
        <v>43621</v>
      </c>
      <c r="B100" s="366">
        <f t="shared" si="9"/>
        <v>66</v>
      </c>
      <c r="C100" s="41">
        <f t="shared" si="8"/>
        <v>82869260</v>
      </c>
      <c r="D100" s="41">
        <f>D98</f>
        <v>2959640</v>
      </c>
      <c r="E100" s="361"/>
      <c r="F100" s="41"/>
      <c r="G100" s="41"/>
      <c r="H100" s="91"/>
      <c r="I100" s="91"/>
      <c r="J100" s="242"/>
    </row>
    <row r="101" spans="1:10" ht="12.75">
      <c r="A101" s="90">
        <v>43646</v>
      </c>
      <c r="B101" s="366">
        <f t="shared" si="9"/>
        <v>25</v>
      </c>
      <c r="C101" s="41">
        <f aca="true" t="shared" si="10" ref="C101:C132">C100-D101</f>
        <v>82869260</v>
      </c>
      <c r="D101" s="41"/>
      <c r="E101" s="361">
        <f>E99</f>
        <v>0.04612</v>
      </c>
      <c r="F101" s="41">
        <f>((C100+D100)*E101/360*B100)+((C101+D101)*E101/360*B101)</f>
        <v>991123.7835222223</v>
      </c>
      <c r="G101" s="41">
        <f>G99</f>
        <v>38290</v>
      </c>
      <c r="H101" s="91"/>
      <c r="I101" s="91"/>
      <c r="J101" s="242"/>
    </row>
    <row r="102" spans="1:10" ht="12.75">
      <c r="A102" s="90">
        <v>43713</v>
      </c>
      <c r="B102" s="366">
        <f t="shared" si="9"/>
        <v>67</v>
      </c>
      <c r="C102" s="41">
        <f t="shared" si="10"/>
        <v>79909620</v>
      </c>
      <c r="D102" s="41">
        <f>D100</f>
        <v>2959640</v>
      </c>
      <c r="E102" s="361"/>
      <c r="F102" s="41"/>
      <c r="G102" s="41"/>
      <c r="H102" s="91"/>
      <c r="I102" s="91"/>
      <c r="J102" s="242"/>
    </row>
    <row r="103" spans="1:10" ht="12.75">
      <c r="A103" s="90">
        <v>43738</v>
      </c>
      <c r="B103" s="366">
        <f t="shared" si="9"/>
        <v>25</v>
      </c>
      <c r="C103" s="41">
        <f t="shared" si="10"/>
        <v>79909620</v>
      </c>
      <c r="D103" s="41"/>
      <c r="E103" s="361">
        <f>E101</f>
        <v>0.04612</v>
      </c>
      <c r="F103" s="41">
        <f>((C102+D102)*E103/360*B102)+((C103+D103)*E103/360*B103)</f>
        <v>967236.444528889</v>
      </c>
      <c r="G103" s="41">
        <f>G101</f>
        <v>38290</v>
      </c>
      <c r="H103" s="91"/>
      <c r="I103" s="91"/>
      <c r="J103" s="242"/>
    </row>
    <row r="104" spans="1:10" ht="12.75">
      <c r="A104" s="90">
        <v>43804</v>
      </c>
      <c r="B104" s="366">
        <f t="shared" si="9"/>
        <v>66</v>
      </c>
      <c r="C104" s="41">
        <f t="shared" si="10"/>
        <v>76949980</v>
      </c>
      <c r="D104" s="41">
        <f>D102</f>
        <v>2959640</v>
      </c>
      <c r="E104" s="361"/>
      <c r="F104" s="41"/>
      <c r="G104" s="41"/>
      <c r="H104" s="91"/>
      <c r="I104" s="91"/>
      <c r="J104" s="242"/>
    </row>
    <row r="105" spans="1:10" ht="12.75">
      <c r="A105" s="97">
        <v>43830</v>
      </c>
      <c r="B105" s="367">
        <f t="shared" si="9"/>
        <v>26</v>
      </c>
      <c r="C105" s="99">
        <f t="shared" si="10"/>
        <v>76949980</v>
      </c>
      <c r="D105" s="99"/>
      <c r="E105" s="362">
        <f>E103</f>
        <v>0.04612</v>
      </c>
      <c r="F105" s="99">
        <f>((C104+D104)*E105/360*B104)+((C105+D105)*E105/360*B105)</f>
        <v>931974.3070222222</v>
      </c>
      <c r="G105" s="99">
        <f>G103</f>
        <v>38290</v>
      </c>
      <c r="H105" s="359">
        <f>SUM(F99:G105)</f>
        <v>4057368.1692822226</v>
      </c>
      <c r="I105" s="359">
        <f>SUM(D98:D105)</f>
        <v>11838560</v>
      </c>
      <c r="J105" s="360">
        <f>SUM(H105:I105)</f>
        <v>15895928.169282222</v>
      </c>
    </row>
    <row r="106" spans="1:10" ht="12.75">
      <c r="A106" s="103">
        <v>43895</v>
      </c>
      <c r="B106" s="365">
        <f t="shared" si="9"/>
        <v>65</v>
      </c>
      <c r="C106" s="42">
        <f t="shared" si="10"/>
        <v>73990340</v>
      </c>
      <c r="D106" s="42">
        <f>D104</f>
        <v>2959640</v>
      </c>
      <c r="E106" s="104"/>
      <c r="F106" s="104"/>
      <c r="G106" s="104"/>
      <c r="H106" s="104"/>
      <c r="I106" s="104"/>
      <c r="J106" s="253"/>
    </row>
    <row r="107" spans="1:10" ht="12.75">
      <c r="A107" s="90">
        <v>43921</v>
      </c>
      <c r="B107" s="366">
        <f t="shared" si="9"/>
        <v>26</v>
      </c>
      <c r="C107" s="41">
        <f t="shared" si="10"/>
        <v>73990340</v>
      </c>
      <c r="D107" s="41"/>
      <c r="E107" s="361">
        <f>E105</f>
        <v>0.04612</v>
      </c>
      <c r="F107" s="41">
        <f>((C106+D106)*E107/360*B106)+((C107+D107)*E107/360*B107)</f>
        <v>887233.1848466666</v>
      </c>
      <c r="G107" s="41">
        <f>G105</f>
        <v>38290</v>
      </c>
      <c r="H107" s="91"/>
      <c r="I107" s="91"/>
      <c r="J107" s="242"/>
    </row>
    <row r="108" spans="1:10" ht="12.75">
      <c r="A108" s="90">
        <v>43987</v>
      </c>
      <c r="B108" s="366">
        <f t="shared" si="9"/>
        <v>66</v>
      </c>
      <c r="C108" s="41">
        <f t="shared" si="10"/>
        <v>71030700</v>
      </c>
      <c r="D108" s="41">
        <f>D106</f>
        <v>2959640</v>
      </c>
      <c r="E108" s="361"/>
      <c r="F108" s="41"/>
      <c r="G108" s="41"/>
      <c r="H108" s="91"/>
      <c r="I108" s="91"/>
      <c r="J108" s="242"/>
    </row>
    <row r="109" spans="1:10" ht="12.75">
      <c r="A109" s="90">
        <v>44012</v>
      </c>
      <c r="B109" s="366">
        <f t="shared" si="9"/>
        <v>25</v>
      </c>
      <c r="C109" s="41">
        <f t="shared" si="10"/>
        <v>71030700</v>
      </c>
      <c r="D109" s="41"/>
      <c r="E109" s="361">
        <f>E107</f>
        <v>0.04612</v>
      </c>
      <c r="F109" s="41">
        <f>((C108+D108)*E109/360*B108)+((C109+D109)*E109/360*B109)</f>
        <v>853108.5356466667</v>
      </c>
      <c r="G109" s="41">
        <f>G107</f>
        <v>38290</v>
      </c>
      <c r="H109" s="91"/>
      <c r="I109" s="91"/>
      <c r="J109" s="242"/>
    </row>
    <row r="110" spans="1:10" ht="12.75">
      <c r="A110" s="90">
        <v>44079</v>
      </c>
      <c r="B110" s="366">
        <f t="shared" si="9"/>
        <v>67</v>
      </c>
      <c r="C110" s="41">
        <f t="shared" si="10"/>
        <v>68071060</v>
      </c>
      <c r="D110" s="41">
        <f>D108</f>
        <v>2959640</v>
      </c>
      <c r="E110" s="361"/>
      <c r="F110" s="41"/>
      <c r="G110" s="41"/>
      <c r="H110" s="91"/>
      <c r="I110" s="91"/>
      <c r="J110" s="242"/>
    </row>
    <row r="111" spans="1:10" ht="12.75">
      <c r="A111" s="90">
        <v>44104</v>
      </c>
      <c r="B111" s="366">
        <f t="shared" si="9"/>
        <v>25</v>
      </c>
      <c r="C111" s="41">
        <f t="shared" si="10"/>
        <v>68071060</v>
      </c>
      <c r="D111" s="41"/>
      <c r="E111" s="361">
        <f>E109</f>
        <v>0.04612</v>
      </c>
      <c r="F111" s="41">
        <f>((C110+D110)*E111/360*B110)+((C111+D111)*E111/360*B111)</f>
        <v>827704.5455777779</v>
      </c>
      <c r="G111" s="41">
        <f>G109</f>
        <v>38290</v>
      </c>
      <c r="H111" s="91"/>
      <c r="I111" s="91"/>
      <c r="J111" s="242"/>
    </row>
    <row r="112" spans="1:10" ht="12.75">
      <c r="A112" s="90">
        <v>44170</v>
      </c>
      <c r="B112" s="366">
        <f t="shared" si="9"/>
        <v>66</v>
      </c>
      <c r="C112" s="41">
        <f t="shared" si="10"/>
        <v>65111420</v>
      </c>
      <c r="D112" s="41">
        <f>D110</f>
        <v>2959640</v>
      </c>
      <c r="E112" s="361"/>
      <c r="F112" s="41"/>
      <c r="G112" s="41"/>
      <c r="H112" s="91"/>
      <c r="I112" s="91"/>
      <c r="J112" s="242"/>
    </row>
    <row r="113" spans="1:10" ht="12.75">
      <c r="A113" s="97">
        <v>44196</v>
      </c>
      <c r="B113" s="367">
        <f t="shared" si="9"/>
        <v>26</v>
      </c>
      <c r="C113" s="99">
        <f t="shared" si="10"/>
        <v>65111420</v>
      </c>
      <c r="D113" s="99"/>
      <c r="E113" s="362">
        <f>E111</f>
        <v>0.04612</v>
      </c>
      <c r="F113" s="99">
        <f>((C112+D112)*E113/360*B112)+((C113+D113)*E113/360*B113)</f>
        <v>792442.4080711112</v>
      </c>
      <c r="G113" s="99">
        <f>G111</f>
        <v>38290</v>
      </c>
      <c r="H113" s="359">
        <f>SUM(F107:G113)</f>
        <v>3513648.674142223</v>
      </c>
      <c r="I113" s="359">
        <f>SUM(D106:D113)</f>
        <v>11838560</v>
      </c>
      <c r="J113" s="360">
        <f>SUM(H113:I113)</f>
        <v>15352208.674142223</v>
      </c>
    </row>
    <row r="114" spans="1:10" ht="12.75">
      <c r="A114" s="103">
        <v>44260</v>
      </c>
      <c r="B114" s="365">
        <f t="shared" si="9"/>
        <v>64</v>
      </c>
      <c r="C114" s="42">
        <f t="shared" si="10"/>
        <v>62151780</v>
      </c>
      <c r="D114" s="42">
        <f>D112</f>
        <v>2959640</v>
      </c>
      <c r="E114" s="104"/>
      <c r="F114" s="104"/>
      <c r="G114" s="104"/>
      <c r="H114" s="104"/>
      <c r="I114" s="104"/>
      <c r="J114" s="253"/>
    </row>
    <row r="115" spans="1:10" ht="12.75">
      <c r="A115" s="90">
        <v>44286</v>
      </c>
      <c r="B115" s="366">
        <f t="shared" si="9"/>
        <v>26</v>
      </c>
      <c r="C115" s="41">
        <f t="shared" si="10"/>
        <v>62151780</v>
      </c>
      <c r="D115" s="41"/>
      <c r="E115" s="361">
        <f>E113</f>
        <v>0.04612</v>
      </c>
      <c r="F115" s="41">
        <f>((C114+D114)*E115/360*B114)+((C115+D115)*E115/360*B115)</f>
        <v>740876.4406088889</v>
      </c>
      <c r="G115" s="41">
        <f>G113</f>
        <v>38290</v>
      </c>
      <c r="H115" s="91"/>
      <c r="I115" s="91"/>
      <c r="J115" s="242"/>
    </row>
    <row r="116" spans="1:10" ht="12.75">
      <c r="A116" s="90">
        <v>44352</v>
      </c>
      <c r="B116" s="366">
        <f t="shared" si="9"/>
        <v>66</v>
      </c>
      <c r="C116" s="41">
        <f t="shared" si="10"/>
        <v>59192140</v>
      </c>
      <c r="D116" s="41">
        <f>D114</f>
        <v>2959640</v>
      </c>
      <c r="E116" s="361"/>
      <c r="F116" s="41"/>
      <c r="G116" s="41"/>
      <c r="H116" s="91"/>
      <c r="I116" s="91"/>
      <c r="J116" s="242"/>
    </row>
    <row r="117" spans="1:10" ht="12.75">
      <c r="A117" s="90">
        <v>44377</v>
      </c>
      <c r="B117" s="366">
        <f t="shared" si="9"/>
        <v>25</v>
      </c>
      <c r="C117" s="41">
        <f t="shared" si="10"/>
        <v>59192140</v>
      </c>
      <c r="D117" s="41"/>
      <c r="E117" s="361">
        <f>E115</f>
        <v>0.04612</v>
      </c>
      <c r="F117" s="41">
        <f>((C116+D116)*E117/360*B116)+((C117+D117)*E117/360*B117)</f>
        <v>715093.2877711111</v>
      </c>
      <c r="G117" s="41">
        <f>G115</f>
        <v>38290</v>
      </c>
      <c r="H117" s="91"/>
      <c r="I117" s="91"/>
      <c r="J117" s="242"/>
    </row>
    <row r="118" spans="1:10" ht="12.75">
      <c r="A118" s="90">
        <v>44444</v>
      </c>
      <c r="B118" s="366">
        <f t="shared" si="9"/>
        <v>67</v>
      </c>
      <c r="C118" s="41">
        <f t="shared" si="10"/>
        <v>56232500</v>
      </c>
      <c r="D118" s="41">
        <f>D116</f>
        <v>2959640</v>
      </c>
      <c r="E118" s="361"/>
      <c r="F118" s="41"/>
      <c r="G118" s="41"/>
      <c r="H118" s="91"/>
      <c r="I118" s="91"/>
      <c r="J118" s="242"/>
    </row>
    <row r="119" spans="1:10" ht="12.75">
      <c r="A119" s="90">
        <v>44469</v>
      </c>
      <c r="B119" s="366">
        <f t="shared" si="9"/>
        <v>25</v>
      </c>
      <c r="C119" s="41">
        <f t="shared" si="10"/>
        <v>56232500</v>
      </c>
      <c r="D119" s="41"/>
      <c r="E119" s="361">
        <f>E117</f>
        <v>0.04612</v>
      </c>
      <c r="F119" s="41">
        <f>((C118+D118)*E119/360*B118)+((C119+D119)*E119/360*B119)</f>
        <v>688172.6466266667</v>
      </c>
      <c r="G119" s="41">
        <f>G117</f>
        <v>38290</v>
      </c>
      <c r="H119" s="91"/>
      <c r="I119" s="91"/>
      <c r="J119" s="242"/>
    </row>
    <row r="120" spans="1:10" ht="12.75">
      <c r="A120" s="90">
        <v>44535</v>
      </c>
      <c r="B120" s="366">
        <f t="shared" si="9"/>
        <v>66</v>
      </c>
      <c r="C120" s="41">
        <f t="shared" si="10"/>
        <v>53272860</v>
      </c>
      <c r="D120" s="41">
        <f>D118</f>
        <v>2959640</v>
      </c>
      <c r="E120" s="361"/>
      <c r="F120" s="41"/>
      <c r="G120" s="41"/>
      <c r="H120" s="91"/>
      <c r="I120" s="91"/>
      <c r="J120" s="242"/>
    </row>
    <row r="121" spans="1:10" ht="12.75">
      <c r="A121" s="97">
        <v>44561</v>
      </c>
      <c r="B121" s="367">
        <f t="shared" si="9"/>
        <v>26</v>
      </c>
      <c r="C121" s="99">
        <f t="shared" si="10"/>
        <v>53272860</v>
      </c>
      <c r="D121" s="99"/>
      <c r="E121" s="362">
        <f>E119</f>
        <v>0.04612</v>
      </c>
      <c r="F121" s="99">
        <f>((C120+D120)*E121/360*B120)+((C121+D121)*E121/360*B121)</f>
        <v>652910.50912</v>
      </c>
      <c r="G121" s="99">
        <f>G119</f>
        <v>38290</v>
      </c>
      <c r="H121" s="359">
        <f>SUM(F115:G121)</f>
        <v>2950212.8841266665</v>
      </c>
      <c r="I121" s="359">
        <f>SUM(D114:D121)</f>
        <v>11838560</v>
      </c>
      <c r="J121" s="360">
        <f>SUM(H121:I121)</f>
        <v>14788772.884126667</v>
      </c>
    </row>
    <row r="122" spans="1:10" ht="12.75">
      <c r="A122" s="103">
        <v>44625</v>
      </c>
      <c r="B122" s="365">
        <f t="shared" si="9"/>
        <v>64</v>
      </c>
      <c r="C122" s="42">
        <f t="shared" si="10"/>
        <v>50313220</v>
      </c>
      <c r="D122" s="42">
        <f>D120</f>
        <v>2959640</v>
      </c>
      <c r="E122" s="104"/>
      <c r="F122" s="104"/>
      <c r="G122" s="104"/>
      <c r="H122" s="104"/>
      <c r="I122" s="104"/>
      <c r="J122" s="253"/>
    </row>
    <row r="123" spans="1:10" ht="12.75">
      <c r="A123" s="90">
        <v>44651</v>
      </c>
      <c r="B123" s="366">
        <f t="shared" si="9"/>
        <v>26</v>
      </c>
      <c r="C123" s="41">
        <f t="shared" si="10"/>
        <v>50313220</v>
      </c>
      <c r="D123" s="41"/>
      <c r="E123" s="361">
        <f>E121</f>
        <v>0.04612</v>
      </c>
      <c r="F123" s="41">
        <f>((C122+D122)*E123/360*B122)+((C123+D123)*E123/360*B123)</f>
        <v>604377.8438088889</v>
      </c>
      <c r="G123" s="41">
        <f>G121</f>
        <v>38290</v>
      </c>
      <c r="H123" s="91"/>
      <c r="I123" s="91"/>
      <c r="J123" s="242"/>
    </row>
    <row r="124" spans="1:10" ht="12.75">
      <c r="A124" s="90">
        <v>44717</v>
      </c>
      <c r="B124" s="366">
        <f t="shared" si="9"/>
        <v>66</v>
      </c>
      <c r="C124" s="41">
        <f t="shared" si="10"/>
        <v>47353580</v>
      </c>
      <c r="D124" s="41">
        <f>D122</f>
        <v>2959640</v>
      </c>
      <c r="E124" s="361"/>
      <c r="F124" s="41"/>
      <c r="G124" s="41"/>
      <c r="H124" s="91"/>
      <c r="I124" s="91"/>
      <c r="J124" s="242"/>
    </row>
    <row r="125" spans="1:10" ht="12.75">
      <c r="A125" s="90">
        <v>44742</v>
      </c>
      <c r="B125" s="366">
        <f t="shared" si="9"/>
        <v>25</v>
      </c>
      <c r="C125" s="41">
        <f t="shared" si="10"/>
        <v>47353580</v>
      </c>
      <c r="D125" s="41"/>
      <c r="E125" s="361">
        <f>E123</f>
        <v>0.04612</v>
      </c>
      <c r="F125" s="41">
        <f>((C124+D124)*E125/360*B124)+((C125+D125)*E125/360*B125)</f>
        <v>577078.0398955556</v>
      </c>
      <c r="G125" s="41">
        <f>G123</f>
        <v>38290</v>
      </c>
      <c r="H125" s="91"/>
      <c r="I125" s="91"/>
      <c r="J125" s="242"/>
    </row>
    <row r="126" spans="1:10" ht="12.75">
      <c r="A126" s="90">
        <v>44809</v>
      </c>
      <c r="B126" s="366">
        <f t="shared" si="9"/>
        <v>67</v>
      </c>
      <c r="C126" s="41">
        <f t="shared" si="10"/>
        <v>44393940</v>
      </c>
      <c r="D126" s="41">
        <f>D124</f>
        <v>2959640</v>
      </c>
      <c r="E126" s="361"/>
      <c r="F126" s="41"/>
      <c r="G126" s="41"/>
      <c r="H126" s="91"/>
      <c r="I126" s="91"/>
      <c r="J126" s="242"/>
    </row>
    <row r="127" spans="1:10" ht="12.75">
      <c r="A127" s="90">
        <v>44834</v>
      </c>
      <c r="B127" s="366">
        <f t="shared" si="9"/>
        <v>25</v>
      </c>
      <c r="C127" s="41">
        <f t="shared" si="10"/>
        <v>44393940</v>
      </c>
      <c r="D127" s="41"/>
      <c r="E127" s="361">
        <f>E125</f>
        <v>0.04612</v>
      </c>
      <c r="F127" s="41">
        <f>((C126+D126)*E127/360*B126)+((C127+D127)*E127/360*B127)</f>
        <v>548640.7476755555</v>
      </c>
      <c r="G127" s="41">
        <f>G125</f>
        <v>38290</v>
      </c>
      <c r="H127" s="91"/>
      <c r="I127" s="91"/>
      <c r="J127" s="242"/>
    </row>
    <row r="128" spans="1:10" ht="12.75">
      <c r="A128" s="90">
        <v>44900</v>
      </c>
      <c r="B128" s="366">
        <f t="shared" si="9"/>
        <v>66</v>
      </c>
      <c r="C128" s="41">
        <f t="shared" si="10"/>
        <v>41434300</v>
      </c>
      <c r="D128" s="41">
        <f>D126</f>
        <v>2959640</v>
      </c>
      <c r="E128" s="361"/>
      <c r="F128" s="41"/>
      <c r="G128" s="41"/>
      <c r="H128" s="91"/>
      <c r="I128" s="91"/>
      <c r="J128" s="242"/>
    </row>
    <row r="129" spans="1:10" ht="12.75">
      <c r="A129" s="97">
        <v>44926</v>
      </c>
      <c r="B129" s="367">
        <f aca="true" t="shared" si="11" ref="B129:B156">A129-A128</f>
        <v>26</v>
      </c>
      <c r="C129" s="99">
        <f t="shared" si="10"/>
        <v>41434300</v>
      </c>
      <c r="D129" s="99"/>
      <c r="E129" s="362">
        <f>E127</f>
        <v>0.04612</v>
      </c>
      <c r="F129" s="99">
        <f>((C128+D128)*E129/360*B128)+((C129+D129)*E129/360*B129)</f>
        <v>513378.61016888893</v>
      </c>
      <c r="G129" s="99">
        <f>G127</f>
        <v>38290</v>
      </c>
      <c r="H129" s="359">
        <f>SUM(F123:G129)</f>
        <v>2396635.241548889</v>
      </c>
      <c r="I129" s="359">
        <f>SUM(D122:D129)</f>
        <v>11838560</v>
      </c>
      <c r="J129" s="360">
        <f>SUM(H129:I129)</f>
        <v>14235195.241548888</v>
      </c>
    </row>
    <row r="130" spans="1:10" ht="12.75">
      <c r="A130" s="103">
        <v>44990</v>
      </c>
      <c r="B130" s="365">
        <f t="shared" si="11"/>
        <v>64</v>
      </c>
      <c r="C130" s="42">
        <f t="shared" si="10"/>
        <v>38474660</v>
      </c>
      <c r="D130" s="42">
        <f>D128</f>
        <v>2959640</v>
      </c>
      <c r="E130" s="104"/>
      <c r="F130" s="104"/>
      <c r="G130" s="104"/>
      <c r="H130" s="104"/>
      <c r="I130" s="104"/>
      <c r="J130" s="253"/>
    </row>
    <row r="131" spans="1:10" ht="12.75">
      <c r="A131" s="90">
        <v>45016</v>
      </c>
      <c r="B131" s="366">
        <f t="shared" si="11"/>
        <v>26</v>
      </c>
      <c r="C131" s="41">
        <f t="shared" si="10"/>
        <v>38474660</v>
      </c>
      <c r="D131" s="41"/>
      <c r="E131" s="361">
        <f>E129</f>
        <v>0.04612</v>
      </c>
      <c r="F131" s="41">
        <f>((C130+D130)*E131/360*B130)+((C131+D131)*E131/360*B131)</f>
        <v>467879.2470088889</v>
      </c>
      <c r="G131" s="41">
        <f>G129</f>
        <v>38290</v>
      </c>
      <c r="H131" s="91"/>
      <c r="I131" s="91"/>
      <c r="J131" s="242"/>
    </row>
    <row r="132" spans="1:10" ht="12.75">
      <c r="A132" s="90">
        <v>45082</v>
      </c>
      <c r="B132" s="366">
        <f t="shared" si="11"/>
        <v>66</v>
      </c>
      <c r="C132" s="41">
        <f t="shared" si="10"/>
        <v>35515020</v>
      </c>
      <c r="D132" s="41">
        <f>D130</f>
        <v>2959640</v>
      </c>
      <c r="E132" s="361"/>
      <c r="F132" s="41"/>
      <c r="G132" s="41"/>
      <c r="H132" s="91"/>
      <c r="I132" s="91"/>
      <c r="J132" s="242"/>
    </row>
    <row r="133" spans="1:10" ht="12.75">
      <c r="A133" s="90">
        <v>45107</v>
      </c>
      <c r="B133" s="366">
        <f t="shared" si="11"/>
        <v>25</v>
      </c>
      <c r="C133" s="41">
        <f aca="true" t="shared" si="12" ref="C133:C145">C132-D133</f>
        <v>35515020</v>
      </c>
      <c r="D133" s="41"/>
      <c r="E133" s="361">
        <f>E131</f>
        <v>0.04612</v>
      </c>
      <c r="F133" s="41">
        <f>((C132+D132)*E133/360*B132)+((C133+D133)*E133/360*B133)</f>
        <v>439062.79202000005</v>
      </c>
      <c r="G133" s="41">
        <f>G131</f>
        <v>38290</v>
      </c>
      <c r="H133" s="91"/>
      <c r="I133" s="91"/>
      <c r="J133" s="242"/>
    </row>
    <row r="134" spans="1:10" ht="12.75">
      <c r="A134" s="90">
        <v>45174</v>
      </c>
      <c r="B134" s="366">
        <f t="shared" si="11"/>
        <v>67</v>
      </c>
      <c r="C134" s="41">
        <f t="shared" si="12"/>
        <v>32555380</v>
      </c>
      <c r="D134" s="41">
        <f>D132</f>
        <v>2959640</v>
      </c>
      <c r="E134" s="361"/>
      <c r="F134" s="41"/>
      <c r="G134" s="41"/>
      <c r="H134" s="91"/>
      <c r="I134" s="91"/>
      <c r="J134" s="242"/>
    </row>
    <row r="135" spans="1:10" ht="12.75">
      <c r="A135" s="90">
        <v>45199</v>
      </c>
      <c r="B135" s="366">
        <f t="shared" si="11"/>
        <v>25</v>
      </c>
      <c r="C135" s="41">
        <f t="shared" si="12"/>
        <v>32555380</v>
      </c>
      <c r="D135" s="41"/>
      <c r="E135" s="361">
        <f>E133</f>
        <v>0.04612</v>
      </c>
      <c r="F135" s="41">
        <f>((C134+D134)*E135/360*B134)+((C135+D135)*E135/360*B135)</f>
        <v>409108.84872444446</v>
      </c>
      <c r="G135" s="41">
        <f>G133</f>
        <v>38290</v>
      </c>
      <c r="H135" s="91"/>
      <c r="I135" s="91"/>
      <c r="J135" s="242"/>
    </row>
    <row r="136" spans="1:10" ht="12.75">
      <c r="A136" s="90">
        <v>45265</v>
      </c>
      <c r="B136" s="366">
        <f t="shared" si="11"/>
        <v>66</v>
      </c>
      <c r="C136" s="41">
        <f t="shared" si="12"/>
        <v>29595740</v>
      </c>
      <c r="D136" s="41">
        <f>D134</f>
        <v>2959640</v>
      </c>
      <c r="E136" s="361"/>
      <c r="F136" s="41"/>
      <c r="G136" s="41"/>
      <c r="H136" s="91"/>
      <c r="I136" s="91"/>
      <c r="J136" s="242"/>
    </row>
    <row r="137" spans="1:10" ht="12.75">
      <c r="A137" s="97">
        <v>45291</v>
      </c>
      <c r="B137" s="367">
        <f t="shared" si="11"/>
        <v>26</v>
      </c>
      <c r="C137" s="99">
        <f t="shared" si="12"/>
        <v>29595740</v>
      </c>
      <c r="D137" s="99"/>
      <c r="E137" s="362">
        <f>E135</f>
        <v>0.04612</v>
      </c>
      <c r="F137" s="99">
        <f>((C136+D136)*E137/360*B136)+((C137+D137)*E137/360*B137)</f>
        <v>373846.7112177778</v>
      </c>
      <c r="G137" s="99">
        <f>G135</f>
        <v>38290</v>
      </c>
      <c r="H137" s="359">
        <f>SUM(F131:G137)</f>
        <v>1843057.5989711112</v>
      </c>
      <c r="I137" s="359">
        <f>SUM(D130:D137)</f>
        <v>11838560</v>
      </c>
      <c r="J137" s="360">
        <f>SUM(H137:I137)</f>
        <v>13681617.598971112</v>
      </c>
    </row>
    <row r="138" spans="1:10" ht="12.75">
      <c r="A138" s="103">
        <v>45356</v>
      </c>
      <c r="B138" s="365">
        <f t="shared" si="11"/>
        <v>65</v>
      </c>
      <c r="C138" s="42">
        <f t="shared" si="12"/>
        <v>26636100</v>
      </c>
      <c r="D138" s="42">
        <f>D136</f>
        <v>2959640</v>
      </c>
      <c r="E138" s="104"/>
      <c r="F138" s="104"/>
      <c r="G138" s="104"/>
      <c r="H138" s="104"/>
      <c r="I138" s="104"/>
      <c r="J138" s="253"/>
    </row>
    <row r="139" spans="1:10" ht="12.75">
      <c r="A139" s="90">
        <v>45382</v>
      </c>
      <c r="B139" s="366">
        <f t="shared" si="11"/>
        <v>26</v>
      </c>
      <c r="C139" s="41">
        <f t="shared" si="12"/>
        <v>26636100</v>
      </c>
      <c r="D139" s="41"/>
      <c r="E139" s="361">
        <f>E137</f>
        <v>0.04612</v>
      </c>
      <c r="F139" s="41">
        <f>((C138+D138)*E139/360*B138)+((C139+D139)*E139/360*B139)</f>
        <v>335172.19334444444</v>
      </c>
      <c r="G139" s="41">
        <f>G137</f>
        <v>38290</v>
      </c>
      <c r="H139" s="91"/>
      <c r="I139" s="91"/>
      <c r="J139" s="242"/>
    </row>
    <row r="140" spans="1:10" ht="12.75">
      <c r="A140" s="90">
        <v>45448</v>
      </c>
      <c r="B140" s="366">
        <f t="shared" si="11"/>
        <v>66</v>
      </c>
      <c r="C140" s="41">
        <f t="shared" si="12"/>
        <v>23676460</v>
      </c>
      <c r="D140" s="41">
        <f>D138</f>
        <v>2959640</v>
      </c>
      <c r="E140" s="361"/>
      <c r="F140" s="41"/>
      <c r="G140" s="41"/>
      <c r="H140" s="91"/>
      <c r="I140" s="91"/>
      <c r="J140" s="242"/>
    </row>
    <row r="141" spans="1:10" ht="12.75">
      <c r="A141" s="90">
        <v>45473</v>
      </c>
      <c r="B141" s="366">
        <f t="shared" si="11"/>
        <v>25</v>
      </c>
      <c r="C141" s="41">
        <f t="shared" si="12"/>
        <v>23676460</v>
      </c>
      <c r="D141" s="41"/>
      <c r="E141" s="361">
        <f>E139</f>
        <v>0.04612</v>
      </c>
      <c r="F141" s="41">
        <f>((C140+D140)*E141/360*B140)+((C141+D141)*E141/360*B141)</f>
        <v>301047.54414444446</v>
      </c>
      <c r="G141" s="41">
        <f>G139</f>
        <v>38290</v>
      </c>
      <c r="H141" s="91"/>
      <c r="I141" s="91"/>
      <c r="J141" s="242"/>
    </row>
    <row r="142" spans="1:10" ht="12.75">
      <c r="A142" s="90">
        <v>45540</v>
      </c>
      <c r="B142" s="366">
        <f t="shared" si="11"/>
        <v>67</v>
      </c>
      <c r="C142" s="41">
        <f t="shared" si="12"/>
        <v>20716820</v>
      </c>
      <c r="D142" s="41">
        <f>D140</f>
        <v>2959640</v>
      </c>
      <c r="E142" s="361"/>
      <c r="F142" s="41"/>
      <c r="G142" s="41"/>
      <c r="H142" s="91"/>
      <c r="I142" s="91"/>
      <c r="J142" s="242"/>
    </row>
    <row r="143" spans="1:10" ht="12.75">
      <c r="A143" s="90">
        <v>45565</v>
      </c>
      <c r="B143" s="366">
        <f t="shared" si="11"/>
        <v>25</v>
      </c>
      <c r="C143" s="41">
        <f t="shared" si="12"/>
        <v>20716820</v>
      </c>
      <c r="D143" s="41"/>
      <c r="E143" s="361">
        <f>E141</f>
        <v>0.04612</v>
      </c>
      <c r="F143" s="41">
        <f>((C142+D142)*E143/360*B142)+((C143+D143)*E143/360*B143)</f>
        <v>269576.9497733334</v>
      </c>
      <c r="G143" s="41">
        <f>G141</f>
        <v>38290</v>
      </c>
      <c r="H143" s="91"/>
      <c r="I143" s="91"/>
      <c r="J143" s="242"/>
    </row>
    <row r="144" spans="1:10" ht="12.75">
      <c r="A144" s="90">
        <v>45631</v>
      </c>
      <c r="B144" s="366">
        <f t="shared" si="11"/>
        <v>66</v>
      </c>
      <c r="C144" s="41">
        <f t="shared" si="12"/>
        <v>17757180</v>
      </c>
      <c r="D144" s="41">
        <f>D142</f>
        <v>2959640</v>
      </c>
      <c r="E144" s="361"/>
      <c r="F144" s="41"/>
      <c r="G144" s="41"/>
      <c r="H144" s="91"/>
      <c r="I144" s="91"/>
      <c r="J144" s="242"/>
    </row>
    <row r="145" spans="1:10" ht="12.75">
      <c r="A145" s="97">
        <v>45657</v>
      </c>
      <c r="B145" s="367">
        <f t="shared" si="11"/>
        <v>26</v>
      </c>
      <c r="C145" s="99">
        <f t="shared" si="12"/>
        <v>17757180</v>
      </c>
      <c r="D145" s="99"/>
      <c r="E145" s="362">
        <f>E143</f>
        <v>0.04612</v>
      </c>
      <c r="F145" s="99">
        <f>((C144+D144)*E145/360*B144)+((C145+D145)*E145/360*B145)</f>
        <v>234314.81226666667</v>
      </c>
      <c r="G145" s="99">
        <f>G143</f>
        <v>38290</v>
      </c>
      <c r="H145" s="359">
        <f>SUM(F139:G145)</f>
        <v>1293271.499528889</v>
      </c>
      <c r="I145" s="359">
        <f>SUM(D138:D145)</f>
        <v>11838560</v>
      </c>
      <c r="J145" s="360">
        <f>SUM(H145:I145)</f>
        <v>13131831.499528889</v>
      </c>
    </row>
    <row r="146" spans="1:10" ht="12.75">
      <c r="A146" s="103">
        <v>45721</v>
      </c>
      <c r="B146" s="365">
        <f t="shared" si="11"/>
        <v>64</v>
      </c>
      <c r="C146" s="42">
        <f aca="true" t="shared" si="13" ref="C146:C153">C145-D146</f>
        <v>14797540</v>
      </c>
      <c r="D146" s="42">
        <f>D144</f>
        <v>2959640</v>
      </c>
      <c r="E146" s="104"/>
      <c r="F146" s="104"/>
      <c r="G146" s="104"/>
      <c r="H146" s="104"/>
      <c r="I146" s="104"/>
      <c r="J146" s="253"/>
    </row>
    <row r="147" spans="1:10" ht="12.75">
      <c r="A147" s="90">
        <v>45747</v>
      </c>
      <c r="B147" s="366">
        <f t="shared" si="11"/>
        <v>26</v>
      </c>
      <c r="C147" s="41">
        <f t="shared" si="13"/>
        <v>14797540</v>
      </c>
      <c r="D147" s="41"/>
      <c r="E147" s="361">
        <f>E145</f>
        <v>0.04612</v>
      </c>
      <c r="F147" s="41">
        <f>((C146+D146)*E147/360*B146)+((C147+D147)*E147/360*B147)</f>
        <v>194882.0534088889</v>
      </c>
      <c r="G147" s="41">
        <f>G145</f>
        <v>38290</v>
      </c>
      <c r="H147" s="91"/>
      <c r="I147" s="91"/>
      <c r="J147" s="242"/>
    </row>
    <row r="148" spans="1:10" ht="12.75">
      <c r="A148" s="90">
        <v>45813</v>
      </c>
      <c r="B148" s="366">
        <f t="shared" si="11"/>
        <v>66</v>
      </c>
      <c r="C148" s="41">
        <f t="shared" si="13"/>
        <v>11837900</v>
      </c>
      <c r="D148" s="41">
        <f>D146</f>
        <v>2959640</v>
      </c>
      <c r="E148" s="361"/>
      <c r="F148" s="41"/>
      <c r="G148" s="41"/>
      <c r="H148" s="91"/>
      <c r="I148" s="91"/>
      <c r="J148" s="242"/>
    </row>
    <row r="149" spans="1:10" ht="12.75">
      <c r="A149" s="90">
        <v>45838</v>
      </c>
      <c r="B149" s="366">
        <f t="shared" si="11"/>
        <v>25</v>
      </c>
      <c r="C149" s="41">
        <f t="shared" si="13"/>
        <v>11837900</v>
      </c>
      <c r="D149" s="41"/>
      <c r="E149" s="361">
        <f>E147</f>
        <v>0.04612</v>
      </c>
      <c r="F149" s="41">
        <f>((C148+D148)*E149/360*B148)+((C149+D149)*E149/360*B149)</f>
        <v>163032.2962688889</v>
      </c>
      <c r="G149" s="41">
        <f>G147</f>
        <v>38290</v>
      </c>
      <c r="H149" s="91"/>
      <c r="I149" s="91"/>
      <c r="J149" s="242"/>
    </row>
    <row r="150" spans="1:10" ht="12.75">
      <c r="A150" s="90">
        <v>45905</v>
      </c>
      <c r="B150" s="366">
        <f t="shared" si="11"/>
        <v>67</v>
      </c>
      <c r="C150" s="41">
        <f t="shared" si="13"/>
        <v>8878260</v>
      </c>
      <c r="D150" s="41">
        <f>D148</f>
        <v>2959640</v>
      </c>
      <c r="E150" s="361"/>
      <c r="F150" s="41"/>
      <c r="G150" s="41"/>
      <c r="H150" s="91"/>
      <c r="I150" s="91"/>
      <c r="J150" s="242"/>
    </row>
    <row r="151" spans="1:10" ht="12.75">
      <c r="A151" s="90">
        <v>45930</v>
      </c>
      <c r="B151" s="366">
        <f t="shared" si="11"/>
        <v>25</v>
      </c>
      <c r="C151" s="41">
        <f t="shared" si="13"/>
        <v>8878260</v>
      </c>
      <c r="D151" s="41"/>
      <c r="E151" s="361">
        <f>E149</f>
        <v>0.04612</v>
      </c>
      <c r="F151" s="41">
        <f>((C150+D150)*E151/360*B150)+((C151+D151)*E151/360*B151)</f>
        <v>130045.05082222221</v>
      </c>
      <c r="G151" s="41">
        <f>G149</f>
        <v>38290</v>
      </c>
      <c r="H151" s="91"/>
      <c r="I151" s="91"/>
      <c r="J151" s="242"/>
    </row>
    <row r="152" spans="1:10" ht="12.75">
      <c r="A152" s="90">
        <v>45996</v>
      </c>
      <c r="B152" s="366">
        <f t="shared" si="11"/>
        <v>66</v>
      </c>
      <c r="C152" s="41">
        <f t="shared" si="13"/>
        <v>5918620</v>
      </c>
      <c r="D152" s="41">
        <f>D150</f>
        <v>2959640</v>
      </c>
      <c r="E152" s="361"/>
      <c r="F152" s="41"/>
      <c r="G152" s="41"/>
      <c r="H152" s="91"/>
      <c r="I152" s="91"/>
      <c r="J152" s="242"/>
    </row>
    <row r="153" spans="1:10" ht="12.75">
      <c r="A153" s="97">
        <v>46022</v>
      </c>
      <c r="B153" s="367">
        <f t="shared" si="11"/>
        <v>26</v>
      </c>
      <c r="C153" s="99">
        <f t="shared" si="13"/>
        <v>5918620</v>
      </c>
      <c r="D153" s="99"/>
      <c r="E153" s="362">
        <f>E151</f>
        <v>0.04612</v>
      </c>
      <c r="F153" s="99">
        <f>((C152+D152)*E153/360*B152)+((C153+D153)*E153/360*B153)</f>
        <v>94782.91331555556</v>
      </c>
      <c r="G153" s="99">
        <f>G151</f>
        <v>38290</v>
      </c>
      <c r="H153" s="359">
        <f>SUM(F147:G153)</f>
        <v>735902.3138155555</v>
      </c>
      <c r="I153" s="359">
        <f>SUM(D146:D153)</f>
        <v>11838560</v>
      </c>
      <c r="J153" s="360">
        <f>SUM(H153:I153)</f>
        <v>12574462.313815556</v>
      </c>
    </row>
    <row r="154" spans="1:10" ht="12.75">
      <c r="A154" s="103">
        <v>46086</v>
      </c>
      <c r="B154" s="365">
        <f t="shared" si="11"/>
        <v>64</v>
      </c>
      <c r="C154" s="42">
        <f>C153-D154</f>
        <v>2958980</v>
      </c>
      <c r="D154" s="42">
        <f>D152</f>
        <v>2959640</v>
      </c>
      <c r="E154" s="104"/>
      <c r="F154" s="104"/>
      <c r="G154" s="104"/>
      <c r="H154" s="104"/>
      <c r="I154" s="104"/>
      <c r="J154" s="253"/>
    </row>
    <row r="155" spans="1:10" ht="12.75">
      <c r="A155" s="90">
        <v>46112</v>
      </c>
      <c r="B155" s="366">
        <f t="shared" si="11"/>
        <v>26</v>
      </c>
      <c r="C155" s="41">
        <f>C154-D155</f>
        <v>2958980</v>
      </c>
      <c r="D155" s="41"/>
      <c r="E155" s="361">
        <f>E153</f>
        <v>0.04612</v>
      </c>
      <c r="F155" s="41">
        <f>((C154+D154)*E155/360*B154)+((C155+D155)*E155/360*B155)</f>
        <v>58383.4566088889</v>
      </c>
      <c r="G155" s="41">
        <f>G153</f>
        <v>38290</v>
      </c>
      <c r="H155" s="91"/>
      <c r="I155" s="91"/>
      <c r="J155" s="242"/>
    </row>
    <row r="156" spans="1:10" ht="13.5" thickBot="1">
      <c r="A156" s="90">
        <v>46178</v>
      </c>
      <c r="B156" s="366">
        <f t="shared" si="11"/>
        <v>66</v>
      </c>
      <c r="C156" s="41">
        <f>C155-D156</f>
        <v>0</v>
      </c>
      <c r="D156" s="41">
        <v>2958980</v>
      </c>
      <c r="E156" s="361">
        <f>E155</f>
        <v>0.04612</v>
      </c>
      <c r="F156" s="41">
        <f>((C156+D156)*E156/360*B156)</f>
        <v>25019.162226666667</v>
      </c>
      <c r="G156" s="41">
        <f>G155+18+76580</f>
        <v>114888</v>
      </c>
      <c r="H156" s="359">
        <f>SUM(F154:G156)</f>
        <v>236580.61883555556</v>
      </c>
      <c r="I156" s="359">
        <f>SUM(D154:D156)</f>
        <v>5918620</v>
      </c>
      <c r="J156" s="360">
        <f>SUM(H156:I156)</f>
        <v>6155200.618835555</v>
      </c>
    </row>
    <row r="157" spans="1:10" ht="13.5" thickTop="1">
      <c r="A157" s="471" t="s">
        <v>14</v>
      </c>
      <c r="B157" s="472"/>
      <c r="C157" s="473"/>
      <c r="D157" s="120">
        <f>SUM(D7:D156)</f>
        <v>204214500</v>
      </c>
      <c r="E157" s="121"/>
      <c r="F157" s="120">
        <f>SUM(F7:F156)</f>
        <v>104696745.6767022</v>
      </c>
      <c r="G157" s="120">
        <f>SUM(G7:G156)</f>
        <v>3063218</v>
      </c>
      <c r="H157" s="120">
        <f>SUM(H7:H156)</f>
        <v>107759963.67670222</v>
      </c>
      <c r="I157" s="120">
        <f>SUM(I7:I156)</f>
        <v>204214500</v>
      </c>
      <c r="J157" s="122">
        <f>SUM(J7:J156)</f>
        <v>311974463.6767022</v>
      </c>
    </row>
    <row r="158" spans="1:10" ht="12.75">
      <c r="A158" s="123"/>
      <c r="B158" s="124"/>
      <c r="E158" s="125"/>
      <c r="H158" s="124"/>
      <c r="J158" s="124"/>
    </row>
    <row r="159" spans="1:10" ht="12.75">
      <c r="A159" s="123"/>
      <c r="B159" s="124"/>
      <c r="E159" s="125"/>
      <c r="G159" s="124"/>
      <c r="H159" s="124"/>
      <c r="J159" s="124"/>
    </row>
    <row r="160" spans="2:7" ht="12.75">
      <c r="B160" s="58" t="s">
        <v>223</v>
      </c>
      <c r="D160" s="58"/>
      <c r="E160" s="125" t="s">
        <v>226</v>
      </c>
      <c r="G160" s="370">
        <v>201368000</v>
      </c>
    </row>
    <row r="161" spans="2:7" ht="13.5" thickBot="1">
      <c r="B161" s="58" t="s">
        <v>228</v>
      </c>
      <c r="D161" s="58"/>
      <c r="E161" s="125" t="s">
        <v>227</v>
      </c>
      <c r="G161" s="370">
        <v>2846500</v>
      </c>
    </row>
    <row r="162" spans="2:7" ht="13.5" thickTop="1">
      <c r="B162" s="127" t="s">
        <v>14</v>
      </c>
      <c r="C162" s="132"/>
      <c r="D162" s="127"/>
      <c r="E162" s="128"/>
      <c r="F162" s="129"/>
      <c r="G162" s="371">
        <f>SUM(G160:G161)</f>
        <v>204214500</v>
      </c>
    </row>
  </sheetData>
  <mergeCells count="1">
    <mergeCell ref="A157:C157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204.214,5 eFt hitel
(Önkormányzati Fejlesztési Hitelprogram 1.1-1.2-1.3 hitelcél)</oddHeader>
    <oddFooter>&amp;L&amp;8&amp;D&amp;C&amp;8C:\Andi\adósságszolgálat\&amp;F\&amp;A&amp;R&amp;8&amp;P/&amp;N</oddFooter>
  </headerFooter>
  <rowBreaks count="2" manualBreakCount="2">
    <brk id="57" max="255" man="1"/>
    <brk id="11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8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58" customWidth="1"/>
    <col min="6" max="7" width="12.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5" t="s">
        <v>189</v>
      </c>
    </row>
    <row r="2" spans="1:10" ht="12.75">
      <c r="A2" s="166" t="s">
        <v>137</v>
      </c>
      <c r="B2" s="165"/>
      <c r="C2" s="166" t="s">
        <v>138</v>
      </c>
      <c r="D2" s="166"/>
      <c r="H2" s="166"/>
      <c r="I2" s="166"/>
      <c r="J2" s="166"/>
    </row>
    <row r="3" spans="1:10" ht="12.75">
      <c r="A3" s="166" t="s">
        <v>184</v>
      </c>
      <c r="B3" s="136"/>
      <c r="C3" s="135"/>
      <c r="D3" s="135"/>
      <c r="E3" s="135"/>
      <c r="F3" s="166" t="s">
        <v>182</v>
      </c>
      <c r="G3" s="166"/>
      <c r="H3" s="135"/>
      <c r="I3" s="135"/>
      <c r="J3" s="135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152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153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9" t="s">
        <v>183</v>
      </c>
      <c r="H6" s="139" t="s">
        <v>155</v>
      </c>
      <c r="I6" s="82" t="s">
        <v>13</v>
      </c>
      <c r="J6" s="83" t="s">
        <v>12</v>
      </c>
    </row>
    <row r="7" spans="1:10" ht="12.75">
      <c r="A7" s="410">
        <v>38990</v>
      </c>
      <c r="B7" s="73"/>
      <c r="C7" s="74"/>
      <c r="D7" s="74"/>
      <c r="E7" s="74"/>
      <c r="F7" s="405"/>
      <c r="G7" s="407">
        <v>0</v>
      </c>
      <c r="H7" s="406"/>
      <c r="I7" s="76"/>
      <c r="J7" s="77"/>
    </row>
    <row r="8" spans="1:10" ht="12.75">
      <c r="A8" s="408">
        <v>39070</v>
      </c>
      <c r="B8" s="409"/>
      <c r="C8" s="252">
        <v>226086000</v>
      </c>
      <c r="D8" s="41"/>
      <c r="E8" s="361"/>
      <c r="F8" s="41"/>
      <c r="G8" s="41"/>
      <c r="H8" s="91"/>
      <c r="I8" s="91"/>
      <c r="J8" s="242"/>
    </row>
    <row r="9" spans="1:10" ht="12.75">
      <c r="A9" s="97">
        <v>39080</v>
      </c>
      <c r="B9" s="367">
        <f aca="true" t="shared" si="0" ref="B9:B40">A9-A8</f>
        <v>10</v>
      </c>
      <c r="C9" s="99">
        <f aca="true" t="shared" si="1" ref="C9:C40">C8-D9</f>
        <v>226086000</v>
      </c>
      <c r="D9" s="99"/>
      <c r="E9" s="362">
        <v>0.04766</v>
      </c>
      <c r="F9" s="99">
        <v>299313</v>
      </c>
      <c r="G9" s="99">
        <v>0</v>
      </c>
      <c r="H9" s="359">
        <f>SUM(F7:G9)</f>
        <v>299313</v>
      </c>
      <c r="I9" s="359">
        <f>SUM(D8:D9)</f>
        <v>0</v>
      </c>
      <c r="J9" s="360">
        <f>SUM(H9:I9)</f>
        <v>299313</v>
      </c>
    </row>
    <row r="10" spans="1:10" ht="12.75">
      <c r="A10" s="90">
        <v>39172</v>
      </c>
      <c r="B10" s="365">
        <f t="shared" si="0"/>
        <v>92</v>
      </c>
      <c r="C10" s="41">
        <f t="shared" si="1"/>
        <v>226086000</v>
      </c>
      <c r="D10" s="41"/>
      <c r="E10" s="361">
        <v>0.05112</v>
      </c>
      <c r="F10" s="41">
        <f aca="true" t="shared" si="2" ref="F10:F18">((C10+D10)*E10/360*B10)</f>
        <v>2953587.5039999997</v>
      </c>
      <c r="G10" s="41">
        <v>42391</v>
      </c>
      <c r="H10" s="91"/>
      <c r="I10" s="91"/>
      <c r="J10" s="242"/>
    </row>
    <row r="11" spans="1:10" ht="12.75">
      <c r="A11" s="90">
        <v>39263</v>
      </c>
      <c r="B11" s="366">
        <f t="shared" si="0"/>
        <v>91</v>
      </c>
      <c r="C11" s="41">
        <f t="shared" si="1"/>
        <v>226086000</v>
      </c>
      <c r="D11" s="41"/>
      <c r="E11" s="361">
        <f aca="true" t="shared" si="3" ref="E11:E18">E10</f>
        <v>0.05112</v>
      </c>
      <c r="F11" s="41">
        <f t="shared" si="2"/>
        <v>2921483.292</v>
      </c>
      <c r="G11" s="41">
        <f aca="true" t="shared" si="4" ref="G11:G18">G10</f>
        <v>42391</v>
      </c>
      <c r="H11" s="91"/>
      <c r="I11" s="91"/>
      <c r="J11" s="242"/>
    </row>
    <row r="12" spans="1:10" ht="12.75">
      <c r="A12" s="90">
        <v>39355</v>
      </c>
      <c r="B12" s="366">
        <f t="shared" si="0"/>
        <v>92</v>
      </c>
      <c r="C12" s="41">
        <f t="shared" si="1"/>
        <v>226086000</v>
      </c>
      <c r="D12" s="41"/>
      <c r="E12" s="361">
        <f t="shared" si="3"/>
        <v>0.05112</v>
      </c>
      <c r="F12" s="41">
        <f t="shared" si="2"/>
        <v>2953587.5039999997</v>
      </c>
      <c r="G12" s="41">
        <f t="shared" si="4"/>
        <v>42391</v>
      </c>
      <c r="H12" s="91"/>
      <c r="I12" s="91"/>
      <c r="J12" s="242"/>
    </row>
    <row r="13" spans="1:10" ht="12.75">
      <c r="A13" s="97">
        <v>39447</v>
      </c>
      <c r="B13" s="367">
        <f t="shared" si="0"/>
        <v>92</v>
      </c>
      <c r="C13" s="99">
        <f t="shared" si="1"/>
        <v>226086000</v>
      </c>
      <c r="D13" s="99"/>
      <c r="E13" s="362">
        <f t="shared" si="3"/>
        <v>0.05112</v>
      </c>
      <c r="F13" s="99">
        <f t="shared" si="2"/>
        <v>2953587.5039999997</v>
      </c>
      <c r="G13" s="99">
        <f t="shared" si="4"/>
        <v>42391</v>
      </c>
      <c r="H13" s="359">
        <f>SUM(F10:G13)</f>
        <v>11951809.804000001</v>
      </c>
      <c r="I13" s="359">
        <f>SUM(D10:D13)</f>
        <v>0</v>
      </c>
      <c r="J13" s="360">
        <f>SUM(H13:I13)</f>
        <v>11951809.804000001</v>
      </c>
    </row>
    <row r="14" spans="1:10" ht="12.75">
      <c r="A14" s="103">
        <v>39538</v>
      </c>
      <c r="B14" s="365">
        <f t="shared" si="0"/>
        <v>91</v>
      </c>
      <c r="C14" s="42">
        <f t="shared" si="1"/>
        <v>226086000</v>
      </c>
      <c r="D14" s="42"/>
      <c r="E14" s="363">
        <f t="shared" si="3"/>
        <v>0.05112</v>
      </c>
      <c r="F14" s="42">
        <f t="shared" si="2"/>
        <v>2921483.292</v>
      </c>
      <c r="G14" s="42">
        <f t="shared" si="4"/>
        <v>42391</v>
      </c>
      <c r="H14" s="104"/>
      <c r="I14" s="104"/>
      <c r="J14" s="253"/>
    </row>
    <row r="15" spans="1:10" ht="12.75">
      <c r="A15" s="90">
        <v>39629</v>
      </c>
      <c r="B15" s="366">
        <f t="shared" si="0"/>
        <v>91</v>
      </c>
      <c r="C15" s="41">
        <f t="shared" si="1"/>
        <v>226086000</v>
      </c>
      <c r="D15" s="41"/>
      <c r="E15" s="361">
        <f t="shared" si="3"/>
        <v>0.05112</v>
      </c>
      <c r="F15" s="41">
        <f t="shared" si="2"/>
        <v>2921483.292</v>
      </c>
      <c r="G15" s="41">
        <f t="shared" si="4"/>
        <v>42391</v>
      </c>
      <c r="H15" s="91"/>
      <c r="I15" s="91"/>
      <c r="J15" s="242"/>
    </row>
    <row r="16" spans="1:10" ht="12.75">
      <c r="A16" s="90">
        <v>39721</v>
      </c>
      <c r="B16" s="366">
        <f t="shared" si="0"/>
        <v>92</v>
      </c>
      <c r="C16" s="41">
        <f t="shared" si="1"/>
        <v>226086000</v>
      </c>
      <c r="D16" s="41"/>
      <c r="E16" s="361">
        <f t="shared" si="3"/>
        <v>0.05112</v>
      </c>
      <c r="F16" s="41">
        <f t="shared" si="2"/>
        <v>2953587.5039999997</v>
      </c>
      <c r="G16" s="41">
        <f t="shared" si="4"/>
        <v>42391</v>
      </c>
      <c r="H16" s="91"/>
      <c r="I16" s="91"/>
      <c r="J16" s="242"/>
    </row>
    <row r="17" spans="1:10" ht="12.75">
      <c r="A17" s="97">
        <v>39813</v>
      </c>
      <c r="B17" s="367">
        <f t="shared" si="0"/>
        <v>92</v>
      </c>
      <c r="C17" s="99">
        <f t="shared" si="1"/>
        <v>226086000</v>
      </c>
      <c r="D17" s="99"/>
      <c r="E17" s="362">
        <f t="shared" si="3"/>
        <v>0.05112</v>
      </c>
      <c r="F17" s="99">
        <f t="shared" si="2"/>
        <v>2953587.5039999997</v>
      </c>
      <c r="G17" s="99">
        <f t="shared" si="4"/>
        <v>42391</v>
      </c>
      <c r="H17" s="359">
        <f>SUM(F14:G17)</f>
        <v>11919705.592</v>
      </c>
      <c r="I17" s="359">
        <f>SUM(D14:D17)</f>
        <v>0</v>
      </c>
      <c r="J17" s="360">
        <f>SUM(H17:I17)</f>
        <v>11919705.592</v>
      </c>
    </row>
    <row r="18" spans="1:10" ht="12.75">
      <c r="A18" s="90">
        <v>39903</v>
      </c>
      <c r="B18" s="369">
        <f t="shared" si="0"/>
        <v>90</v>
      </c>
      <c r="C18" s="42">
        <f t="shared" si="1"/>
        <v>226086000</v>
      </c>
      <c r="D18" s="41"/>
      <c r="E18" s="361">
        <f t="shared" si="3"/>
        <v>0.05112</v>
      </c>
      <c r="F18" s="42">
        <f t="shared" si="2"/>
        <v>2889379.08</v>
      </c>
      <c r="G18" s="41">
        <f t="shared" si="4"/>
        <v>42391</v>
      </c>
      <c r="H18" s="91"/>
      <c r="I18" s="91"/>
      <c r="J18" s="242"/>
    </row>
    <row r="19" spans="1:10" ht="12.75">
      <c r="A19" s="90">
        <v>39969</v>
      </c>
      <c r="B19" s="366">
        <f t="shared" si="0"/>
        <v>66</v>
      </c>
      <c r="C19" s="41">
        <f t="shared" si="1"/>
        <v>222809300</v>
      </c>
      <c r="D19" s="41">
        <v>3276700</v>
      </c>
      <c r="E19" s="361"/>
      <c r="F19" s="41"/>
      <c r="G19" s="41"/>
      <c r="H19" s="91"/>
      <c r="I19" s="91"/>
      <c r="J19" s="242"/>
    </row>
    <row r="20" spans="1:10" ht="12.75">
      <c r="A20" s="90">
        <v>39994</v>
      </c>
      <c r="B20" s="366">
        <f t="shared" si="0"/>
        <v>25</v>
      </c>
      <c r="C20" s="41">
        <f t="shared" si="1"/>
        <v>222809300</v>
      </c>
      <c r="D20" s="41"/>
      <c r="E20" s="361">
        <f>E18</f>
        <v>0.05112</v>
      </c>
      <c r="F20" s="41">
        <f>((C19+D19)*E20/360*B19)+((C20+D20)*E20/360*B20)</f>
        <v>2909851.007</v>
      </c>
      <c r="G20" s="41">
        <f>G18</f>
        <v>42391</v>
      </c>
      <c r="H20" s="91"/>
      <c r="I20" s="91"/>
      <c r="J20" s="242"/>
    </row>
    <row r="21" spans="1:10" ht="12.75">
      <c r="A21" s="90">
        <v>40061</v>
      </c>
      <c r="B21" s="366">
        <f t="shared" si="0"/>
        <v>67</v>
      </c>
      <c r="C21" s="41">
        <f t="shared" si="1"/>
        <v>219532600</v>
      </c>
      <c r="D21" s="41">
        <f>D19</f>
        <v>3276700</v>
      </c>
      <c r="E21" s="361"/>
      <c r="F21" s="41"/>
      <c r="G21" s="41"/>
      <c r="H21" s="91"/>
      <c r="I21" s="91"/>
      <c r="J21" s="242"/>
    </row>
    <row r="22" spans="1:10" ht="12.75">
      <c r="A22" s="90">
        <v>40086</v>
      </c>
      <c r="B22" s="366">
        <f t="shared" si="0"/>
        <v>25</v>
      </c>
      <c r="C22" s="41">
        <f t="shared" si="1"/>
        <v>219532600</v>
      </c>
      <c r="D22" s="41"/>
      <c r="E22" s="361">
        <f>E20</f>
        <v>0.05112</v>
      </c>
      <c r="F22" s="41">
        <f>((C21+D21)*E22/360*B21)+((C22+D22)*E22/360*B22)</f>
        <v>2899148.4102</v>
      </c>
      <c r="G22" s="41">
        <f>G20</f>
        <v>42391</v>
      </c>
      <c r="H22" s="91"/>
      <c r="I22" s="91"/>
      <c r="J22" s="242"/>
    </row>
    <row r="23" spans="1:10" ht="12.75">
      <c r="A23" s="90">
        <v>40152</v>
      </c>
      <c r="B23" s="366">
        <f t="shared" si="0"/>
        <v>66</v>
      </c>
      <c r="C23" s="41">
        <f t="shared" si="1"/>
        <v>216255900</v>
      </c>
      <c r="D23" s="41">
        <f>D21</f>
        <v>3276700</v>
      </c>
      <c r="E23" s="361"/>
      <c r="F23" s="41"/>
      <c r="G23" s="41"/>
      <c r="H23" s="91"/>
      <c r="I23" s="91"/>
      <c r="J23" s="242"/>
    </row>
    <row r="24" spans="1:10" ht="12.75">
      <c r="A24" s="97">
        <v>40178</v>
      </c>
      <c r="B24" s="367">
        <f t="shared" si="0"/>
        <v>26</v>
      </c>
      <c r="C24" s="99">
        <f t="shared" si="1"/>
        <v>216255900</v>
      </c>
      <c r="D24" s="99"/>
      <c r="E24" s="362">
        <f>E22</f>
        <v>0.05112</v>
      </c>
      <c r="F24" s="99">
        <f>((C23+D23)*E24/360*B23)+((C24+D24)*E24/360*B24)</f>
        <v>2855876.3099999996</v>
      </c>
      <c r="G24" s="99">
        <f>G22</f>
        <v>42391</v>
      </c>
      <c r="H24" s="359">
        <f>SUM(F18:G24)</f>
        <v>11723818.8072</v>
      </c>
      <c r="I24" s="359">
        <f>SUM(D18:D24)</f>
        <v>9830100</v>
      </c>
      <c r="J24" s="360">
        <f>SUM(H24:I24)</f>
        <v>21553918.8072</v>
      </c>
    </row>
    <row r="25" spans="1:10" ht="12.75">
      <c r="A25" s="103">
        <v>40242</v>
      </c>
      <c r="B25" s="365">
        <f t="shared" si="0"/>
        <v>64</v>
      </c>
      <c r="C25" s="42">
        <f t="shared" si="1"/>
        <v>212979200</v>
      </c>
      <c r="D25" s="42">
        <f>D23</f>
        <v>3276700</v>
      </c>
      <c r="E25" s="104"/>
      <c r="F25" s="104"/>
      <c r="G25" s="104"/>
      <c r="H25" s="104"/>
      <c r="I25" s="104"/>
      <c r="J25" s="253"/>
    </row>
    <row r="26" spans="1:10" ht="12.75">
      <c r="A26" s="90">
        <v>40268</v>
      </c>
      <c r="B26" s="366">
        <f t="shared" si="0"/>
        <v>26</v>
      </c>
      <c r="C26" s="41">
        <f t="shared" si="1"/>
        <v>212979200</v>
      </c>
      <c r="D26" s="41"/>
      <c r="E26" s="361">
        <f>E24</f>
        <v>0.05112</v>
      </c>
      <c r="F26" s="41">
        <f>((C25+D25)*E26/360*B25)+((C26+D26)*E26/360*B26)</f>
        <v>2751652.8256</v>
      </c>
      <c r="G26" s="41">
        <f>G24</f>
        <v>42391</v>
      </c>
      <c r="H26" s="91"/>
      <c r="I26" s="91"/>
      <c r="J26" s="242"/>
    </row>
    <row r="27" spans="1:10" ht="12.75">
      <c r="A27" s="90">
        <v>40334</v>
      </c>
      <c r="B27" s="366">
        <f t="shared" si="0"/>
        <v>66</v>
      </c>
      <c r="C27" s="41">
        <f t="shared" si="1"/>
        <v>209702500</v>
      </c>
      <c r="D27" s="41">
        <f>D25</f>
        <v>3276700</v>
      </c>
      <c r="E27" s="361"/>
      <c r="F27" s="41"/>
      <c r="G27" s="41"/>
      <c r="H27" s="91"/>
      <c r="I27" s="91"/>
      <c r="J27" s="242"/>
    </row>
    <row r="28" spans="1:10" ht="12.75">
      <c r="A28" s="90">
        <v>40359</v>
      </c>
      <c r="B28" s="366">
        <f t="shared" si="0"/>
        <v>25</v>
      </c>
      <c r="C28" s="41">
        <f t="shared" si="1"/>
        <v>209702500</v>
      </c>
      <c r="D28" s="41"/>
      <c r="E28" s="361">
        <f>E26</f>
        <v>0.05112</v>
      </c>
      <c r="F28" s="41">
        <f>((C27+D27)*E28/360*B27)+((C28+D28)*E28/360*B28)</f>
        <v>2740484.9373999997</v>
      </c>
      <c r="G28" s="41">
        <f>G26</f>
        <v>42391</v>
      </c>
      <c r="H28" s="91"/>
      <c r="I28" s="91"/>
      <c r="J28" s="242"/>
    </row>
    <row r="29" spans="1:10" ht="12.75">
      <c r="A29" s="90">
        <v>40426</v>
      </c>
      <c r="B29" s="366">
        <f t="shared" si="0"/>
        <v>67</v>
      </c>
      <c r="C29" s="41">
        <f t="shared" si="1"/>
        <v>206425800</v>
      </c>
      <c r="D29" s="41">
        <f>D27</f>
        <v>3276700</v>
      </c>
      <c r="E29" s="361"/>
      <c r="F29" s="41"/>
      <c r="G29" s="41"/>
      <c r="H29" s="91"/>
      <c r="I29" s="91"/>
      <c r="J29" s="242"/>
    </row>
    <row r="30" spans="1:10" ht="12.75">
      <c r="A30" s="90">
        <v>40451</v>
      </c>
      <c r="B30" s="366">
        <f t="shared" si="0"/>
        <v>25</v>
      </c>
      <c r="C30" s="41">
        <f t="shared" si="1"/>
        <v>206425800</v>
      </c>
      <c r="D30" s="41"/>
      <c r="E30" s="361">
        <f>E28</f>
        <v>0.05112</v>
      </c>
      <c r="F30" s="41">
        <f>((C29+D29)*E30/360*B29)+((C30+D30)*E30/360*B30)</f>
        <v>2727921.175</v>
      </c>
      <c r="G30" s="41">
        <f>G28</f>
        <v>42391</v>
      </c>
      <c r="H30" s="91"/>
      <c r="I30" s="91"/>
      <c r="J30" s="242"/>
    </row>
    <row r="31" spans="1:10" ht="12.75">
      <c r="A31" s="90">
        <v>40517</v>
      </c>
      <c r="B31" s="366">
        <f t="shared" si="0"/>
        <v>66</v>
      </c>
      <c r="C31" s="41">
        <f t="shared" si="1"/>
        <v>203149100</v>
      </c>
      <c r="D31" s="41">
        <f>D29</f>
        <v>3276700</v>
      </c>
      <c r="E31" s="361"/>
      <c r="F31" s="41"/>
      <c r="G31" s="41"/>
      <c r="H31" s="91"/>
      <c r="I31" s="91"/>
      <c r="J31" s="242"/>
    </row>
    <row r="32" spans="1:10" ht="12.75">
      <c r="A32" s="97">
        <v>40543</v>
      </c>
      <c r="B32" s="367">
        <f t="shared" si="0"/>
        <v>26</v>
      </c>
      <c r="C32" s="99">
        <f t="shared" si="1"/>
        <v>203149100</v>
      </c>
      <c r="D32" s="99"/>
      <c r="E32" s="362">
        <f>E30</f>
        <v>0.05112</v>
      </c>
      <c r="F32" s="99">
        <f>((C31+D31)*E32/360*B31)+((C32+D32)*E32/360*B32)</f>
        <v>2684649.0748</v>
      </c>
      <c r="G32" s="99">
        <f>G30</f>
        <v>42391</v>
      </c>
      <c r="H32" s="359">
        <f>SUM(F26:G32)</f>
        <v>11074272.0128</v>
      </c>
      <c r="I32" s="359">
        <f>SUM(D25:D32)</f>
        <v>13106800</v>
      </c>
      <c r="J32" s="360">
        <f>SUM(H32:I32)</f>
        <v>24181072.0128</v>
      </c>
    </row>
    <row r="33" spans="1:10" ht="12.75">
      <c r="A33" s="103">
        <v>40607</v>
      </c>
      <c r="B33" s="365">
        <f t="shared" si="0"/>
        <v>64</v>
      </c>
      <c r="C33" s="42">
        <f t="shared" si="1"/>
        <v>199872400</v>
      </c>
      <c r="D33" s="42">
        <f>D31</f>
        <v>3276700</v>
      </c>
      <c r="E33" s="104"/>
      <c r="F33" s="104"/>
      <c r="G33" s="104"/>
      <c r="H33" s="104"/>
      <c r="I33" s="104"/>
      <c r="J33" s="253"/>
    </row>
    <row r="34" spans="1:10" ht="12.75">
      <c r="A34" s="90">
        <v>40633</v>
      </c>
      <c r="B34" s="366">
        <f t="shared" si="0"/>
        <v>26</v>
      </c>
      <c r="C34" s="41">
        <f t="shared" si="1"/>
        <v>199872400</v>
      </c>
      <c r="D34" s="41"/>
      <c r="E34" s="361">
        <f>E32</f>
        <v>0.05112</v>
      </c>
      <c r="F34" s="41">
        <f>((C33+D33)*E34/360*B33)+((C34+D34)*E34/360*B34)</f>
        <v>2584147.9216</v>
      </c>
      <c r="G34" s="41">
        <f>G32</f>
        <v>42391</v>
      </c>
      <c r="H34" s="91"/>
      <c r="I34" s="91"/>
      <c r="J34" s="242"/>
    </row>
    <row r="35" spans="1:10" ht="12.75">
      <c r="A35" s="90">
        <v>40699</v>
      </c>
      <c r="B35" s="366">
        <f t="shared" si="0"/>
        <v>66</v>
      </c>
      <c r="C35" s="41">
        <f t="shared" si="1"/>
        <v>196595700</v>
      </c>
      <c r="D35" s="41">
        <f>D33</f>
        <v>3276700</v>
      </c>
      <c r="E35" s="361"/>
      <c r="F35" s="41"/>
      <c r="G35" s="41"/>
      <c r="H35" s="91"/>
      <c r="I35" s="91"/>
      <c r="J35" s="242"/>
    </row>
    <row r="36" spans="1:10" ht="12.75">
      <c r="A36" s="90">
        <v>40724</v>
      </c>
      <c r="B36" s="366">
        <f t="shared" si="0"/>
        <v>25</v>
      </c>
      <c r="C36" s="41">
        <f t="shared" si="1"/>
        <v>196595700</v>
      </c>
      <c r="D36" s="41"/>
      <c r="E36" s="361">
        <f>E34</f>
        <v>0.05112</v>
      </c>
      <c r="F36" s="41">
        <f>((C35+D35)*E36/360*B35)+((C36+D36)*E36/360*B36)</f>
        <v>2571118.8678</v>
      </c>
      <c r="G36" s="41">
        <f>G34</f>
        <v>42391</v>
      </c>
      <c r="H36" s="91"/>
      <c r="I36" s="91"/>
      <c r="J36" s="242"/>
    </row>
    <row r="37" spans="1:10" ht="12.75">
      <c r="A37" s="90">
        <v>40791</v>
      </c>
      <c r="B37" s="366">
        <f t="shared" si="0"/>
        <v>67</v>
      </c>
      <c r="C37" s="41">
        <f t="shared" si="1"/>
        <v>193319000</v>
      </c>
      <c r="D37" s="41">
        <f>D35</f>
        <v>3276700</v>
      </c>
      <c r="E37" s="361"/>
      <c r="F37" s="41"/>
      <c r="G37" s="41"/>
      <c r="H37" s="91"/>
      <c r="I37" s="91"/>
      <c r="J37" s="242"/>
    </row>
    <row r="38" spans="1:10" ht="12.75">
      <c r="A38" s="90">
        <v>40816</v>
      </c>
      <c r="B38" s="366">
        <f t="shared" si="0"/>
        <v>25</v>
      </c>
      <c r="C38" s="41">
        <f t="shared" si="1"/>
        <v>193319000</v>
      </c>
      <c r="D38" s="41"/>
      <c r="E38" s="361">
        <f>E36</f>
        <v>0.05112</v>
      </c>
      <c r="F38" s="41">
        <f>((C37+D37)*E38/360*B37)+((C38+D38)*E38/360*B38)</f>
        <v>2556693.9398</v>
      </c>
      <c r="G38" s="41">
        <f>G36</f>
        <v>42391</v>
      </c>
      <c r="H38" s="91"/>
      <c r="I38" s="91"/>
      <c r="J38" s="242"/>
    </row>
    <row r="39" spans="1:10" ht="12.75">
      <c r="A39" s="90">
        <v>40882</v>
      </c>
      <c r="B39" s="366">
        <f t="shared" si="0"/>
        <v>66</v>
      </c>
      <c r="C39" s="41">
        <f t="shared" si="1"/>
        <v>190042300</v>
      </c>
      <c r="D39" s="41">
        <f>D37</f>
        <v>3276700</v>
      </c>
      <c r="E39" s="361"/>
      <c r="F39" s="41"/>
      <c r="G39" s="41"/>
      <c r="H39" s="91"/>
      <c r="I39" s="91"/>
      <c r="J39" s="242"/>
    </row>
    <row r="40" spans="1:10" ht="12.75">
      <c r="A40" s="97">
        <v>40908</v>
      </c>
      <c r="B40" s="367">
        <f t="shared" si="0"/>
        <v>26</v>
      </c>
      <c r="C40" s="99">
        <f t="shared" si="1"/>
        <v>190042300</v>
      </c>
      <c r="D40" s="99"/>
      <c r="E40" s="362">
        <f>E38</f>
        <v>0.05112</v>
      </c>
      <c r="F40" s="99">
        <f>((C39+D39)*E40/360*B39)+((C40+D40)*E40/360*B40)</f>
        <v>2513421.8395999996</v>
      </c>
      <c r="G40" s="99">
        <f>G38</f>
        <v>42391</v>
      </c>
      <c r="H40" s="359">
        <f>SUM(F34:G40)</f>
        <v>10394946.568799999</v>
      </c>
      <c r="I40" s="359">
        <f>SUM(D33:D40)</f>
        <v>13106800</v>
      </c>
      <c r="J40" s="360">
        <f>SUM(H40:I40)</f>
        <v>23501746.5688</v>
      </c>
    </row>
    <row r="41" spans="1:10" ht="12.75">
      <c r="A41" s="103">
        <v>40973</v>
      </c>
      <c r="B41" s="365">
        <f aca="true" t="shared" si="5" ref="B41:B72">A41-A40</f>
        <v>65</v>
      </c>
      <c r="C41" s="42">
        <f aca="true" t="shared" si="6" ref="C41:C72">C40-D41</f>
        <v>186765600</v>
      </c>
      <c r="D41" s="42">
        <f>D39</f>
        <v>3276700</v>
      </c>
      <c r="E41" s="104"/>
      <c r="F41" s="104"/>
      <c r="G41" s="104"/>
      <c r="H41" s="104"/>
      <c r="I41" s="104"/>
      <c r="J41" s="253"/>
    </row>
    <row r="42" spans="1:10" ht="12.75">
      <c r="A42" s="90">
        <v>40999</v>
      </c>
      <c r="B42" s="366">
        <f t="shared" si="5"/>
        <v>26</v>
      </c>
      <c r="C42" s="41">
        <f t="shared" si="6"/>
        <v>186765600</v>
      </c>
      <c r="D42" s="41"/>
      <c r="E42" s="361">
        <f>E40</f>
        <v>0.05112</v>
      </c>
      <c r="F42" s="41">
        <f>((C41+D41)*E42/360*B41)+((C42+D42)*E42/360*B42)</f>
        <v>2443629.0242</v>
      </c>
      <c r="G42" s="41">
        <f>G40</f>
        <v>42391</v>
      </c>
      <c r="H42" s="91"/>
      <c r="I42" s="91"/>
      <c r="J42" s="242"/>
    </row>
    <row r="43" spans="1:10" ht="12.75">
      <c r="A43" s="90">
        <v>41065</v>
      </c>
      <c r="B43" s="366">
        <f t="shared" si="5"/>
        <v>66</v>
      </c>
      <c r="C43" s="41">
        <f t="shared" si="6"/>
        <v>183488900</v>
      </c>
      <c r="D43" s="41">
        <f>D41</f>
        <v>3276700</v>
      </c>
      <c r="E43" s="361"/>
      <c r="F43" s="41"/>
      <c r="G43" s="41"/>
      <c r="H43" s="91"/>
      <c r="I43" s="91"/>
      <c r="J43" s="242"/>
    </row>
    <row r="44" spans="1:10" ht="12.75">
      <c r="A44" s="90">
        <v>41090</v>
      </c>
      <c r="B44" s="366">
        <f t="shared" si="5"/>
        <v>25</v>
      </c>
      <c r="C44" s="41">
        <f t="shared" si="6"/>
        <v>183488900</v>
      </c>
      <c r="D44" s="41"/>
      <c r="E44" s="361">
        <f>E42</f>
        <v>0.05112</v>
      </c>
      <c r="F44" s="41">
        <f>((C43+D43)*E44/360*B43)+((C44+D44)*E44/360*B44)</f>
        <v>2401752.7982</v>
      </c>
      <c r="G44" s="41">
        <f>G42</f>
        <v>42391</v>
      </c>
      <c r="H44" s="91"/>
      <c r="I44" s="91"/>
      <c r="J44" s="242"/>
    </row>
    <row r="45" spans="1:10" ht="12.75">
      <c r="A45" s="90">
        <v>41157</v>
      </c>
      <c r="B45" s="366">
        <f t="shared" si="5"/>
        <v>67</v>
      </c>
      <c r="C45" s="41">
        <f t="shared" si="6"/>
        <v>180212200</v>
      </c>
      <c r="D45" s="41">
        <f>D43</f>
        <v>3276700</v>
      </c>
      <c r="E45" s="361"/>
      <c r="F45" s="41"/>
      <c r="G45" s="41"/>
      <c r="H45" s="91"/>
      <c r="I45" s="91"/>
      <c r="J45" s="242"/>
    </row>
    <row r="46" spans="1:10" ht="12.75">
      <c r="A46" s="90">
        <v>41182</v>
      </c>
      <c r="B46" s="366">
        <f t="shared" si="5"/>
        <v>25</v>
      </c>
      <c r="C46" s="41">
        <f t="shared" si="6"/>
        <v>180212200</v>
      </c>
      <c r="D46" s="41"/>
      <c r="E46" s="361">
        <f>E44</f>
        <v>0.05112</v>
      </c>
      <c r="F46" s="41">
        <f>((C45+D45)*E46/360*B45)+((C46+D46)*E46/360*B46)</f>
        <v>2385466.7046</v>
      </c>
      <c r="G46" s="41">
        <f>G44</f>
        <v>42391</v>
      </c>
      <c r="H46" s="91"/>
      <c r="I46" s="91"/>
      <c r="J46" s="242"/>
    </row>
    <row r="47" spans="1:10" ht="12.75">
      <c r="A47" s="90">
        <v>41248</v>
      </c>
      <c r="B47" s="366">
        <f t="shared" si="5"/>
        <v>66</v>
      </c>
      <c r="C47" s="41">
        <f t="shared" si="6"/>
        <v>176935500</v>
      </c>
      <c r="D47" s="41">
        <f>D45</f>
        <v>3276700</v>
      </c>
      <c r="E47" s="361"/>
      <c r="F47" s="41"/>
      <c r="G47" s="41"/>
      <c r="H47" s="91"/>
      <c r="I47" s="91"/>
      <c r="J47" s="242"/>
    </row>
    <row r="48" spans="1:10" ht="12.75">
      <c r="A48" s="97">
        <v>41274</v>
      </c>
      <c r="B48" s="367">
        <f t="shared" si="5"/>
        <v>26</v>
      </c>
      <c r="C48" s="99">
        <f t="shared" si="6"/>
        <v>176935500</v>
      </c>
      <c r="D48" s="99"/>
      <c r="E48" s="362">
        <f>E46</f>
        <v>0.05112</v>
      </c>
      <c r="F48" s="99">
        <f>((C47+D47)*E48/360*B47)+((C48+D48)*E48/360*B48)</f>
        <v>2342194.6044</v>
      </c>
      <c r="G48" s="99">
        <f>G46</f>
        <v>42391</v>
      </c>
      <c r="H48" s="359">
        <f>SUM(F42:G48)</f>
        <v>9742607.1314</v>
      </c>
      <c r="I48" s="359">
        <f>SUM(D41:D48)</f>
        <v>13106800</v>
      </c>
      <c r="J48" s="360">
        <f>SUM(H48:I48)</f>
        <v>22849407.1314</v>
      </c>
    </row>
    <row r="49" spans="1:10" ht="12.75">
      <c r="A49" s="103">
        <v>41338</v>
      </c>
      <c r="B49" s="365">
        <f t="shared" si="5"/>
        <v>64</v>
      </c>
      <c r="C49" s="42">
        <f t="shared" si="6"/>
        <v>173658800</v>
      </c>
      <c r="D49" s="42">
        <f>D47</f>
        <v>3276700</v>
      </c>
      <c r="E49" s="104"/>
      <c r="F49" s="104"/>
      <c r="G49" s="104"/>
      <c r="H49" s="104"/>
      <c r="I49" s="104"/>
      <c r="J49" s="253"/>
    </row>
    <row r="50" spans="1:10" ht="12.75">
      <c r="A50" s="90">
        <v>41364</v>
      </c>
      <c r="B50" s="366">
        <f t="shared" si="5"/>
        <v>26</v>
      </c>
      <c r="C50" s="41">
        <f t="shared" si="6"/>
        <v>173658800</v>
      </c>
      <c r="D50" s="41"/>
      <c r="E50" s="361">
        <f>E48</f>
        <v>0.05112</v>
      </c>
      <c r="F50" s="41">
        <f>((C49+D49)*E50/360*B49)+((C50+D50)*E50/360*B50)</f>
        <v>2249138.1136</v>
      </c>
      <c r="G50" s="41">
        <f>G48</f>
        <v>42391</v>
      </c>
      <c r="H50" s="91"/>
      <c r="I50" s="91"/>
      <c r="J50" s="242"/>
    </row>
    <row r="51" spans="1:10" ht="12.75">
      <c r="A51" s="90">
        <v>41430</v>
      </c>
      <c r="B51" s="366">
        <f t="shared" si="5"/>
        <v>66</v>
      </c>
      <c r="C51" s="41">
        <f t="shared" si="6"/>
        <v>170382100</v>
      </c>
      <c r="D51" s="41">
        <f>D49</f>
        <v>3276700</v>
      </c>
      <c r="E51" s="361"/>
      <c r="F51" s="41"/>
      <c r="G51" s="41"/>
      <c r="H51" s="91"/>
      <c r="I51" s="91"/>
      <c r="J51" s="242"/>
    </row>
    <row r="52" spans="1:10" ht="12.75">
      <c r="A52" s="90">
        <v>41455</v>
      </c>
      <c r="B52" s="366">
        <f t="shared" si="5"/>
        <v>25</v>
      </c>
      <c r="C52" s="41">
        <f t="shared" si="6"/>
        <v>170382100</v>
      </c>
      <c r="D52" s="41"/>
      <c r="E52" s="361">
        <f>E50</f>
        <v>0.05112</v>
      </c>
      <c r="F52" s="41">
        <f>((C51+D51)*E52/360*B51)+((C52+D52)*E52/360*B52)</f>
        <v>2232386.7286</v>
      </c>
      <c r="G52" s="41">
        <f>G50</f>
        <v>42391</v>
      </c>
      <c r="H52" s="91"/>
      <c r="I52" s="91"/>
      <c r="J52" s="242"/>
    </row>
    <row r="53" spans="1:10" ht="12.75">
      <c r="A53" s="90">
        <v>41522</v>
      </c>
      <c r="B53" s="366">
        <f t="shared" si="5"/>
        <v>67</v>
      </c>
      <c r="C53" s="41">
        <f t="shared" si="6"/>
        <v>167105400</v>
      </c>
      <c r="D53" s="41">
        <f>D51</f>
        <v>3276700</v>
      </c>
      <c r="E53" s="361"/>
      <c r="F53" s="41"/>
      <c r="G53" s="41"/>
      <c r="H53" s="91"/>
      <c r="I53" s="91"/>
      <c r="J53" s="242"/>
    </row>
    <row r="54" spans="1:10" ht="12.75">
      <c r="A54" s="90">
        <v>41547</v>
      </c>
      <c r="B54" s="366">
        <f t="shared" si="5"/>
        <v>25</v>
      </c>
      <c r="C54" s="41">
        <f t="shared" si="6"/>
        <v>167105400</v>
      </c>
      <c r="D54" s="41"/>
      <c r="E54" s="361">
        <f>E52</f>
        <v>0.05112</v>
      </c>
      <c r="F54" s="41">
        <f>((C53+D53)*E54/360*B53)+((C54+D54)*E54/360*B54)</f>
        <v>2214239.4694</v>
      </c>
      <c r="G54" s="41">
        <f>G52</f>
        <v>42391</v>
      </c>
      <c r="H54" s="91"/>
      <c r="I54" s="91"/>
      <c r="J54" s="242"/>
    </row>
    <row r="55" spans="1:10" ht="12.75">
      <c r="A55" s="90">
        <v>41613</v>
      </c>
      <c r="B55" s="366">
        <f t="shared" si="5"/>
        <v>66</v>
      </c>
      <c r="C55" s="41">
        <f t="shared" si="6"/>
        <v>163828700</v>
      </c>
      <c r="D55" s="41">
        <f>D53</f>
        <v>3276700</v>
      </c>
      <c r="E55" s="361"/>
      <c r="F55" s="41"/>
      <c r="G55" s="41"/>
      <c r="H55" s="91"/>
      <c r="I55" s="91"/>
      <c r="J55" s="242"/>
    </row>
    <row r="56" spans="1:10" ht="12.75">
      <c r="A56" s="97">
        <v>41639</v>
      </c>
      <c r="B56" s="367">
        <f t="shared" si="5"/>
        <v>26</v>
      </c>
      <c r="C56" s="99">
        <f t="shared" si="6"/>
        <v>163828700</v>
      </c>
      <c r="D56" s="99"/>
      <c r="E56" s="362">
        <f>E54</f>
        <v>0.05112</v>
      </c>
      <c r="F56" s="99">
        <f>((C55+D55)*E56/360*B55)+((C56+D56)*E56/360*B56)</f>
        <v>2170967.3692</v>
      </c>
      <c r="G56" s="99">
        <f>G54</f>
        <v>42391</v>
      </c>
      <c r="H56" s="359">
        <f>SUM(F50:G56)</f>
        <v>9036295.6808</v>
      </c>
      <c r="I56" s="359">
        <f>SUM(D49:D56)</f>
        <v>13106800</v>
      </c>
      <c r="J56" s="360">
        <f>SUM(H56:I56)</f>
        <v>22143095.6808</v>
      </c>
    </row>
    <row r="57" spans="1:10" ht="12.75">
      <c r="A57" s="103">
        <v>41703</v>
      </c>
      <c r="B57" s="365">
        <f t="shared" si="5"/>
        <v>64</v>
      </c>
      <c r="C57" s="42">
        <f t="shared" si="6"/>
        <v>160552000</v>
      </c>
      <c r="D57" s="42">
        <f>D55</f>
        <v>3276700</v>
      </c>
      <c r="E57" s="104"/>
      <c r="F57" s="104"/>
      <c r="G57" s="104"/>
      <c r="H57" s="104"/>
      <c r="I57" s="104"/>
      <c r="J57" s="253"/>
    </row>
    <row r="58" spans="1:10" ht="12.75">
      <c r="A58" s="90">
        <v>41729</v>
      </c>
      <c r="B58" s="366">
        <f t="shared" si="5"/>
        <v>26</v>
      </c>
      <c r="C58" s="41">
        <f t="shared" si="6"/>
        <v>160552000</v>
      </c>
      <c r="D58" s="41"/>
      <c r="E58" s="361">
        <f>E56</f>
        <v>0.05112</v>
      </c>
      <c r="F58" s="41">
        <f>((C57+D57)*E58/360*B57)+((C58+D58)*E58/360*B58)</f>
        <v>2081633.2096000002</v>
      </c>
      <c r="G58" s="41">
        <f>G56</f>
        <v>42391</v>
      </c>
      <c r="H58" s="91"/>
      <c r="I58" s="91"/>
      <c r="J58" s="242"/>
    </row>
    <row r="59" spans="1:10" ht="12.75">
      <c r="A59" s="90">
        <v>41795</v>
      </c>
      <c r="B59" s="366">
        <f t="shared" si="5"/>
        <v>66</v>
      </c>
      <c r="C59" s="41">
        <f t="shared" si="6"/>
        <v>157275300</v>
      </c>
      <c r="D59" s="41">
        <f>D57</f>
        <v>3276700</v>
      </c>
      <c r="E59" s="361"/>
      <c r="F59" s="41"/>
      <c r="G59" s="41"/>
      <c r="H59" s="91"/>
      <c r="I59" s="91"/>
      <c r="J59" s="242"/>
    </row>
    <row r="60" spans="1:10" ht="12.75">
      <c r="A60" s="90">
        <v>41820</v>
      </c>
      <c r="B60" s="366">
        <f t="shared" si="5"/>
        <v>25</v>
      </c>
      <c r="C60" s="41">
        <f t="shared" si="6"/>
        <v>157275300</v>
      </c>
      <c r="D60" s="41"/>
      <c r="E60" s="361">
        <f>E58</f>
        <v>0.05112</v>
      </c>
      <c r="F60" s="41">
        <f>((C59+D59)*E60/360*B59)+((C60+D60)*E60/360*B60)</f>
        <v>2063020.659</v>
      </c>
      <c r="G60" s="41">
        <f>G58</f>
        <v>42391</v>
      </c>
      <c r="H60" s="91"/>
      <c r="I60" s="91"/>
      <c r="J60" s="242"/>
    </row>
    <row r="61" spans="1:10" ht="12.75">
      <c r="A61" s="90">
        <v>41887</v>
      </c>
      <c r="B61" s="366">
        <f t="shared" si="5"/>
        <v>67</v>
      </c>
      <c r="C61" s="41">
        <f t="shared" si="6"/>
        <v>153998600</v>
      </c>
      <c r="D61" s="41">
        <f>D59</f>
        <v>3276700</v>
      </c>
      <c r="E61" s="361"/>
      <c r="F61" s="41"/>
      <c r="G61" s="41"/>
      <c r="H61" s="91"/>
      <c r="I61" s="91"/>
      <c r="J61" s="242"/>
    </row>
    <row r="62" spans="1:10" ht="12.75">
      <c r="A62" s="90">
        <v>41912</v>
      </c>
      <c r="B62" s="366">
        <f t="shared" si="5"/>
        <v>25</v>
      </c>
      <c r="C62" s="41">
        <f t="shared" si="6"/>
        <v>153998600</v>
      </c>
      <c r="D62" s="41"/>
      <c r="E62" s="361">
        <f>E60</f>
        <v>0.05112</v>
      </c>
      <c r="F62" s="41">
        <f>((C61+D61)*E62/360*B61)+((C62+D62)*E62/360*B62)</f>
        <v>2043012.2342</v>
      </c>
      <c r="G62" s="41">
        <f>G60</f>
        <v>42391</v>
      </c>
      <c r="H62" s="91"/>
      <c r="I62" s="91"/>
      <c r="J62" s="242"/>
    </row>
    <row r="63" spans="1:10" ht="12.75">
      <c r="A63" s="90">
        <v>41978</v>
      </c>
      <c r="B63" s="366">
        <f t="shared" si="5"/>
        <v>66</v>
      </c>
      <c r="C63" s="41">
        <f t="shared" si="6"/>
        <v>150721900</v>
      </c>
      <c r="D63" s="41">
        <f>D61</f>
        <v>3276700</v>
      </c>
      <c r="E63" s="361"/>
      <c r="F63" s="41"/>
      <c r="G63" s="41"/>
      <c r="H63" s="91"/>
      <c r="I63" s="91"/>
      <c r="J63" s="242"/>
    </row>
    <row r="64" spans="1:10" ht="12.75">
      <c r="A64" s="97">
        <v>42004</v>
      </c>
      <c r="B64" s="367">
        <f t="shared" si="5"/>
        <v>26</v>
      </c>
      <c r="C64" s="99">
        <f t="shared" si="6"/>
        <v>150721900</v>
      </c>
      <c r="D64" s="99"/>
      <c r="E64" s="362">
        <f>E62</f>
        <v>0.05112</v>
      </c>
      <c r="F64" s="99">
        <f>((C63+D63)*E64/360*B63)+((C64+D64)*E64/360*B64)</f>
        <v>1999740.134</v>
      </c>
      <c r="G64" s="99">
        <f>G62</f>
        <v>42391</v>
      </c>
      <c r="H64" s="359">
        <f>SUM(F58:G64)</f>
        <v>8356970.2368</v>
      </c>
      <c r="I64" s="359">
        <f>SUM(D57:D64)</f>
        <v>13106800</v>
      </c>
      <c r="J64" s="360">
        <f>SUM(H64:I64)</f>
        <v>21463770.2368</v>
      </c>
    </row>
    <row r="65" spans="1:10" ht="12.75">
      <c r="A65" s="103">
        <v>42068</v>
      </c>
      <c r="B65" s="365">
        <f t="shared" si="5"/>
        <v>64</v>
      </c>
      <c r="C65" s="42">
        <f t="shared" si="6"/>
        <v>147445200</v>
      </c>
      <c r="D65" s="42">
        <f>D63</f>
        <v>3276700</v>
      </c>
      <c r="E65" s="104"/>
      <c r="F65" s="104"/>
      <c r="G65" s="104"/>
      <c r="H65" s="104"/>
      <c r="I65" s="104"/>
      <c r="J65" s="253"/>
    </row>
    <row r="66" spans="1:10" ht="12.75">
      <c r="A66" s="90">
        <v>42094</v>
      </c>
      <c r="B66" s="366">
        <f t="shared" si="5"/>
        <v>26</v>
      </c>
      <c r="C66" s="41">
        <f t="shared" si="6"/>
        <v>147445200</v>
      </c>
      <c r="D66" s="41"/>
      <c r="E66" s="361">
        <f>E64</f>
        <v>0.05112</v>
      </c>
      <c r="F66" s="41">
        <f>((C65+D65)*E66/360*B65)+((C66+D66)*E66/360*B66)</f>
        <v>1914128.3056</v>
      </c>
      <c r="G66" s="41">
        <f>G64</f>
        <v>42391</v>
      </c>
      <c r="H66" s="91"/>
      <c r="I66" s="91"/>
      <c r="J66" s="242"/>
    </row>
    <row r="67" spans="1:10" ht="12.75">
      <c r="A67" s="90">
        <v>42160</v>
      </c>
      <c r="B67" s="366">
        <f t="shared" si="5"/>
        <v>66</v>
      </c>
      <c r="C67" s="41">
        <f t="shared" si="6"/>
        <v>144168500</v>
      </c>
      <c r="D67" s="41">
        <f>D65</f>
        <v>3276700</v>
      </c>
      <c r="E67" s="361"/>
      <c r="F67" s="41"/>
      <c r="G67" s="41"/>
      <c r="H67" s="91"/>
      <c r="I67" s="91"/>
      <c r="J67" s="242"/>
    </row>
    <row r="68" spans="1:10" ht="12.75">
      <c r="A68" s="90">
        <v>42185</v>
      </c>
      <c r="B68" s="366">
        <f t="shared" si="5"/>
        <v>25</v>
      </c>
      <c r="C68" s="41">
        <f t="shared" si="6"/>
        <v>144168500</v>
      </c>
      <c r="D68" s="41"/>
      <c r="E68" s="361">
        <f>E66</f>
        <v>0.05112</v>
      </c>
      <c r="F68" s="41">
        <f>((C67+D67)*E68/360*B67)+((C68+D68)*E68/360*B68)</f>
        <v>1893654.5894</v>
      </c>
      <c r="G68" s="41">
        <f>G66</f>
        <v>42391</v>
      </c>
      <c r="H68" s="91"/>
      <c r="I68" s="91"/>
      <c r="J68" s="242"/>
    </row>
    <row r="69" spans="1:10" ht="12.75">
      <c r="A69" s="90">
        <v>42252</v>
      </c>
      <c r="B69" s="366">
        <f t="shared" si="5"/>
        <v>67</v>
      </c>
      <c r="C69" s="41">
        <f t="shared" si="6"/>
        <v>140891800</v>
      </c>
      <c r="D69" s="41">
        <f>D67</f>
        <v>3276700</v>
      </c>
      <c r="E69" s="361"/>
      <c r="F69" s="41"/>
      <c r="G69" s="41"/>
      <c r="H69" s="91"/>
      <c r="I69" s="91"/>
      <c r="J69" s="242"/>
    </row>
    <row r="70" spans="1:10" ht="12.75">
      <c r="A70" s="90">
        <v>42277</v>
      </c>
      <c r="B70" s="366">
        <f t="shared" si="5"/>
        <v>25</v>
      </c>
      <c r="C70" s="41">
        <f t="shared" si="6"/>
        <v>140891800</v>
      </c>
      <c r="D70" s="41"/>
      <c r="E70" s="361">
        <f>E68</f>
        <v>0.05112</v>
      </c>
      <c r="F70" s="41">
        <f>((C69+D69)*E70/360*B69)+((C70+D70)*E70/360*B70)</f>
        <v>1871784.9989999998</v>
      </c>
      <c r="G70" s="41">
        <f>G68</f>
        <v>42391</v>
      </c>
      <c r="H70" s="91"/>
      <c r="I70" s="91"/>
      <c r="J70" s="242"/>
    </row>
    <row r="71" spans="1:10" ht="12.75">
      <c r="A71" s="90">
        <v>42343</v>
      </c>
      <c r="B71" s="366">
        <f t="shared" si="5"/>
        <v>66</v>
      </c>
      <c r="C71" s="41">
        <f t="shared" si="6"/>
        <v>137615100</v>
      </c>
      <c r="D71" s="41">
        <f>D69</f>
        <v>3276700</v>
      </c>
      <c r="E71" s="361"/>
      <c r="F71" s="41"/>
      <c r="G71" s="41"/>
      <c r="H71" s="91"/>
      <c r="I71" s="91"/>
      <c r="J71" s="242"/>
    </row>
    <row r="72" spans="1:10" ht="12.75">
      <c r="A72" s="97">
        <v>42369</v>
      </c>
      <c r="B72" s="367">
        <f t="shared" si="5"/>
        <v>26</v>
      </c>
      <c r="C72" s="99">
        <f t="shared" si="6"/>
        <v>137615100</v>
      </c>
      <c r="D72" s="99"/>
      <c r="E72" s="362">
        <f>E70</f>
        <v>0.05112</v>
      </c>
      <c r="F72" s="99">
        <f>((C71+D71)*E72/360*B71)+((C72+D72)*E72/360*B72)</f>
        <v>1828512.8987999998</v>
      </c>
      <c r="G72" s="99">
        <f>G70</f>
        <v>42391</v>
      </c>
      <c r="H72" s="359">
        <f>SUM(F66:G72)</f>
        <v>7677644.792799999</v>
      </c>
      <c r="I72" s="359">
        <f>SUM(D65:D72)</f>
        <v>13106800</v>
      </c>
      <c r="J72" s="360">
        <f>SUM(H72:I72)</f>
        <v>20784444.792799998</v>
      </c>
    </row>
    <row r="73" spans="1:10" ht="12.75">
      <c r="A73" s="103">
        <v>42434</v>
      </c>
      <c r="B73" s="365">
        <f aca="true" t="shared" si="7" ref="B73:B104">A73-A72</f>
        <v>65</v>
      </c>
      <c r="C73" s="42">
        <f aca="true" t="shared" si="8" ref="C73:C104">C72-D73</f>
        <v>134338400</v>
      </c>
      <c r="D73" s="42">
        <f>D71</f>
        <v>3276700</v>
      </c>
      <c r="E73" s="104"/>
      <c r="F73" s="104"/>
      <c r="G73" s="104"/>
      <c r="H73" s="104"/>
      <c r="I73" s="104"/>
      <c r="J73" s="253"/>
    </row>
    <row r="74" spans="1:10" ht="12.75">
      <c r="A74" s="90">
        <v>42460</v>
      </c>
      <c r="B74" s="366">
        <f t="shared" si="7"/>
        <v>26</v>
      </c>
      <c r="C74" s="41">
        <f t="shared" si="8"/>
        <v>134338400</v>
      </c>
      <c r="D74" s="41"/>
      <c r="E74" s="361">
        <f>E72</f>
        <v>0.05112</v>
      </c>
      <c r="F74" s="41">
        <f>((C73+D73)*E74/360*B73)+((C74+D74)*E74/360*B74)</f>
        <v>1766164.7458</v>
      </c>
      <c r="G74" s="41">
        <f>G72</f>
        <v>42391</v>
      </c>
      <c r="H74" s="91"/>
      <c r="I74" s="91"/>
      <c r="J74" s="242"/>
    </row>
    <row r="75" spans="1:10" ht="12.75">
      <c r="A75" s="90">
        <v>42526</v>
      </c>
      <c r="B75" s="366">
        <f t="shared" si="7"/>
        <v>66</v>
      </c>
      <c r="C75" s="41">
        <f t="shared" si="8"/>
        <v>131061700</v>
      </c>
      <c r="D75" s="41">
        <f>D73</f>
        <v>3276700</v>
      </c>
      <c r="E75" s="361"/>
      <c r="F75" s="41"/>
      <c r="G75" s="41"/>
      <c r="H75" s="91"/>
      <c r="I75" s="91"/>
      <c r="J75" s="242"/>
    </row>
    <row r="76" spans="1:10" ht="12.75">
      <c r="A76" s="90">
        <v>42551</v>
      </c>
      <c r="B76" s="366">
        <f t="shared" si="7"/>
        <v>25</v>
      </c>
      <c r="C76" s="41">
        <f t="shared" si="8"/>
        <v>131061700</v>
      </c>
      <c r="D76" s="41"/>
      <c r="E76" s="361">
        <f>E74</f>
        <v>0.05112</v>
      </c>
      <c r="F76" s="41">
        <f>((C75+D75)*E76/360*B75)+((C76+D76)*E76/360*B76)</f>
        <v>1724288.5197999997</v>
      </c>
      <c r="G76" s="41">
        <f>G74</f>
        <v>42391</v>
      </c>
      <c r="H76" s="91"/>
      <c r="I76" s="91"/>
      <c r="J76" s="242"/>
    </row>
    <row r="77" spans="1:10" ht="12.75">
      <c r="A77" s="90">
        <v>42618</v>
      </c>
      <c r="B77" s="366">
        <f t="shared" si="7"/>
        <v>67</v>
      </c>
      <c r="C77" s="41">
        <f t="shared" si="8"/>
        <v>127785000</v>
      </c>
      <c r="D77" s="41">
        <f>D75</f>
        <v>3276700</v>
      </c>
      <c r="E77" s="361"/>
      <c r="F77" s="41"/>
      <c r="G77" s="41"/>
      <c r="H77" s="91"/>
      <c r="I77" s="91"/>
      <c r="J77" s="242"/>
    </row>
    <row r="78" spans="1:10" ht="12.75">
      <c r="A78" s="90">
        <v>42643</v>
      </c>
      <c r="B78" s="366">
        <f t="shared" si="7"/>
        <v>25</v>
      </c>
      <c r="C78" s="41">
        <f t="shared" si="8"/>
        <v>127785000</v>
      </c>
      <c r="D78" s="41"/>
      <c r="E78" s="361">
        <f>E76</f>
        <v>0.05112</v>
      </c>
      <c r="F78" s="41">
        <f>((C77+D77)*E78/360*B77)+((C78+D78)*E78/360*B78)</f>
        <v>1700557.7638</v>
      </c>
      <c r="G78" s="41">
        <f>G76</f>
        <v>42391</v>
      </c>
      <c r="H78" s="91"/>
      <c r="I78" s="91"/>
      <c r="J78" s="242"/>
    </row>
    <row r="79" spans="1:10" ht="12.75">
      <c r="A79" s="90">
        <v>42709</v>
      </c>
      <c r="B79" s="366">
        <f t="shared" si="7"/>
        <v>66</v>
      </c>
      <c r="C79" s="41">
        <f t="shared" si="8"/>
        <v>124508300</v>
      </c>
      <c r="D79" s="41">
        <f>D77</f>
        <v>3276700</v>
      </c>
      <c r="E79" s="361"/>
      <c r="F79" s="41"/>
      <c r="G79" s="41"/>
      <c r="H79" s="91"/>
      <c r="I79" s="91"/>
      <c r="J79" s="242"/>
    </row>
    <row r="80" spans="1:10" ht="12.75">
      <c r="A80" s="97">
        <v>42735</v>
      </c>
      <c r="B80" s="367">
        <f t="shared" si="7"/>
        <v>26</v>
      </c>
      <c r="C80" s="99">
        <f t="shared" si="8"/>
        <v>124508300</v>
      </c>
      <c r="D80" s="99"/>
      <c r="E80" s="362">
        <f>E78</f>
        <v>0.05112</v>
      </c>
      <c r="F80" s="99">
        <f>((C79+D79)*E80/360*B79)+((C80+D80)*E80/360*B80)</f>
        <v>1657285.6636</v>
      </c>
      <c r="G80" s="99">
        <f>G78</f>
        <v>42391</v>
      </c>
      <c r="H80" s="359">
        <f>SUM(F74:G80)</f>
        <v>7017860.693</v>
      </c>
      <c r="I80" s="359">
        <f>SUM(D73:D80)</f>
        <v>13106800</v>
      </c>
      <c r="J80" s="360">
        <f>SUM(H80:I80)</f>
        <v>20124660.693</v>
      </c>
    </row>
    <row r="81" spans="1:10" ht="12.75">
      <c r="A81" s="103">
        <v>42799</v>
      </c>
      <c r="B81" s="365">
        <f t="shared" si="7"/>
        <v>64</v>
      </c>
      <c r="C81" s="42">
        <f t="shared" si="8"/>
        <v>121231600</v>
      </c>
      <c r="D81" s="42">
        <f>D79</f>
        <v>3276700</v>
      </c>
      <c r="E81" s="104"/>
      <c r="F81" s="104"/>
      <c r="G81" s="104"/>
      <c r="H81" s="104"/>
      <c r="I81" s="104"/>
      <c r="J81" s="253"/>
    </row>
    <row r="82" spans="1:10" ht="12.75">
      <c r="A82" s="90">
        <v>42825</v>
      </c>
      <c r="B82" s="366">
        <f t="shared" si="7"/>
        <v>26</v>
      </c>
      <c r="C82" s="41">
        <f t="shared" si="8"/>
        <v>121231600</v>
      </c>
      <c r="D82" s="41"/>
      <c r="E82" s="361">
        <f>E80</f>
        <v>0.05112</v>
      </c>
      <c r="F82" s="41">
        <f>((C81+D81)*E82/360*B81)+((C82+D82)*E82/360*B82)</f>
        <v>1579118.4976</v>
      </c>
      <c r="G82" s="41">
        <f>G80</f>
        <v>42391</v>
      </c>
      <c r="H82" s="91"/>
      <c r="I82" s="91"/>
      <c r="J82" s="242"/>
    </row>
    <row r="83" spans="1:10" ht="12.75">
      <c r="A83" s="90">
        <v>42891</v>
      </c>
      <c r="B83" s="366">
        <f t="shared" si="7"/>
        <v>66</v>
      </c>
      <c r="C83" s="41">
        <f t="shared" si="8"/>
        <v>117954900</v>
      </c>
      <c r="D83" s="41">
        <f>D81</f>
        <v>3276700</v>
      </c>
      <c r="E83" s="361"/>
      <c r="F83" s="41"/>
      <c r="G83" s="41"/>
      <c r="H83" s="91"/>
      <c r="I83" s="91"/>
      <c r="J83" s="242"/>
    </row>
    <row r="84" spans="1:10" ht="12.75">
      <c r="A84" s="90">
        <v>42916</v>
      </c>
      <c r="B84" s="366">
        <f t="shared" si="7"/>
        <v>25</v>
      </c>
      <c r="C84" s="41">
        <f t="shared" si="8"/>
        <v>117954900</v>
      </c>
      <c r="D84" s="41"/>
      <c r="E84" s="361">
        <f>E82</f>
        <v>0.05112</v>
      </c>
      <c r="F84" s="41">
        <f>((C83+D83)*E84/360*B83)+((C84+D84)*E84/360*B84)</f>
        <v>1554922.4502</v>
      </c>
      <c r="G84" s="41">
        <f>G82</f>
        <v>42391</v>
      </c>
      <c r="H84" s="91"/>
      <c r="I84" s="91"/>
      <c r="J84" s="242"/>
    </row>
    <row r="85" spans="1:10" ht="12.75">
      <c r="A85" s="90">
        <v>42983</v>
      </c>
      <c r="B85" s="366">
        <f t="shared" si="7"/>
        <v>67</v>
      </c>
      <c r="C85" s="41">
        <f t="shared" si="8"/>
        <v>114678200</v>
      </c>
      <c r="D85" s="41">
        <f>D83</f>
        <v>3276700</v>
      </c>
      <c r="E85" s="361"/>
      <c r="F85" s="41"/>
      <c r="G85" s="41"/>
      <c r="H85" s="91"/>
      <c r="I85" s="91"/>
      <c r="J85" s="242"/>
    </row>
    <row r="86" spans="1:10" ht="12.75">
      <c r="A86" s="90">
        <v>43008</v>
      </c>
      <c r="B86" s="366">
        <f t="shared" si="7"/>
        <v>25</v>
      </c>
      <c r="C86" s="41">
        <f t="shared" si="8"/>
        <v>114678200</v>
      </c>
      <c r="D86" s="41"/>
      <c r="E86" s="361">
        <f>E84</f>
        <v>0.05112</v>
      </c>
      <c r="F86" s="41">
        <f>((C85+D85)*E86/360*B85)+((C86+D86)*E86/360*B86)</f>
        <v>1529330.5285999998</v>
      </c>
      <c r="G86" s="41">
        <f>G84</f>
        <v>42391</v>
      </c>
      <c r="H86" s="91"/>
      <c r="I86" s="91"/>
      <c r="J86" s="242"/>
    </row>
    <row r="87" spans="1:10" ht="12.75">
      <c r="A87" s="90">
        <v>43074</v>
      </c>
      <c r="B87" s="366">
        <f t="shared" si="7"/>
        <v>66</v>
      </c>
      <c r="C87" s="41">
        <f t="shared" si="8"/>
        <v>111401500</v>
      </c>
      <c r="D87" s="41">
        <f>D85</f>
        <v>3276700</v>
      </c>
      <c r="E87" s="361"/>
      <c r="F87" s="41"/>
      <c r="G87" s="41"/>
      <c r="H87" s="91"/>
      <c r="I87" s="91"/>
      <c r="J87" s="242"/>
    </row>
    <row r="88" spans="1:10" ht="12.75">
      <c r="A88" s="97">
        <v>43100</v>
      </c>
      <c r="B88" s="367">
        <f t="shared" si="7"/>
        <v>26</v>
      </c>
      <c r="C88" s="99">
        <f t="shared" si="8"/>
        <v>111401500</v>
      </c>
      <c r="D88" s="99"/>
      <c r="E88" s="362">
        <f>E86</f>
        <v>0.05112</v>
      </c>
      <c r="F88" s="99">
        <f>((C87+D87)*E88/360*B87)+((C88+D88)*E88/360*B88)</f>
        <v>1486058.4283999999</v>
      </c>
      <c r="G88" s="99">
        <f>G86</f>
        <v>42391</v>
      </c>
      <c r="H88" s="359">
        <f>SUM(F82:G88)</f>
        <v>6318993.9048</v>
      </c>
      <c r="I88" s="359">
        <f>SUM(D81:D88)</f>
        <v>13106800</v>
      </c>
      <c r="J88" s="360">
        <f>SUM(H88:I88)</f>
        <v>19425793.904799998</v>
      </c>
    </row>
    <row r="89" spans="1:10" ht="12.75">
      <c r="A89" s="103">
        <v>43164</v>
      </c>
      <c r="B89" s="365">
        <f t="shared" si="7"/>
        <v>64</v>
      </c>
      <c r="C89" s="42">
        <f t="shared" si="8"/>
        <v>108124800</v>
      </c>
      <c r="D89" s="42">
        <f>D87</f>
        <v>3276700</v>
      </c>
      <c r="E89" s="104"/>
      <c r="F89" s="104"/>
      <c r="G89" s="104"/>
      <c r="H89" s="104"/>
      <c r="I89" s="104"/>
      <c r="J89" s="253"/>
    </row>
    <row r="90" spans="1:10" ht="12.75">
      <c r="A90" s="90">
        <v>43190</v>
      </c>
      <c r="B90" s="366">
        <f t="shared" si="7"/>
        <v>26</v>
      </c>
      <c r="C90" s="41">
        <f t="shared" si="8"/>
        <v>108124800</v>
      </c>
      <c r="D90" s="41"/>
      <c r="E90" s="361">
        <f>E88</f>
        <v>0.05112</v>
      </c>
      <c r="F90" s="41">
        <f>((C89+D89)*E90/360*B89)+((C90+D90)*E90/360*B90)</f>
        <v>1411613.5935999998</v>
      </c>
      <c r="G90" s="41">
        <f>G88</f>
        <v>42391</v>
      </c>
      <c r="H90" s="91"/>
      <c r="I90" s="91"/>
      <c r="J90" s="242"/>
    </row>
    <row r="91" spans="1:10" ht="12.75">
      <c r="A91" s="90">
        <v>43256</v>
      </c>
      <c r="B91" s="366">
        <f t="shared" si="7"/>
        <v>66</v>
      </c>
      <c r="C91" s="41">
        <f t="shared" si="8"/>
        <v>104848100</v>
      </c>
      <c r="D91" s="41">
        <f>D89</f>
        <v>3276700</v>
      </c>
      <c r="E91" s="361"/>
      <c r="F91" s="41"/>
      <c r="G91" s="41"/>
      <c r="H91" s="91"/>
      <c r="I91" s="91"/>
      <c r="J91" s="242"/>
    </row>
    <row r="92" spans="1:10" ht="12.75">
      <c r="A92" s="90">
        <v>43281</v>
      </c>
      <c r="B92" s="366">
        <f t="shared" si="7"/>
        <v>25</v>
      </c>
      <c r="C92" s="41">
        <f t="shared" si="8"/>
        <v>104848100</v>
      </c>
      <c r="D92" s="41"/>
      <c r="E92" s="361">
        <f>E90</f>
        <v>0.05112</v>
      </c>
      <c r="F92" s="41">
        <f>((C91+D91)*E92/360*B91)+((C92+D92)*E92/360*B92)</f>
        <v>1385556.3805999998</v>
      </c>
      <c r="G92" s="41">
        <f>G90</f>
        <v>42391</v>
      </c>
      <c r="H92" s="91"/>
      <c r="I92" s="91"/>
      <c r="J92" s="242"/>
    </row>
    <row r="93" spans="1:10" ht="12.75">
      <c r="A93" s="90">
        <v>43348</v>
      </c>
      <c r="B93" s="366">
        <f t="shared" si="7"/>
        <v>67</v>
      </c>
      <c r="C93" s="41">
        <f t="shared" si="8"/>
        <v>101571400</v>
      </c>
      <c r="D93" s="41">
        <f>D91</f>
        <v>3276700</v>
      </c>
      <c r="E93" s="361"/>
      <c r="F93" s="41"/>
      <c r="G93" s="41"/>
      <c r="H93" s="91"/>
      <c r="I93" s="91"/>
      <c r="J93" s="242"/>
    </row>
    <row r="94" spans="1:10" ht="12.75">
      <c r="A94" s="90">
        <v>43373</v>
      </c>
      <c r="B94" s="366">
        <f t="shared" si="7"/>
        <v>25</v>
      </c>
      <c r="C94" s="41">
        <f t="shared" si="8"/>
        <v>101571400</v>
      </c>
      <c r="D94" s="41"/>
      <c r="E94" s="361">
        <f>E92</f>
        <v>0.05112</v>
      </c>
      <c r="F94" s="41">
        <f>((C93+D93)*E94/360*B93)+((C94+D94)*E94/360*B94)</f>
        <v>1358103.2933999998</v>
      </c>
      <c r="G94" s="41">
        <f>G92</f>
        <v>42391</v>
      </c>
      <c r="H94" s="91"/>
      <c r="I94" s="91"/>
      <c r="J94" s="242"/>
    </row>
    <row r="95" spans="1:10" ht="12.75">
      <c r="A95" s="90">
        <v>43439</v>
      </c>
      <c r="B95" s="366">
        <f t="shared" si="7"/>
        <v>66</v>
      </c>
      <c r="C95" s="41">
        <f t="shared" si="8"/>
        <v>98294700</v>
      </c>
      <c r="D95" s="41">
        <f>D93</f>
        <v>3276700</v>
      </c>
      <c r="E95" s="361"/>
      <c r="F95" s="41"/>
      <c r="G95" s="41"/>
      <c r="H95" s="91"/>
      <c r="I95" s="91"/>
      <c r="J95" s="242"/>
    </row>
    <row r="96" spans="1:10" ht="12.75">
      <c r="A96" s="97">
        <v>43465</v>
      </c>
      <c r="B96" s="367">
        <f t="shared" si="7"/>
        <v>26</v>
      </c>
      <c r="C96" s="99">
        <f t="shared" si="8"/>
        <v>98294700</v>
      </c>
      <c r="D96" s="99"/>
      <c r="E96" s="362">
        <f>E94</f>
        <v>0.05112</v>
      </c>
      <c r="F96" s="99">
        <f>((C95+D95)*E96/360*B95)+((C96+D96)*E96/360*B96)</f>
        <v>1314831.1932</v>
      </c>
      <c r="G96" s="99">
        <f>G94</f>
        <v>42391</v>
      </c>
      <c r="H96" s="359">
        <f>SUM(F90:G96)</f>
        <v>5639668.4608</v>
      </c>
      <c r="I96" s="359">
        <f>SUM(D89:D96)</f>
        <v>13106800</v>
      </c>
      <c r="J96" s="360">
        <f>SUM(H96:I96)</f>
        <v>18746468.4608</v>
      </c>
    </row>
    <row r="97" spans="1:10" ht="12.75">
      <c r="A97" s="103">
        <v>43529</v>
      </c>
      <c r="B97" s="365">
        <f t="shared" si="7"/>
        <v>64</v>
      </c>
      <c r="C97" s="42">
        <f t="shared" si="8"/>
        <v>95018000</v>
      </c>
      <c r="D97" s="42">
        <f>D95</f>
        <v>3276700</v>
      </c>
      <c r="E97" s="104"/>
      <c r="F97" s="104"/>
      <c r="G97" s="104"/>
      <c r="H97" s="104"/>
      <c r="I97" s="104"/>
      <c r="J97" s="253"/>
    </row>
    <row r="98" spans="1:10" ht="12.75">
      <c r="A98" s="90">
        <v>43555</v>
      </c>
      <c r="B98" s="366">
        <f t="shared" si="7"/>
        <v>26</v>
      </c>
      <c r="C98" s="41">
        <f t="shared" si="8"/>
        <v>95018000</v>
      </c>
      <c r="D98" s="41"/>
      <c r="E98" s="361">
        <f>E96</f>
        <v>0.05112</v>
      </c>
      <c r="F98" s="41">
        <f>((C97+D97)*E98/360*B97)+((C98+D98)*E98/360*B98)</f>
        <v>1244108.6896000002</v>
      </c>
      <c r="G98" s="41">
        <f>G96</f>
        <v>42391</v>
      </c>
      <c r="H98" s="91"/>
      <c r="I98" s="91"/>
      <c r="J98" s="242"/>
    </row>
    <row r="99" spans="1:10" ht="12.75">
      <c r="A99" s="90">
        <v>43621</v>
      </c>
      <c r="B99" s="366">
        <f t="shared" si="7"/>
        <v>66</v>
      </c>
      <c r="C99" s="41">
        <f t="shared" si="8"/>
        <v>91741300</v>
      </c>
      <c r="D99" s="41">
        <f>D97</f>
        <v>3276700</v>
      </c>
      <c r="E99" s="361"/>
      <c r="F99" s="41"/>
      <c r="G99" s="41"/>
      <c r="H99" s="91"/>
      <c r="I99" s="91"/>
      <c r="J99" s="242"/>
    </row>
    <row r="100" spans="1:10" ht="12.75">
      <c r="A100" s="90">
        <v>43646</v>
      </c>
      <c r="B100" s="366">
        <f t="shared" si="7"/>
        <v>25</v>
      </c>
      <c r="C100" s="41">
        <f t="shared" si="8"/>
        <v>91741300</v>
      </c>
      <c r="D100" s="41"/>
      <c r="E100" s="361">
        <f>E98</f>
        <v>0.05112</v>
      </c>
      <c r="F100" s="41">
        <f>((C99+D99)*E100/360*B99)+((C100+D100)*E100/360*B100)</f>
        <v>1216190.311</v>
      </c>
      <c r="G100" s="41">
        <f>G98</f>
        <v>42391</v>
      </c>
      <c r="H100" s="91"/>
      <c r="I100" s="91"/>
      <c r="J100" s="242"/>
    </row>
    <row r="101" spans="1:10" ht="12.75">
      <c r="A101" s="90">
        <v>43713</v>
      </c>
      <c r="B101" s="366">
        <f t="shared" si="7"/>
        <v>67</v>
      </c>
      <c r="C101" s="41">
        <f t="shared" si="8"/>
        <v>88464600</v>
      </c>
      <c r="D101" s="41">
        <f>D99</f>
        <v>3276700</v>
      </c>
      <c r="E101" s="361"/>
      <c r="F101" s="41"/>
      <c r="G101" s="41"/>
      <c r="H101" s="91"/>
      <c r="I101" s="91"/>
      <c r="J101" s="242"/>
    </row>
    <row r="102" spans="1:10" ht="12.75">
      <c r="A102" s="90">
        <v>43738</v>
      </c>
      <c r="B102" s="366">
        <f t="shared" si="7"/>
        <v>25</v>
      </c>
      <c r="C102" s="41">
        <f t="shared" si="8"/>
        <v>88464600</v>
      </c>
      <c r="D102" s="41"/>
      <c r="E102" s="361">
        <f>E100</f>
        <v>0.05112</v>
      </c>
      <c r="F102" s="41">
        <f>((C101+D101)*E102/360*B101)+((C102+D102)*E102/360*B102)</f>
        <v>1186876.0582</v>
      </c>
      <c r="G102" s="41">
        <f>G100</f>
        <v>42391</v>
      </c>
      <c r="H102" s="91"/>
      <c r="I102" s="91"/>
      <c r="J102" s="242"/>
    </row>
    <row r="103" spans="1:10" ht="12.75">
      <c r="A103" s="90">
        <v>43804</v>
      </c>
      <c r="B103" s="366">
        <f t="shared" si="7"/>
        <v>66</v>
      </c>
      <c r="C103" s="41">
        <f t="shared" si="8"/>
        <v>85187900</v>
      </c>
      <c r="D103" s="41">
        <f>D101</f>
        <v>3276700</v>
      </c>
      <c r="E103" s="361"/>
      <c r="F103" s="41"/>
      <c r="G103" s="41"/>
      <c r="H103" s="91"/>
      <c r="I103" s="91"/>
      <c r="J103" s="242"/>
    </row>
    <row r="104" spans="1:10" ht="12.75">
      <c r="A104" s="97">
        <v>43830</v>
      </c>
      <c r="B104" s="367">
        <f t="shared" si="7"/>
        <v>26</v>
      </c>
      <c r="C104" s="99">
        <f t="shared" si="8"/>
        <v>85187900</v>
      </c>
      <c r="D104" s="99"/>
      <c r="E104" s="362">
        <f>E102</f>
        <v>0.05112</v>
      </c>
      <c r="F104" s="99">
        <f>((C103+D103)*E104/360*B103)+((C104+D104)*E104/360*B104)</f>
        <v>1143603.958</v>
      </c>
      <c r="G104" s="99">
        <f>G102</f>
        <v>42391</v>
      </c>
      <c r="H104" s="359">
        <f>SUM(F98:G104)</f>
        <v>4960343.016799999</v>
      </c>
      <c r="I104" s="359">
        <f>SUM(D97:D104)</f>
        <v>13106800</v>
      </c>
      <c r="J104" s="360">
        <f>SUM(H104:I104)</f>
        <v>18067143.0168</v>
      </c>
    </row>
    <row r="105" spans="1:10" ht="12.75">
      <c r="A105" s="103">
        <v>43895</v>
      </c>
      <c r="B105" s="365">
        <f aca="true" t="shared" si="9" ref="B105:B136">A105-A104</f>
        <v>65</v>
      </c>
      <c r="C105" s="42">
        <f aca="true" t="shared" si="10" ref="C105:C136">C104-D105</f>
        <v>81911200</v>
      </c>
      <c r="D105" s="42">
        <f>D103</f>
        <v>3276700</v>
      </c>
      <c r="E105" s="104"/>
      <c r="F105" s="104"/>
      <c r="G105" s="104"/>
      <c r="H105" s="104"/>
      <c r="I105" s="104"/>
      <c r="J105" s="253"/>
    </row>
    <row r="106" spans="1:10" ht="12.75">
      <c r="A106" s="90">
        <v>43921</v>
      </c>
      <c r="B106" s="366">
        <f t="shared" si="9"/>
        <v>26</v>
      </c>
      <c r="C106" s="41">
        <f t="shared" si="10"/>
        <v>81911200</v>
      </c>
      <c r="D106" s="41"/>
      <c r="E106" s="361">
        <f>E104</f>
        <v>0.05112</v>
      </c>
      <c r="F106" s="41">
        <f>((C105+D105)*E106/360*B105)+((C106+D106)*E106/360*B106)</f>
        <v>1088700.4674</v>
      </c>
      <c r="G106" s="41">
        <f>G104</f>
        <v>42391</v>
      </c>
      <c r="H106" s="91"/>
      <c r="I106" s="91"/>
      <c r="J106" s="242"/>
    </row>
    <row r="107" spans="1:10" ht="12.75">
      <c r="A107" s="90">
        <v>43987</v>
      </c>
      <c r="B107" s="366">
        <f t="shared" si="9"/>
        <v>66</v>
      </c>
      <c r="C107" s="41">
        <f t="shared" si="10"/>
        <v>78634500</v>
      </c>
      <c r="D107" s="41">
        <f>D105</f>
        <v>3276700</v>
      </c>
      <c r="E107" s="361"/>
      <c r="F107" s="41"/>
      <c r="G107" s="41"/>
      <c r="H107" s="91"/>
      <c r="I107" s="91"/>
      <c r="J107" s="242"/>
    </row>
    <row r="108" spans="1:10" ht="12.75">
      <c r="A108" s="90">
        <v>44012</v>
      </c>
      <c r="B108" s="366">
        <f t="shared" si="9"/>
        <v>25</v>
      </c>
      <c r="C108" s="41">
        <f t="shared" si="10"/>
        <v>78634500</v>
      </c>
      <c r="D108" s="41"/>
      <c r="E108" s="361">
        <f>E106</f>
        <v>0.05112</v>
      </c>
      <c r="F108" s="41">
        <f>((C107+D107)*E108/360*B107)+((C108+D108)*E108/360*B108)</f>
        <v>1046824.2413999999</v>
      </c>
      <c r="G108" s="41">
        <f>G106</f>
        <v>42391</v>
      </c>
      <c r="H108" s="91"/>
      <c r="I108" s="91"/>
      <c r="J108" s="242"/>
    </row>
    <row r="109" spans="1:10" ht="12.75">
      <c r="A109" s="90">
        <v>44079</v>
      </c>
      <c r="B109" s="366">
        <f t="shared" si="9"/>
        <v>67</v>
      </c>
      <c r="C109" s="41">
        <f t="shared" si="10"/>
        <v>75357800</v>
      </c>
      <c r="D109" s="41">
        <f>D107</f>
        <v>3276700</v>
      </c>
      <c r="E109" s="361"/>
      <c r="F109" s="41"/>
      <c r="G109" s="41"/>
      <c r="H109" s="91"/>
      <c r="I109" s="91"/>
      <c r="J109" s="242"/>
    </row>
    <row r="110" spans="1:10" ht="12.75">
      <c r="A110" s="90">
        <v>44104</v>
      </c>
      <c r="B110" s="366">
        <f t="shared" si="9"/>
        <v>25</v>
      </c>
      <c r="C110" s="41">
        <f t="shared" si="10"/>
        <v>75357800</v>
      </c>
      <c r="D110" s="41"/>
      <c r="E110" s="361">
        <f>E108</f>
        <v>0.05112</v>
      </c>
      <c r="F110" s="41">
        <f>((C109+D109)*E110/360*B109)+((C110+D110)*E110/360*B110)</f>
        <v>1015648.8230000001</v>
      </c>
      <c r="G110" s="41">
        <f>G108</f>
        <v>42391</v>
      </c>
      <c r="H110" s="91"/>
      <c r="I110" s="91"/>
      <c r="J110" s="242"/>
    </row>
    <row r="111" spans="1:10" ht="12.75">
      <c r="A111" s="90">
        <v>44170</v>
      </c>
      <c r="B111" s="366">
        <f t="shared" si="9"/>
        <v>66</v>
      </c>
      <c r="C111" s="41">
        <f t="shared" si="10"/>
        <v>72081100</v>
      </c>
      <c r="D111" s="41">
        <f>D109</f>
        <v>3276700</v>
      </c>
      <c r="E111" s="361"/>
      <c r="F111" s="41"/>
      <c r="G111" s="41"/>
      <c r="H111" s="91"/>
      <c r="I111" s="91"/>
      <c r="J111" s="242"/>
    </row>
    <row r="112" spans="1:10" ht="12.75">
      <c r="A112" s="97">
        <v>44196</v>
      </c>
      <c r="B112" s="367">
        <f t="shared" si="9"/>
        <v>26</v>
      </c>
      <c r="C112" s="99">
        <f t="shared" si="10"/>
        <v>72081100</v>
      </c>
      <c r="D112" s="99"/>
      <c r="E112" s="362">
        <f>E110</f>
        <v>0.05112</v>
      </c>
      <c r="F112" s="99">
        <f>((C111+D111)*E112/360*B111)+((C112+D112)*E112/360*B112)</f>
        <v>972376.7228</v>
      </c>
      <c r="G112" s="99">
        <f>G110</f>
        <v>42391</v>
      </c>
      <c r="H112" s="359">
        <f>SUM(F106:G112)</f>
        <v>4293114.2546</v>
      </c>
      <c r="I112" s="359">
        <f>SUM(D105:D112)</f>
        <v>13106800</v>
      </c>
      <c r="J112" s="360">
        <f>SUM(H112:I112)</f>
        <v>17399914.2546</v>
      </c>
    </row>
    <row r="113" spans="1:10" ht="12.75">
      <c r="A113" s="103">
        <v>44260</v>
      </c>
      <c r="B113" s="365">
        <f t="shared" si="9"/>
        <v>64</v>
      </c>
      <c r="C113" s="42">
        <f t="shared" si="10"/>
        <v>68804400</v>
      </c>
      <c r="D113" s="42">
        <f>D111</f>
        <v>3276700</v>
      </c>
      <c r="E113" s="104"/>
      <c r="F113" s="104"/>
      <c r="G113" s="104"/>
      <c r="H113" s="104"/>
      <c r="I113" s="104"/>
      <c r="J113" s="253"/>
    </row>
    <row r="114" spans="1:10" ht="12.75">
      <c r="A114" s="90">
        <v>44286</v>
      </c>
      <c r="B114" s="366">
        <f t="shared" si="9"/>
        <v>26</v>
      </c>
      <c r="C114" s="41">
        <f t="shared" si="10"/>
        <v>68804400</v>
      </c>
      <c r="D114" s="41"/>
      <c r="E114" s="361">
        <f>E112</f>
        <v>0.05112</v>
      </c>
      <c r="F114" s="41">
        <f>((C113+D113)*E114/360*B113)+((C114+D114)*E114/360*B114)</f>
        <v>909098.8816</v>
      </c>
      <c r="G114" s="41">
        <f>G112</f>
        <v>42391</v>
      </c>
      <c r="H114" s="91"/>
      <c r="I114" s="91"/>
      <c r="J114" s="242"/>
    </row>
    <row r="115" spans="1:10" ht="12.75">
      <c r="A115" s="90">
        <v>44352</v>
      </c>
      <c r="B115" s="366">
        <f t="shared" si="9"/>
        <v>66</v>
      </c>
      <c r="C115" s="41">
        <f t="shared" si="10"/>
        <v>65527700</v>
      </c>
      <c r="D115" s="41">
        <f>D113</f>
        <v>3276700</v>
      </c>
      <c r="E115" s="361"/>
      <c r="F115" s="41"/>
      <c r="G115" s="41"/>
      <c r="H115" s="91"/>
      <c r="I115" s="91"/>
      <c r="J115" s="242"/>
    </row>
    <row r="116" spans="1:10" ht="12.75">
      <c r="A116" s="90">
        <v>44377</v>
      </c>
      <c r="B116" s="366">
        <f t="shared" si="9"/>
        <v>25</v>
      </c>
      <c r="C116" s="41">
        <f t="shared" si="10"/>
        <v>65527700</v>
      </c>
      <c r="D116" s="41"/>
      <c r="E116" s="361">
        <f>E114</f>
        <v>0.05112</v>
      </c>
      <c r="F116" s="41">
        <f>((C115+D115)*E116/360*B115)+((C116+D116)*E116/360*B116)</f>
        <v>877458.1718</v>
      </c>
      <c r="G116" s="41">
        <f>G114</f>
        <v>42391</v>
      </c>
      <c r="H116" s="91"/>
      <c r="I116" s="91"/>
      <c r="J116" s="242"/>
    </row>
    <row r="117" spans="1:10" ht="12.75">
      <c r="A117" s="90">
        <v>44444</v>
      </c>
      <c r="B117" s="366">
        <f t="shared" si="9"/>
        <v>67</v>
      </c>
      <c r="C117" s="41">
        <f t="shared" si="10"/>
        <v>62251000</v>
      </c>
      <c r="D117" s="41">
        <f>D115</f>
        <v>3276700</v>
      </c>
      <c r="E117" s="361"/>
      <c r="F117" s="41"/>
      <c r="G117" s="41"/>
      <c r="H117" s="91"/>
      <c r="I117" s="91"/>
      <c r="J117" s="242"/>
    </row>
    <row r="118" spans="1:10" ht="12.75">
      <c r="A118" s="90">
        <v>44469</v>
      </c>
      <c r="B118" s="366">
        <f t="shared" si="9"/>
        <v>25</v>
      </c>
      <c r="C118" s="41">
        <f t="shared" si="10"/>
        <v>62251000</v>
      </c>
      <c r="D118" s="41"/>
      <c r="E118" s="361">
        <f>E116</f>
        <v>0.05112</v>
      </c>
      <c r="F118" s="41">
        <f>((C117+D117)*E118/360*B117)+((C118+D118)*E118/360*B118)</f>
        <v>844421.5878000001</v>
      </c>
      <c r="G118" s="41">
        <f>G116</f>
        <v>42391</v>
      </c>
      <c r="H118" s="91"/>
      <c r="I118" s="91"/>
      <c r="J118" s="242"/>
    </row>
    <row r="119" spans="1:10" ht="12.75">
      <c r="A119" s="90">
        <v>44535</v>
      </c>
      <c r="B119" s="366">
        <f t="shared" si="9"/>
        <v>66</v>
      </c>
      <c r="C119" s="41">
        <f t="shared" si="10"/>
        <v>58974300</v>
      </c>
      <c r="D119" s="41">
        <f>D117</f>
        <v>3276700</v>
      </c>
      <c r="E119" s="361"/>
      <c r="F119" s="41"/>
      <c r="G119" s="41"/>
      <c r="H119" s="91"/>
      <c r="I119" s="91"/>
      <c r="J119" s="242"/>
    </row>
    <row r="120" spans="1:10" ht="12.75">
      <c r="A120" s="97">
        <v>44561</v>
      </c>
      <c r="B120" s="367">
        <f t="shared" si="9"/>
        <v>26</v>
      </c>
      <c r="C120" s="99">
        <f t="shared" si="10"/>
        <v>58974300</v>
      </c>
      <c r="D120" s="99"/>
      <c r="E120" s="362">
        <f>E118</f>
        <v>0.05112</v>
      </c>
      <c r="F120" s="99">
        <f>((C119+D119)*E120/360*B119)+((C120+D120)*E120/360*B120)</f>
        <v>801149.4876</v>
      </c>
      <c r="G120" s="99">
        <f>G118</f>
        <v>42391</v>
      </c>
      <c r="H120" s="359">
        <f>SUM(F114:G120)</f>
        <v>3601692.1288000005</v>
      </c>
      <c r="I120" s="359">
        <f>SUM(D113:D120)</f>
        <v>13106800</v>
      </c>
      <c r="J120" s="360">
        <f>SUM(H120:I120)</f>
        <v>16708492.128800001</v>
      </c>
    </row>
    <row r="121" spans="1:10" ht="12.75">
      <c r="A121" s="103">
        <v>44625</v>
      </c>
      <c r="B121" s="365">
        <f t="shared" si="9"/>
        <v>64</v>
      </c>
      <c r="C121" s="42">
        <f t="shared" si="10"/>
        <v>55697600</v>
      </c>
      <c r="D121" s="42">
        <f>D119</f>
        <v>3276700</v>
      </c>
      <c r="E121" s="104"/>
      <c r="F121" s="104"/>
      <c r="G121" s="104"/>
      <c r="H121" s="104"/>
      <c r="I121" s="104"/>
      <c r="J121" s="253"/>
    </row>
    <row r="122" spans="1:10" ht="12.75">
      <c r="A122" s="90">
        <v>44651</v>
      </c>
      <c r="B122" s="366">
        <f t="shared" si="9"/>
        <v>26</v>
      </c>
      <c r="C122" s="41">
        <f t="shared" si="10"/>
        <v>55697600</v>
      </c>
      <c r="D122" s="41"/>
      <c r="E122" s="361">
        <f>E120</f>
        <v>0.05112</v>
      </c>
      <c r="F122" s="41">
        <f>((C121+D121)*E122/360*B121)+((C122+D122)*E122/360*B122)</f>
        <v>741593.9776</v>
      </c>
      <c r="G122" s="41">
        <f>G120</f>
        <v>42391</v>
      </c>
      <c r="H122" s="91"/>
      <c r="I122" s="91"/>
      <c r="J122" s="242"/>
    </row>
    <row r="123" spans="1:10" ht="12.75">
      <c r="A123" s="90">
        <v>44717</v>
      </c>
      <c r="B123" s="366">
        <f t="shared" si="9"/>
        <v>66</v>
      </c>
      <c r="C123" s="41">
        <f t="shared" si="10"/>
        <v>52420900</v>
      </c>
      <c r="D123" s="41">
        <f>D121</f>
        <v>3276700</v>
      </c>
      <c r="E123" s="361"/>
      <c r="F123" s="41"/>
      <c r="G123" s="41"/>
      <c r="H123" s="91"/>
      <c r="I123" s="91"/>
      <c r="J123" s="242"/>
    </row>
    <row r="124" spans="1:10" ht="12.75">
      <c r="A124" s="90">
        <v>44742</v>
      </c>
      <c r="B124" s="366">
        <f t="shared" si="9"/>
        <v>25</v>
      </c>
      <c r="C124" s="41">
        <f t="shared" si="10"/>
        <v>52420900</v>
      </c>
      <c r="D124" s="41"/>
      <c r="E124" s="361">
        <f>E122</f>
        <v>0.05112</v>
      </c>
      <c r="F124" s="41">
        <f>((C123+D123)*E124/360*B123)+((C124+D124)*E124/360*B124)</f>
        <v>708092.1022</v>
      </c>
      <c r="G124" s="41">
        <f>G122</f>
        <v>42391</v>
      </c>
      <c r="H124" s="91"/>
      <c r="I124" s="91"/>
      <c r="J124" s="242"/>
    </row>
    <row r="125" spans="1:10" ht="12.75">
      <c r="A125" s="90">
        <v>44809</v>
      </c>
      <c r="B125" s="366">
        <f t="shared" si="9"/>
        <v>67</v>
      </c>
      <c r="C125" s="41">
        <f t="shared" si="10"/>
        <v>49144200</v>
      </c>
      <c r="D125" s="41">
        <f>D123</f>
        <v>3276700</v>
      </c>
      <c r="E125" s="361"/>
      <c r="F125" s="41"/>
      <c r="G125" s="41"/>
      <c r="H125" s="91"/>
      <c r="I125" s="91"/>
      <c r="J125" s="242"/>
    </row>
    <row r="126" spans="1:10" ht="12.75">
      <c r="A126" s="90">
        <v>44834</v>
      </c>
      <c r="B126" s="366">
        <f t="shared" si="9"/>
        <v>25</v>
      </c>
      <c r="C126" s="41">
        <f t="shared" si="10"/>
        <v>49144200</v>
      </c>
      <c r="D126" s="41"/>
      <c r="E126" s="361">
        <f>E124</f>
        <v>0.05112</v>
      </c>
      <c r="F126" s="41">
        <f>((C125+D125)*E126/360*B125)+((C126+D126)*E126/360*B126)</f>
        <v>673194.3525999999</v>
      </c>
      <c r="G126" s="41">
        <f>G124</f>
        <v>42391</v>
      </c>
      <c r="H126" s="91"/>
      <c r="I126" s="91"/>
      <c r="J126" s="242"/>
    </row>
    <row r="127" spans="1:10" ht="12.75">
      <c r="A127" s="90">
        <v>44900</v>
      </c>
      <c r="B127" s="366">
        <f t="shared" si="9"/>
        <v>66</v>
      </c>
      <c r="C127" s="41">
        <f t="shared" si="10"/>
        <v>45867500</v>
      </c>
      <c r="D127" s="41">
        <f>D125</f>
        <v>3276700</v>
      </c>
      <c r="E127" s="361"/>
      <c r="F127" s="41"/>
      <c r="G127" s="41"/>
      <c r="H127" s="91"/>
      <c r="I127" s="91"/>
      <c r="J127" s="242"/>
    </row>
    <row r="128" spans="1:10" ht="12.75">
      <c r="A128" s="97">
        <v>44926</v>
      </c>
      <c r="B128" s="367">
        <f t="shared" si="9"/>
        <v>26</v>
      </c>
      <c r="C128" s="99">
        <f t="shared" si="10"/>
        <v>45867500</v>
      </c>
      <c r="D128" s="99"/>
      <c r="E128" s="362">
        <f>E126</f>
        <v>0.05112</v>
      </c>
      <c r="F128" s="99">
        <f>((C127+D127)*E128/360*B127)+((C128+D128)*E128/360*B128)</f>
        <v>629922.2523999999</v>
      </c>
      <c r="G128" s="99">
        <f>G126</f>
        <v>42391</v>
      </c>
      <c r="H128" s="359">
        <f>SUM(F122:G128)</f>
        <v>2922366.6848</v>
      </c>
      <c r="I128" s="359">
        <f>SUM(D121:D128)</f>
        <v>13106800</v>
      </c>
      <c r="J128" s="360">
        <f>SUM(H128:I128)</f>
        <v>16029166.684799999</v>
      </c>
    </row>
    <row r="129" spans="1:10" ht="12.75">
      <c r="A129" s="103">
        <v>44990</v>
      </c>
      <c r="B129" s="365">
        <f t="shared" si="9"/>
        <v>64</v>
      </c>
      <c r="C129" s="42">
        <f t="shared" si="10"/>
        <v>42590800</v>
      </c>
      <c r="D129" s="42">
        <f>D127</f>
        <v>3276700</v>
      </c>
      <c r="E129" s="104"/>
      <c r="F129" s="104"/>
      <c r="G129" s="104"/>
      <c r="H129" s="104"/>
      <c r="I129" s="104"/>
      <c r="J129" s="253"/>
    </row>
    <row r="130" spans="1:10" ht="12.75">
      <c r="A130" s="90">
        <v>45016</v>
      </c>
      <c r="B130" s="366">
        <f t="shared" si="9"/>
        <v>26</v>
      </c>
      <c r="C130" s="41">
        <f t="shared" si="10"/>
        <v>42590800</v>
      </c>
      <c r="D130" s="41"/>
      <c r="E130" s="361">
        <f>E128</f>
        <v>0.05112</v>
      </c>
      <c r="F130" s="41">
        <f>((C129+D129)*E130/360*B129)+((C130+D130)*E130/360*B130)</f>
        <v>574089.0736</v>
      </c>
      <c r="G130" s="41">
        <f>G128</f>
        <v>42391</v>
      </c>
      <c r="H130" s="91"/>
      <c r="I130" s="91"/>
      <c r="J130" s="242"/>
    </row>
    <row r="131" spans="1:10" ht="12.75">
      <c r="A131" s="90">
        <v>45082</v>
      </c>
      <c r="B131" s="366">
        <f t="shared" si="9"/>
        <v>66</v>
      </c>
      <c r="C131" s="41">
        <f t="shared" si="10"/>
        <v>39314100</v>
      </c>
      <c r="D131" s="41">
        <f>D129</f>
        <v>3276700</v>
      </c>
      <c r="E131" s="361"/>
      <c r="F131" s="41"/>
      <c r="G131" s="41"/>
      <c r="H131" s="91"/>
      <c r="I131" s="91"/>
      <c r="J131" s="242"/>
    </row>
    <row r="132" spans="1:10" ht="12.75">
      <c r="A132" s="90">
        <v>45107</v>
      </c>
      <c r="B132" s="366">
        <f t="shared" si="9"/>
        <v>25</v>
      </c>
      <c r="C132" s="41">
        <f t="shared" si="10"/>
        <v>39314100</v>
      </c>
      <c r="D132" s="41"/>
      <c r="E132" s="361">
        <f>E130</f>
        <v>0.05112</v>
      </c>
      <c r="F132" s="41">
        <f>((C131+D131)*E132/360*B131)+((C132+D132)*E132/360*B132)</f>
        <v>538726.0326</v>
      </c>
      <c r="G132" s="41">
        <f>G130</f>
        <v>42391</v>
      </c>
      <c r="H132" s="91"/>
      <c r="I132" s="91"/>
      <c r="J132" s="242"/>
    </row>
    <row r="133" spans="1:10" ht="12.75">
      <c r="A133" s="90">
        <v>45174</v>
      </c>
      <c r="B133" s="366">
        <f t="shared" si="9"/>
        <v>67</v>
      </c>
      <c r="C133" s="41">
        <f t="shared" si="10"/>
        <v>36037400</v>
      </c>
      <c r="D133" s="41">
        <f>D131</f>
        <v>3276700</v>
      </c>
      <c r="E133" s="361"/>
      <c r="F133" s="41"/>
      <c r="G133" s="41"/>
      <c r="H133" s="91"/>
      <c r="I133" s="91"/>
      <c r="J133" s="242"/>
    </row>
    <row r="134" spans="1:10" ht="12.75">
      <c r="A134" s="90">
        <v>45199</v>
      </c>
      <c r="B134" s="366">
        <f t="shared" si="9"/>
        <v>25</v>
      </c>
      <c r="C134" s="41">
        <f t="shared" si="10"/>
        <v>36037400</v>
      </c>
      <c r="D134" s="41"/>
      <c r="E134" s="361">
        <f>E132</f>
        <v>0.05112</v>
      </c>
      <c r="F134" s="41">
        <f>((C133+D133)*E134/360*B133)+((C134+D134)*E134/360*B134)</f>
        <v>501967.1174</v>
      </c>
      <c r="G134" s="41">
        <f>G132</f>
        <v>42391</v>
      </c>
      <c r="H134" s="91"/>
      <c r="I134" s="91"/>
      <c r="J134" s="242"/>
    </row>
    <row r="135" spans="1:10" ht="12.75">
      <c r="A135" s="90">
        <v>45265</v>
      </c>
      <c r="B135" s="366">
        <f t="shared" si="9"/>
        <v>66</v>
      </c>
      <c r="C135" s="41">
        <f t="shared" si="10"/>
        <v>32760700</v>
      </c>
      <c r="D135" s="41">
        <f>D133</f>
        <v>3276700</v>
      </c>
      <c r="E135" s="361"/>
      <c r="F135" s="41"/>
      <c r="G135" s="41"/>
      <c r="H135" s="91"/>
      <c r="I135" s="91"/>
      <c r="J135" s="242"/>
    </row>
    <row r="136" spans="1:10" ht="12.75">
      <c r="A136" s="97">
        <v>45291</v>
      </c>
      <c r="B136" s="367">
        <f t="shared" si="9"/>
        <v>26</v>
      </c>
      <c r="C136" s="99">
        <f t="shared" si="10"/>
        <v>32760700</v>
      </c>
      <c r="D136" s="99"/>
      <c r="E136" s="362">
        <f>E134</f>
        <v>0.05112</v>
      </c>
      <c r="F136" s="99">
        <f>((C135+D135)*E136/360*B135)+((C136+D136)*E136/360*B136)</f>
        <v>458695.0172</v>
      </c>
      <c r="G136" s="99">
        <f>G134</f>
        <v>42391</v>
      </c>
      <c r="H136" s="359">
        <f>SUM(F130:G136)</f>
        <v>2243041.2408000003</v>
      </c>
      <c r="I136" s="359">
        <f>SUM(D129:D136)</f>
        <v>13106800</v>
      </c>
      <c r="J136" s="360">
        <f>SUM(H136:I136)</f>
        <v>15349841.2408</v>
      </c>
    </row>
    <row r="137" spans="1:10" ht="12.75">
      <c r="A137" s="103">
        <v>45356</v>
      </c>
      <c r="B137" s="365">
        <f aca="true" t="shared" si="11" ref="B137:B155">A137-A136</f>
        <v>65</v>
      </c>
      <c r="C137" s="42">
        <f aca="true" t="shared" si="12" ref="C137:C155">C136-D137</f>
        <v>29484000</v>
      </c>
      <c r="D137" s="42">
        <f>D135</f>
        <v>3276700</v>
      </c>
      <c r="E137" s="104"/>
      <c r="F137" s="104"/>
      <c r="G137" s="104"/>
      <c r="H137" s="104"/>
      <c r="I137" s="104"/>
      <c r="J137" s="253"/>
    </row>
    <row r="138" spans="1:10" ht="12.75">
      <c r="A138" s="90">
        <v>45382</v>
      </c>
      <c r="B138" s="366">
        <f t="shared" si="11"/>
        <v>26</v>
      </c>
      <c r="C138" s="41">
        <f t="shared" si="12"/>
        <v>29484000</v>
      </c>
      <c r="D138" s="41"/>
      <c r="E138" s="361">
        <f>E136</f>
        <v>0.05112</v>
      </c>
      <c r="F138" s="41">
        <f>((C137+D137)*E138/360*B137)+((C138+D138)*E138/360*B138)</f>
        <v>411236.189</v>
      </c>
      <c r="G138" s="41">
        <f>G136</f>
        <v>42391</v>
      </c>
      <c r="H138" s="91"/>
      <c r="I138" s="91"/>
      <c r="J138" s="242"/>
    </row>
    <row r="139" spans="1:10" ht="12.75">
      <c r="A139" s="90">
        <v>45448</v>
      </c>
      <c r="B139" s="366">
        <f t="shared" si="11"/>
        <v>66</v>
      </c>
      <c r="C139" s="41">
        <f t="shared" si="12"/>
        <v>26207300</v>
      </c>
      <c r="D139" s="41">
        <f>D137</f>
        <v>3276700</v>
      </c>
      <c r="E139" s="361"/>
      <c r="F139" s="41"/>
      <c r="G139" s="41"/>
      <c r="H139" s="91"/>
      <c r="I139" s="91"/>
      <c r="J139" s="242"/>
    </row>
    <row r="140" spans="1:10" ht="12.75">
      <c r="A140" s="90">
        <v>45473</v>
      </c>
      <c r="B140" s="366">
        <f t="shared" si="11"/>
        <v>25</v>
      </c>
      <c r="C140" s="41">
        <f t="shared" si="12"/>
        <v>26207300</v>
      </c>
      <c r="D140" s="41"/>
      <c r="E140" s="361">
        <f>E138</f>
        <v>0.05112</v>
      </c>
      <c r="F140" s="41">
        <f>((C139+D139)*E140/360*B139)+((C140+D140)*E140/360*B140)</f>
        <v>369359.963</v>
      </c>
      <c r="G140" s="41">
        <f>G138</f>
        <v>42391</v>
      </c>
      <c r="H140" s="91"/>
      <c r="I140" s="91"/>
      <c r="J140" s="242"/>
    </row>
    <row r="141" spans="1:10" ht="12.75">
      <c r="A141" s="90">
        <v>45540</v>
      </c>
      <c r="B141" s="366">
        <f t="shared" si="11"/>
        <v>67</v>
      </c>
      <c r="C141" s="41">
        <f t="shared" si="12"/>
        <v>22930600</v>
      </c>
      <c r="D141" s="41">
        <f>D139</f>
        <v>3276700</v>
      </c>
      <c r="E141" s="361"/>
      <c r="F141" s="41"/>
      <c r="G141" s="41"/>
      <c r="H141" s="91"/>
      <c r="I141" s="91"/>
      <c r="J141" s="242"/>
    </row>
    <row r="142" spans="1:10" ht="12.75">
      <c r="A142" s="90">
        <v>45565</v>
      </c>
      <c r="B142" s="366">
        <f t="shared" si="11"/>
        <v>25</v>
      </c>
      <c r="C142" s="41">
        <f t="shared" si="12"/>
        <v>22930600</v>
      </c>
      <c r="D142" s="41"/>
      <c r="E142" s="361">
        <f>E140</f>
        <v>0.05112</v>
      </c>
      <c r="F142" s="41">
        <f>((C141+D141)*E142/360*B141)+((C142+D142)*E142/360*B142)</f>
        <v>330739.8822</v>
      </c>
      <c r="G142" s="41">
        <f>G140</f>
        <v>42391</v>
      </c>
      <c r="H142" s="91"/>
      <c r="I142" s="91"/>
      <c r="J142" s="242"/>
    </row>
    <row r="143" spans="1:10" ht="12.75">
      <c r="A143" s="90">
        <v>45631</v>
      </c>
      <c r="B143" s="366">
        <f t="shared" si="11"/>
        <v>66</v>
      </c>
      <c r="C143" s="41">
        <f t="shared" si="12"/>
        <v>19653900</v>
      </c>
      <c r="D143" s="41">
        <f>D141</f>
        <v>3276700</v>
      </c>
      <c r="E143" s="361"/>
      <c r="F143" s="41"/>
      <c r="G143" s="41"/>
      <c r="H143" s="91"/>
      <c r="I143" s="91"/>
      <c r="J143" s="242"/>
    </row>
    <row r="144" spans="1:10" ht="12.75">
      <c r="A144" s="97">
        <v>45657</v>
      </c>
      <c r="B144" s="367">
        <f t="shared" si="11"/>
        <v>26</v>
      </c>
      <c r="C144" s="99">
        <f t="shared" si="12"/>
        <v>19653900</v>
      </c>
      <c r="D144" s="99"/>
      <c r="E144" s="362">
        <f>E142</f>
        <v>0.05112</v>
      </c>
      <c r="F144" s="99">
        <f>((C143+D143)*E144/360*B143)+((C144+D144)*E144/360*B144)</f>
        <v>287467.78199999995</v>
      </c>
      <c r="G144" s="99">
        <f>G142</f>
        <v>42391</v>
      </c>
      <c r="H144" s="359">
        <f>SUM(F138:G144)</f>
        <v>1568367.8162</v>
      </c>
      <c r="I144" s="359">
        <f>SUM(D137:D144)</f>
        <v>13106800</v>
      </c>
      <c r="J144" s="360">
        <f>SUM(H144:I144)</f>
        <v>14675167.8162</v>
      </c>
    </row>
    <row r="145" spans="1:10" ht="12.75">
      <c r="A145" s="103">
        <v>45721</v>
      </c>
      <c r="B145" s="365">
        <f t="shared" si="11"/>
        <v>64</v>
      </c>
      <c r="C145" s="42">
        <f t="shared" si="12"/>
        <v>16377200</v>
      </c>
      <c r="D145" s="42">
        <f>D143</f>
        <v>3276700</v>
      </c>
      <c r="E145" s="104"/>
      <c r="F145" s="104"/>
      <c r="G145" s="104"/>
      <c r="H145" s="104"/>
      <c r="I145" s="104"/>
      <c r="J145" s="253"/>
    </row>
    <row r="146" spans="1:10" ht="12.75">
      <c r="A146" s="90">
        <v>45747</v>
      </c>
      <c r="B146" s="366">
        <f t="shared" si="11"/>
        <v>26</v>
      </c>
      <c r="C146" s="41">
        <f t="shared" si="12"/>
        <v>16377200</v>
      </c>
      <c r="D146" s="41"/>
      <c r="E146" s="361">
        <f>E144</f>
        <v>0.05112</v>
      </c>
      <c r="F146" s="41">
        <f>((C145+D145)*E146/360*B145)+((C146+D146)*E146/360*B146)</f>
        <v>239079.26559999998</v>
      </c>
      <c r="G146" s="41">
        <f>G144</f>
        <v>42391</v>
      </c>
      <c r="H146" s="91"/>
      <c r="I146" s="91"/>
      <c r="J146" s="242"/>
    </row>
    <row r="147" spans="1:10" ht="12.75">
      <c r="A147" s="90">
        <v>45813</v>
      </c>
      <c r="B147" s="366">
        <f t="shared" si="11"/>
        <v>66</v>
      </c>
      <c r="C147" s="41">
        <f t="shared" si="12"/>
        <v>13100500</v>
      </c>
      <c r="D147" s="41">
        <f>D145</f>
        <v>3276700</v>
      </c>
      <c r="E147" s="361"/>
      <c r="F147" s="41"/>
      <c r="G147" s="41"/>
      <c r="H147" s="91"/>
      <c r="I147" s="91"/>
      <c r="J147" s="242"/>
    </row>
    <row r="148" spans="1:10" ht="12.75">
      <c r="A148" s="90">
        <v>45838</v>
      </c>
      <c r="B148" s="366">
        <f t="shared" si="11"/>
        <v>25</v>
      </c>
      <c r="C148" s="41">
        <f t="shared" si="12"/>
        <v>13100500</v>
      </c>
      <c r="D148" s="41"/>
      <c r="E148" s="361">
        <f>E146</f>
        <v>0.05112</v>
      </c>
      <c r="F148" s="41">
        <f>((C147+D147)*E148/360*B147)+((C148+D148)*E148/360*B148)</f>
        <v>199993.8934</v>
      </c>
      <c r="G148" s="41">
        <f>G146</f>
        <v>42391</v>
      </c>
      <c r="H148" s="91"/>
      <c r="I148" s="91"/>
      <c r="J148" s="242"/>
    </row>
    <row r="149" spans="1:10" ht="12.75">
      <c r="A149" s="90">
        <v>45905</v>
      </c>
      <c r="B149" s="366">
        <f t="shared" si="11"/>
        <v>67</v>
      </c>
      <c r="C149" s="41">
        <f t="shared" si="12"/>
        <v>9823800</v>
      </c>
      <c r="D149" s="41">
        <f>D147</f>
        <v>3276700</v>
      </c>
      <c r="E149" s="361"/>
      <c r="F149" s="41"/>
      <c r="G149" s="41"/>
      <c r="H149" s="91"/>
      <c r="I149" s="91"/>
      <c r="J149" s="242"/>
    </row>
    <row r="150" spans="1:10" ht="12.75">
      <c r="A150" s="90">
        <v>45930</v>
      </c>
      <c r="B150" s="366">
        <f t="shared" si="11"/>
        <v>25</v>
      </c>
      <c r="C150" s="41">
        <f t="shared" si="12"/>
        <v>9823800</v>
      </c>
      <c r="D150" s="41"/>
      <c r="E150" s="361">
        <f>E148</f>
        <v>0.05112</v>
      </c>
      <c r="F150" s="41">
        <f>((C149+D149)*E150/360*B149)+((C150+D150)*E150/360*B150)</f>
        <v>159512.64699999997</v>
      </c>
      <c r="G150" s="41">
        <f>G148</f>
        <v>42391</v>
      </c>
      <c r="H150" s="91"/>
      <c r="I150" s="91"/>
      <c r="J150" s="242"/>
    </row>
    <row r="151" spans="1:10" ht="12.75">
      <c r="A151" s="90">
        <v>45996</v>
      </c>
      <c r="B151" s="366">
        <f t="shared" si="11"/>
        <v>66</v>
      </c>
      <c r="C151" s="41">
        <f t="shared" si="12"/>
        <v>6547100</v>
      </c>
      <c r="D151" s="41">
        <f>D149</f>
        <v>3276700</v>
      </c>
      <c r="E151" s="361"/>
      <c r="F151" s="41"/>
      <c r="G151" s="41"/>
      <c r="H151" s="91"/>
      <c r="I151" s="91"/>
      <c r="J151" s="242"/>
    </row>
    <row r="152" spans="1:10" ht="12.75">
      <c r="A152" s="97">
        <v>46022</v>
      </c>
      <c r="B152" s="367">
        <f t="shared" si="11"/>
        <v>26</v>
      </c>
      <c r="C152" s="99">
        <f t="shared" si="12"/>
        <v>6547100</v>
      </c>
      <c r="D152" s="99"/>
      <c r="E152" s="362">
        <f>E150</f>
        <v>0.05112</v>
      </c>
      <c r="F152" s="99">
        <f>((C151+D151)*E152/360*B151)+((C152+D152)*E152/360*B152)</f>
        <v>116240.54679999998</v>
      </c>
      <c r="G152" s="99">
        <f>G150</f>
        <v>42391</v>
      </c>
      <c r="H152" s="359">
        <f>SUM(F146:G152)</f>
        <v>884390.3528</v>
      </c>
      <c r="I152" s="359">
        <f>SUM(D145:D152)</f>
        <v>13106800</v>
      </c>
      <c r="J152" s="360">
        <f>SUM(H152:I152)</f>
        <v>13991190.3528</v>
      </c>
    </row>
    <row r="153" spans="1:10" ht="12.75">
      <c r="A153" s="103">
        <v>46086</v>
      </c>
      <c r="B153" s="365">
        <f t="shared" si="11"/>
        <v>64</v>
      </c>
      <c r="C153" s="42">
        <f t="shared" si="12"/>
        <v>3270400</v>
      </c>
      <c r="D153" s="42">
        <f>D151</f>
        <v>3276700</v>
      </c>
      <c r="E153" s="104"/>
      <c r="F153" s="104"/>
      <c r="G153" s="104"/>
      <c r="H153" s="104"/>
      <c r="I153" s="104"/>
      <c r="J153" s="253"/>
    </row>
    <row r="154" spans="1:10" ht="12.75">
      <c r="A154" s="90">
        <v>46112</v>
      </c>
      <c r="B154" s="366">
        <f t="shared" si="11"/>
        <v>26</v>
      </c>
      <c r="C154" s="41">
        <f t="shared" si="12"/>
        <v>3270400</v>
      </c>
      <c r="D154" s="41"/>
      <c r="E154" s="361">
        <f>E152</f>
        <v>0.05112</v>
      </c>
      <c r="F154" s="41">
        <f>((C153+D153)*E154/360*B153)+((C154+D154)*E154/360*B154)</f>
        <v>71574.3616</v>
      </c>
      <c r="G154" s="41">
        <f>G152</f>
        <v>42391</v>
      </c>
      <c r="H154" s="91"/>
      <c r="I154" s="91"/>
      <c r="J154" s="242"/>
    </row>
    <row r="155" spans="1:10" ht="13.5" thickBot="1">
      <c r="A155" s="90">
        <v>46178</v>
      </c>
      <c r="B155" s="366">
        <f t="shared" si="11"/>
        <v>66</v>
      </c>
      <c r="C155" s="41">
        <f t="shared" si="12"/>
        <v>-300</v>
      </c>
      <c r="D155" s="41">
        <v>3270700</v>
      </c>
      <c r="E155" s="361">
        <f>E154</f>
        <v>0.05112</v>
      </c>
      <c r="F155" s="41">
        <f>((C155+D155)*E155/360*B155)</f>
        <v>30650.1888</v>
      </c>
      <c r="G155" s="41">
        <f>G154+15+84782</f>
        <v>127188</v>
      </c>
      <c r="H155" s="359">
        <f>SUM(F153:G155)</f>
        <v>271803.5504</v>
      </c>
      <c r="I155" s="359">
        <f>SUM(D153:D155)</f>
        <v>6547400</v>
      </c>
      <c r="J155" s="360">
        <f>SUM(H155:I155)</f>
        <v>6819203.5504</v>
      </c>
    </row>
    <row r="156" spans="1:10" ht="13.5" thickTop="1">
      <c r="A156" s="471" t="s">
        <v>14</v>
      </c>
      <c r="B156" s="472"/>
      <c r="C156" s="473"/>
      <c r="D156" s="120">
        <f>SUM(D7:D155)</f>
        <v>226086300</v>
      </c>
      <c r="E156" s="121"/>
      <c r="F156" s="120">
        <f>SUM(F7:F155)</f>
        <v>128507730.73040001</v>
      </c>
      <c r="G156" s="120">
        <f>SUM(G7:G155)</f>
        <v>3391295</v>
      </c>
      <c r="H156" s="120">
        <f>SUM(H7:H155)</f>
        <v>131899025.73040001</v>
      </c>
      <c r="I156" s="120">
        <f>SUM(I7:I155)</f>
        <v>226086300</v>
      </c>
      <c r="J156" s="122">
        <f>SUM(J7:J155)</f>
        <v>357985325.7304001</v>
      </c>
    </row>
    <row r="157" spans="1:10" ht="12.75">
      <c r="A157" s="123"/>
      <c r="B157" s="124"/>
      <c r="E157" s="125"/>
      <c r="H157" s="124"/>
      <c r="J157" s="124"/>
    </row>
    <row r="158" spans="1:10" ht="12.75">
      <c r="A158" s="123"/>
      <c r="B158" s="124"/>
      <c r="E158" s="125"/>
      <c r="G158" s="124"/>
      <c r="H158" s="124"/>
      <c r="J158" s="124"/>
    </row>
  </sheetData>
  <mergeCells count="1">
    <mergeCell ref="A156:C156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226.086,3 eFt hitel
(Önkormányzati Fejlesztési Hitelprogram 2.4 hitelcél)</oddHeader>
    <oddFooter>&amp;L&amp;8&amp;D&amp;C&amp;8C:\Andi\adósságszolgálat\&amp;F\&amp;A&amp;R&amp;8&amp;P/&amp;N</oddFooter>
  </headerFooter>
  <rowBreaks count="2" manualBreakCount="2">
    <brk id="56" max="255" man="1"/>
    <brk id="11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pane ySplit="7" topLeftCell="BM46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0.125" style="58" customWidth="1"/>
    <col min="2" max="2" width="7.00390625" style="58" customWidth="1"/>
    <col min="3" max="3" width="11.875" style="58" customWidth="1"/>
    <col min="4" max="4" width="12.625" style="58" customWidth="1"/>
    <col min="5" max="5" width="9.50390625" style="58" customWidth="1"/>
    <col min="6" max="6" width="13.00390625" style="58" bestFit="1" customWidth="1"/>
    <col min="7" max="7" width="11.50390625" style="58" customWidth="1"/>
    <col min="8" max="9" width="12.625" style="58" customWidth="1"/>
    <col min="10" max="10" width="2.875" style="58" customWidth="1"/>
    <col min="11" max="12" width="11.50390625" style="58" customWidth="1"/>
    <col min="13" max="16384" width="9.375" style="58" customWidth="1"/>
  </cols>
  <sheetData>
    <row r="1" spans="1:12" ht="12.75">
      <c r="A1" s="133" t="s">
        <v>82</v>
      </c>
      <c r="B1" s="134"/>
      <c r="C1" s="133"/>
      <c r="D1" s="133"/>
      <c r="F1" s="133"/>
      <c r="G1" s="133"/>
      <c r="H1" s="133"/>
      <c r="I1" s="133"/>
      <c r="K1" s="133"/>
      <c r="L1" s="133"/>
    </row>
    <row r="2" spans="1:9" s="136" customFormat="1" ht="12.75">
      <c r="A2" s="135" t="s">
        <v>17</v>
      </c>
      <c r="B2" s="135"/>
      <c r="C2" s="135"/>
      <c r="D2" s="135"/>
      <c r="E2" s="135"/>
      <c r="I2" s="135"/>
    </row>
    <row r="3" spans="1:12" s="136" customFormat="1" ht="12.75">
      <c r="A3" s="137" t="s">
        <v>61</v>
      </c>
      <c r="C3" s="135"/>
      <c r="D3" s="135"/>
      <c r="E3" s="135"/>
      <c r="F3" s="135"/>
      <c r="G3" s="135"/>
      <c r="H3" s="135"/>
      <c r="I3" s="135"/>
      <c r="K3" s="135"/>
      <c r="L3" s="135"/>
    </row>
    <row r="4" spans="1:12" ht="12.75">
      <c r="A4" s="138"/>
      <c r="B4" s="136"/>
      <c r="C4" s="135"/>
      <c r="D4" s="135"/>
      <c r="E4" s="135"/>
      <c r="F4" s="135"/>
      <c r="G4" s="135"/>
      <c r="H4" s="135"/>
      <c r="I4" s="135" t="s">
        <v>2</v>
      </c>
      <c r="K4" s="135"/>
      <c r="L4" s="135"/>
    </row>
    <row r="5" spans="1:12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89</v>
      </c>
      <c r="F5" s="69" t="s">
        <v>20</v>
      </c>
      <c r="G5" s="70" t="s">
        <v>6</v>
      </c>
      <c r="H5" s="70" t="s">
        <v>6</v>
      </c>
      <c r="I5" s="71" t="s">
        <v>6</v>
      </c>
      <c r="K5" s="314" t="s">
        <v>130</v>
      </c>
      <c r="L5" s="315"/>
    </row>
    <row r="6" spans="1:12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  <c r="K6" s="316" t="s">
        <v>131</v>
      </c>
      <c r="L6" s="317" t="s">
        <v>128</v>
      </c>
    </row>
    <row r="7" spans="1:12" ht="12.75">
      <c r="A7" s="78"/>
      <c r="B7" s="79"/>
      <c r="C7" s="80"/>
      <c r="D7" s="80"/>
      <c r="E7" s="139"/>
      <c r="F7" s="80" t="s">
        <v>134</v>
      </c>
      <c r="G7" s="81"/>
      <c r="H7" s="82" t="s">
        <v>13</v>
      </c>
      <c r="I7" s="83" t="s">
        <v>12</v>
      </c>
      <c r="K7" s="328" t="s">
        <v>132</v>
      </c>
      <c r="L7" s="329" t="s">
        <v>129</v>
      </c>
    </row>
    <row r="8" spans="1:12" ht="12.75">
      <c r="A8" s="84">
        <v>37236</v>
      </c>
      <c r="B8" s="140"/>
      <c r="C8" s="141">
        <v>107411000</v>
      </c>
      <c r="D8" s="42"/>
      <c r="E8" s="142"/>
      <c r="F8" s="142"/>
      <c r="G8" s="143"/>
      <c r="H8" s="143"/>
      <c r="I8" s="144"/>
      <c r="K8" s="318"/>
      <c r="L8" s="319"/>
    </row>
    <row r="9" spans="1:12" ht="12.75">
      <c r="A9" s="145">
        <v>37253</v>
      </c>
      <c r="B9" s="98">
        <f aca="true" t="shared" si="0" ref="B9:B80">A9-A8</f>
        <v>17</v>
      </c>
      <c r="C9" s="146">
        <f>C8-D9</f>
        <v>107411000</v>
      </c>
      <c r="D9" s="99"/>
      <c r="E9" s="100">
        <v>0.0478</v>
      </c>
      <c r="F9" s="147">
        <v>189043</v>
      </c>
      <c r="G9" s="148">
        <f>SUM(F8:F9)</f>
        <v>189043</v>
      </c>
      <c r="H9" s="148">
        <f>SUM(D8:D9)</f>
        <v>0</v>
      </c>
      <c r="I9" s="149">
        <f>SUM(G9:H9)</f>
        <v>189043</v>
      </c>
      <c r="K9" s="320"/>
      <c r="L9" s="321"/>
    </row>
    <row r="10" spans="1:12" ht="12.75">
      <c r="A10" s="103">
        <v>37344</v>
      </c>
      <c r="B10" s="85">
        <f t="shared" si="0"/>
        <v>91</v>
      </c>
      <c r="C10" s="142">
        <f aca="true" t="shared" si="1" ref="C10:C81">C9-D10</f>
        <v>107411000</v>
      </c>
      <c r="D10" s="142"/>
      <c r="E10" s="150">
        <v>0.0456</v>
      </c>
      <c r="F10" s="142">
        <v>684195</v>
      </c>
      <c r="G10" s="143"/>
      <c r="H10" s="143"/>
      <c r="I10" s="144"/>
      <c r="K10" s="318">
        <v>684195</v>
      </c>
      <c r="L10" s="319">
        <v>0</v>
      </c>
    </row>
    <row r="11" spans="1:12" ht="12.75">
      <c r="A11" s="84">
        <v>37437</v>
      </c>
      <c r="B11" s="91">
        <f t="shared" si="0"/>
        <v>93</v>
      </c>
      <c r="C11" s="141">
        <f t="shared" si="1"/>
        <v>107411000</v>
      </c>
      <c r="D11" s="141"/>
      <c r="E11" s="53">
        <v>0.0444</v>
      </c>
      <c r="F11" s="141">
        <v>852038</v>
      </c>
      <c r="G11" s="151"/>
      <c r="H11" s="151"/>
      <c r="I11" s="152"/>
      <c r="K11" s="322">
        <v>852038</v>
      </c>
      <c r="L11" s="323">
        <v>0</v>
      </c>
    </row>
    <row r="12" spans="1:12" ht="12.75">
      <c r="A12" s="84">
        <v>37527</v>
      </c>
      <c r="B12" s="91">
        <f t="shared" si="0"/>
        <v>90</v>
      </c>
      <c r="C12" s="141">
        <f t="shared" si="1"/>
        <v>104440000</v>
      </c>
      <c r="D12" s="141">
        <v>2971000</v>
      </c>
      <c r="E12" s="53"/>
      <c r="F12" s="141"/>
      <c r="G12" s="151"/>
      <c r="H12" s="151"/>
      <c r="I12" s="152"/>
      <c r="K12" s="322"/>
      <c r="L12" s="323"/>
    </row>
    <row r="13" spans="1:12" ht="12.75">
      <c r="A13" s="84">
        <v>37529</v>
      </c>
      <c r="B13" s="91">
        <f t="shared" si="0"/>
        <v>2</v>
      </c>
      <c r="C13" s="141">
        <f t="shared" si="1"/>
        <v>104440000</v>
      </c>
      <c r="D13" s="141"/>
      <c r="E13" s="53">
        <v>0.0424</v>
      </c>
      <c r="F13" s="141">
        <v>907504</v>
      </c>
      <c r="G13" s="151"/>
      <c r="H13" s="151"/>
      <c r="I13" s="152"/>
      <c r="K13" s="322">
        <v>907504</v>
      </c>
      <c r="L13" s="323">
        <v>0</v>
      </c>
    </row>
    <row r="14" spans="1:12" ht="12.75">
      <c r="A14" s="84">
        <v>37618</v>
      </c>
      <c r="B14" s="91">
        <f t="shared" si="0"/>
        <v>89</v>
      </c>
      <c r="C14" s="141">
        <f t="shared" si="1"/>
        <v>101456000</v>
      </c>
      <c r="D14" s="141">
        <v>2984000</v>
      </c>
      <c r="E14" s="53"/>
      <c r="F14" s="141"/>
      <c r="G14" s="151"/>
      <c r="H14" s="151"/>
      <c r="I14" s="152"/>
      <c r="K14" s="322"/>
      <c r="L14" s="323"/>
    </row>
    <row r="15" spans="1:12" ht="12.75">
      <c r="A15" s="145">
        <v>37621</v>
      </c>
      <c r="B15" s="98">
        <f t="shared" si="0"/>
        <v>3</v>
      </c>
      <c r="C15" s="146">
        <f t="shared" si="1"/>
        <v>101456000</v>
      </c>
      <c r="D15" s="146"/>
      <c r="E15" s="100">
        <v>0.0427</v>
      </c>
      <c r="F15" s="141">
        <v>956408</v>
      </c>
      <c r="G15" s="153">
        <f>SUM(F10:F15)</f>
        <v>3400145</v>
      </c>
      <c r="H15" s="153">
        <f>SUM(D10:D15)</f>
        <v>5955000</v>
      </c>
      <c r="I15" s="154">
        <f>SUM(G15:H15)</f>
        <v>9355145</v>
      </c>
      <c r="K15" s="322">
        <v>956408</v>
      </c>
      <c r="L15" s="323">
        <v>0</v>
      </c>
    </row>
    <row r="16" spans="1:12" ht="12.75">
      <c r="A16" s="103">
        <v>37708</v>
      </c>
      <c r="B16" s="85">
        <f t="shared" si="0"/>
        <v>87</v>
      </c>
      <c r="C16" s="142">
        <f t="shared" si="1"/>
        <v>98472000</v>
      </c>
      <c r="D16" s="141">
        <v>2984000</v>
      </c>
      <c r="E16" s="53"/>
      <c r="F16" s="142"/>
      <c r="G16" s="143"/>
      <c r="H16" s="143"/>
      <c r="I16" s="144"/>
      <c r="K16" s="318"/>
      <c r="L16" s="319"/>
    </row>
    <row r="17" spans="1:12" ht="12.75">
      <c r="A17" s="84">
        <v>37711</v>
      </c>
      <c r="B17" s="91">
        <f t="shared" si="0"/>
        <v>3</v>
      </c>
      <c r="C17" s="141">
        <f t="shared" si="1"/>
        <v>98472000</v>
      </c>
      <c r="D17" s="141"/>
      <c r="E17" s="53">
        <v>0.0369</v>
      </c>
      <c r="F17" s="141">
        <v>819438</v>
      </c>
      <c r="G17" s="151"/>
      <c r="H17" s="151"/>
      <c r="I17" s="152"/>
      <c r="K17" s="322">
        <v>566047</v>
      </c>
      <c r="L17" s="323">
        <v>253391</v>
      </c>
    </row>
    <row r="18" spans="1:12" ht="12.75">
      <c r="A18" s="84">
        <v>37800</v>
      </c>
      <c r="B18" s="91">
        <f t="shared" si="0"/>
        <v>89</v>
      </c>
      <c r="C18" s="141">
        <f t="shared" si="1"/>
        <v>95488000</v>
      </c>
      <c r="D18" s="141">
        <f>D16</f>
        <v>2984000</v>
      </c>
      <c r="E18" s="53"/>
      <c r="F18" s="141"/>
      <c r="G18" s="151"/>
      <c r="H18" s="151"/>
      <c r="I18" s="152"/>
      <c r="K18" s="322"/>
      <c r="L18" s="323"/>
    </row>
    <row r="19" spans="1:12" ht="12.75">
      <c r="A19" s="84">
        <v>37802</v>
      </c>
      <c r="B19" s="91">
        <f t="shared" si="0"/>
        <v>2</v>
      </c>
      <c r="C19" s="141">
        <f t="shared" si="1"/>
        <v>95488000</v>
      </c>
      <c r="D19" s="141"/>
      <c r="E19" s="53">
        <v>0.0356</v>
      </c>
      <c r="F19" s="141">
        <f>488996+248915</f>
        <v>737911</v>
      </c>
      <c r="G19" s="151"/>
      <c r="H19" s="151"/>
      <c r="I19" s="152"/>
      <c r="K19" s="322">
        <v>488996</v>
      </c>
      <c r="L19" s="323">
        <v>248915</v>
      </c>
    </row>
    <row r="20" spans="1:12" ht="12.75">
      <c r="A20" s="84">
        <v>37892</v>
      </c>
      <c r="B20" s="91">
        <f t="shared" si="0"/>
        <v>90</v>
      </c>
      <c r="C20" s="141">
        <f t="shared" si="1"/>
        <v>92504000</v>
      </c>
      <c r="D20" s="141">
        <f>D16</f>
        <v>2984000</v>
      </c>
      <c r="E20" s="53"/>
      <c r="F20" s="141"/>
      <c r="G20" s="151"/>
      <c r="H20" s="151"/>
      <c r="I20" s="152"/>
      <c r="K20" s="322"/>
      <c r="L20" s="323"/>
    </row>
    <row r="21" spans="1:12" ht="12.75">
      <c r="A21" s="84">
        <v>37894</v>
      </c>
      <c r="B21" s="91">
        <f t="shared" si="0"/>
        <v>2</v>
      </c>
      <c r="C21" s="141">
        <f t="shared" si="1"/>
        <v>92504000</v>
      </c>
      <c r="D21" s="141"/>
      <c r="E21" s="53">
        <v>0.0584</v>
      </c>
      <c r="F21" s="141">
        <v>1418090</v>
      </c>
      <c r="G21" s="151"/>
      <c r="H21" s="151"/>
      <c r="I21" s="152"/>
      <c r="K21" s="322">
        <v>1174231</v>
      </c>
      <c r="L21" s="323">
        <v>243859</v>
      </c>
    </row>
    <row r="22" spans="1:12" ht="12.75">
      <c r="A22" s="84">
        <v>37983</v>
      </c>
      <c r="B22" s="91">
        <f t="shared" si="0"/>
        <v>89</v>
      </c>
      <c r="C22" s="141">
        <f t="shared" si="1"/>
        <v>89520000</v>
      </c>
      <c r="D22" s="141">
        <f>D16</f>
        <v>2984000</v>
      </c>
      <c r="E22" s="53"/>
      <c r="F22" s="141"/>
      <c r="G22" s="151"/>
      <c r="H22" s="151"/>
      <c r="I22" s="152"/>
      <c r="K22" s="322"/>
      <c r="L22" s="323"/>
    </row>
    <row r="23" spans="1:12" ht="12.75">
      <c r="A23" s="145">
        <v>37986</v>
      </c>
      <c r="B23" s="98">
        <f t="shared" si="0"/>
        <v>3</v>
      </c>
      <c r="C23" s="146">
        <f t="shared" si="1"/>
        <v>89520000</v>
      </c>
      <c r="D23" s="146"/>
      <c r="E23" s="100">
        <v>0.057</v>
      </c>
      <c r="F23" s="141">
        <f>1134164+236150</f>
        <v>1370314</v>
      </c>
      <c r="G23" s="153">
        <f>SUM(F17:F23)</f>
        <v>4345753</v>
      </c>
      <c r="H23" s="153">
        <f>SUM(D16:D23)</f>
        <v>11936000</v>
      </c>
      <c r="I23" s="154">
        <f>SUM(G23:H23)</f>
        <v>16281753</v>
      </c>
      <c r="K23" s="322">
        <v>1134164</v>
      </c>
      <c r="L23" s="323">
        <v>236150</v>
      </c>
    </row>
    <row r="24" spans="1:12" ht="12.75">
      <c r="A24" s="103">
        <v>38074</v>
      </c>
      <c r="B24" s="85">
        <f t="shared" si="0"/>
        <v>88</v>
      </c>
      <c r="C24" s="142">
        <f t="shared" si="1"/>
        <v>86536000</v>
      </c>
      <c r="D24" s="141">
        <f>D16</f>
        <v>2984000</v>
      </c>
      <c r="E24" s="53"/>
      <c r="F24" s="142"/>
      <c r="G24" s="143"/>
      <c r="H24" s="143"/>
      <c r="I24" s="144"/>
      <c r="K24" s="318"/>
      <c r="L24" s="319"/>
    </row>
    <row r="25" spans="1:12" ht="12.75">
      <c r="A25" s="84">
        <v>38077</v>
      </c>
      <c r="B25" s="91">
        <f t="shared" si="0"/>
        <v>3</v>
      </c>
      <c r="C25" s="141">
        <f t="shared" si="1"/>
        <v>86536000</v>
      </c>
      <c r="D25" s="141"/>
      <c r="E25" s="53">
        <v>0.06</v>
      </c>
      <c r="F25" s="141">
        <v>1355979</v>
      </c>
      <c r="G25" s="151"/>
      <c r="H25" s="151"/>
      <c r="I25" s="152"/>
      <c r="K25" s="322">
        <v>1129858</v>
      </c>
      <c r="L25" s="323">
        <v>226121</v>
      </c>
    </row>
    <row r="26" spans="1:12" ht="12.75">
      <c r="A26" s="84">
        <v>38166</v>
      </c>
      <c r="B26" s="91">
        <f t="shared" si="0"/>
        <v>89</v>
      </c>
      <c r="C26" s="141">
        <f t="shared" si="1"/>
        <v>83552000</v>
      </c>
      <c r="D26" s="141">
        <f>D16</f>
        <v>2984000</v>
      </c>
      <c r="E26" s="53"/>
      <c r="F26" s="141"/>
      <c r="G26" s="151"/>
      <c r="H26" s="151"/>
      <c r="I26" s="152"/>
      <c r="K26" s="322"/>
      <c r="L26" s="323"/>
    </row>
    <row r="27" spans="1:12" ht="12.75">
      <c r="A27" s="84">
        <v>38168</v>
      </c>
      <c r="B27" s="91">
        <f t="shared" si="0"/>
        <v>2</v>
      </c>
      <c r="C27" s="141">
        <f t="shared" si="1"/>
        <v>83552000</v>
      </c>
      <c r="D27" s="141"/>
      <c r="E27" s="53">
        <v>0.06</v>
      </c>
      <c r="F27" s="141">
        <f>((C26+D26)*E27/360*B26)+((C27+D27)*E27/360*B27)</f>
        <v>1311468</v>
      </c>
      <c r="G27" s="151"/>
      <c r="H27" s="151"/>
      <c r="I27" s="152"/>
      <c r="K27" s="322">
        <v>1092890</v>
      </c>
      <c r="L27" s="323">
        <v>218578</v>
      </c>
    </row>
    <row r="28" spans="1:12" ht="12.75">
      <c r="A28" s="84">
        <v>38258</v>
      </c>
      <c r="B28" s="91">
        <f t="shared" si="0"/>
        <v>90</v>
      </c>
      <c r="C28" s="141">
        <f t="shared" si="1"/>
        <v>80568000</v>
      </c>
      <c r="D28" s="141">
        <f>D16</f>
        <v>2984000</v>
      </c>
      <c r="E28" s="53"/>
      <c r="F28" s="141"/>
      <c r="G28" s="151"/>
      <c r="H28" s="151"/>
      <c r="I28" s="152"/>
      <c r="K28" s="322"/>
      <c r="L28" s="323"/>
    </row>
    <row r="29" spans="1:12" ht="12.75">
      <c r="A29" s="84">
        <v>38260</v>
      </c>
      <c r="B29" s="91">
        <f t="shared" si="0"/>
        <v>2</v>
      </c>
      <c r="C29" s="141">
        <f t="shared" si="1"/>
        <v>80568000</v>
      </c>
      <c r="D29" s="141"/>
      <c r="E29" s="53">
        <f>E27</f>
        <v>0.06</v>
      </c>
      <c r="F29" s="141">
        <f>((C28+D28)*E29/360*B28)+((C29+D29)*E29/360*B29)</f>
        <v>1280136</v>
      </c>
      <c r="G29" s="151"/>
      <c r="H29" s="151"/>
      <c r="I29" s="152"/>
      <c r="K29" s="322">
        <v>1066780</v>
      </c>
      <c r="L29" s="323">
        <v>213356</v>
      </c>
    </row>
    <row r="30" spans="1:12" ht="12.75">
      <c r="A30" s="84">
        <v>38349</v>
      </c>
      <c r="B30" s="91">
        <f t="shared" si="0"/>
        <v>89</v>
      </c>
      <c r="C30" s="141">
        <f t="shared" si="1"/>
        <v>77584000</v>
      </c>
      <c r="D30" s="141">
        <f>D16</f>
        <v>2984000</v>
      </c>
      <c r="E30" s="53"/>
      <c r="F30" s="141"/>
      <c r="G30" s="151"/>
      <c r="H30" s="151"/>
      <c r="I30" s="152"/>
      <c r="K30" s="322"/>
      <c r="L30" s="323"/>
    </row>
    <row r="31" spans="1:12" ht="12.75">
      <c r="A31" s="145">
        <v>38352</v>
      </c>
      <c r="B31" s="98">
        <f t="shared" si="0"/>
        <v>3</v>
      </c>
      <c r="C31" s="146">
        <f t="shared" si="1"/>
        <v>77584000</v>
      </c>
      <c r="D31" s="146"/>
      <c r="E31" s="100">
        <v>0.0408</v>
      </c>
      <c r="F31" s="141">
        <v>843338</v>
      </c>
      <c r="G31" s="153">
        <f>SUM(F25:F31)</f>
        <v>4790921</v>
      </c>
      <c r="H31" s="153">
        <f>SUM(D24:D31)</f>
        <v>11936000</v>
      </c>
      <c r="I31" s="154">
        <f>SUM(G31:H31)</f>
        <v>16726921</v>
      </c>
      <c r="K31" s="322">
        <v>637691</v>
      </c>
      <c r="L31" s="323">
        <v>205647</v>
      </c>
    </row>
    <row r="32" spans="1:12" ht="12.75">
      <c r="A32" s="103">
        <v>38440</v>
      </c>
      <c r="B32" s="85">
        <f t="shared" si="0"/>
        <v>88</v>
      </c>
      <c r="C32" s="142">
        <f t="shared" si="1"/>
        <v>74600000</v>
      </c>
      <c r="D32" s="141">
        <f>D16</f>
        <v>2984000</v>
      </c>
      <c r="E32" s="53"/>
      <c r="F32" s="142"/>
      <c r="G32" s="143"/>
      <c r="H32" s="143"/>
      <c r="I32" s="144"/>
      <c r="K32" s="318"/>
      <c r="L32" s="319"/>
    </row>
    <row r="33" spans="1:12" ht="12.75">
      <c r="A33" s="84">
        <v>38442</v>
      </c>
      <c r="B33" s="91">
        <f t="shared" si="0"/>
        <v>2</v>
      </c>
      <c r="C33" s="141">
        <f t="shared" si="1"/>
        <v>74600000</v>
      </c>
      <c r="D33" s="141"/>
      <c r="E33" s="53">
        <v>0.0244</v>
      </c>
      <c r="F33" s="141">
        <v>476392</v>
      </c>
      <c r="G33" s="151"/>
      <c r="H33" s="151"/>
      <c r="I33" s="152"/>
      <c r="K33" s="322">
        <v>282598</v>
      </c>
      <c r="L33" s="323">
        <v>193794</v>
      </c>
    </row>
    <row r="34" spans="1:12" ht="12.75">
      <c r="A34" s="84">
        <v>38473</v>
      </c>
      <c r="B34" s="91">
        <f t="shared" si="0"/>
        <v>31</v>
      </c>
      <c r="C34" s="141">
        <f t="shared" si="1"/>
        <v>74600000</v>
      </c>
      <c r="D34" s="141"/>
      <c r="E34" s="53">
        <v>0.0249</v>
      </c>
      <c r="F34" s="141"/>
      <c r="G34" s="151"/>
      <c r="H34" s="151"/>
      <c r="I34" s="152"/>
      <c r="K34" s="322"/>
      <c r="L34" s="323"/>
    </row>
    <row r="35" spans="1:12" ht="12.75">
      <c r="A35" s="84">
        <v>38531</v>
      </c>
      <c r="B35" s="91">
        <f t="shared" si="0"/>
        <v>58</v>
      </c>
      <c r="C35" s="141">
        <f t="shared" si="1"/>
        <v>71616000</v>
      </c>
      <c r="D35" s="141">
        <f>D16</f>
        <v>2984000</v>
      </c>
      <c r="E35" s="53"/>
      <c r="F35" s="141"/>
      <c r="G35" s="151"/>
      <c r="H35" s="151"/>
      <c r="I35" s="152"/>
      <c r="K35" s="322"/>
      <c r="L35" s="323"/>
    </row>
    <row r="36" spans="1:12" ht="12.75">
      <c r="A36" s="84">
        <v>38533</v>
      </c>
      <c r="B36" s="91">
        <f t="shared" si="0"/>
        <v>2</v>
      </c>
      <c r="C36" s="141">
        <f t="shared" si="1"/>
        <v>71616000</v>
      </c>
      <c r="D36" s="141"/>
      <c r="E36" s="53">
        <v>0.031</v>
      </c>
      <c r="F36" s="141">
        <f>SUM(K36:L36)</f>
        <v>619069</v>
      </c>
      <c r="G36" s="151"/>
      <c r="H36" s="151"/>
      <c r="I36" s="152"/>
      <c r="K36" s="322">
        <v>430663</v>
      </c>
      <c r="L36" s="323">
        <v>188406</v>
      </c>
    </row>
    <row r="37" spans="1:12" ht="12.75">
      <c r="A37" s="84">
        <v>38623</v>
      </c>
      <c r="B37" s="91">
        <f t="shared" si="0"/>
        <v>90</v>
      </c>
      <c r="C37" s="141">
        <f t="shared" si="1"/>
        <v>68632000</v>
      </c>
      <c r="D37" s="141">
        <f>D16</f>
        <v>2984000</v>
      </c>
      <c r="E37" s="53"/>
      <c r="F37" s="141"/>
      <c r="G37" s="151"/>
      <c r="H37" s="151"/>
      <c r="I37" s="152"/>
      <c r="K37" s="322"/>
      <c r="L37" s="323"/>
    </row>
    <row r="38" spans="1:12" ht="12.75">
      <c r="A38" s="84">
        <v>38625</v>
      </c>
      <c r="B38" s="91">
        <f t="shared" si="0"/>
        <v>2</v>
      </c>
      <c r="C38" s="141">
        <f t="shared" si="1"/>
        <v>68632000</v>
      </c>
      <c r="D38" s="141"/>
      <c r="E38" s="53">
        <v>0.038</v>
      </c>
      <c r="F38" s="141">
        <f>SUM(K38:L38)</f>
        <v>609578</v>
      </c>
      <c r="G38" s="151"/>
      <c r="H38" s="151"/>
      <c r="I38" s="152"/>
      <c r="K38" s="322">
        <v>426725</v>
      </c>
      <c r="L38" s="323">
        <v>182853</v>
      </c>
    </row>
    <row r="39" spans="1:12" ht="12.75">
      <c r="A39" s="84">
        <v>38657</v>
      </c>
      <c r="B39" s="91">
        <f t="shared" si="0"/>
        <v>32</v>
      </c>
      <c r="C39" s="157">
        <f t="shared" si="1"/>
        <v>68632000</v>
      </c>
      <c r="D39" s="157"/>
      <c r="E39" s="248">
        <v>0.0288</v>
      </c>
      <c r="F39" s="157"/>
      <c r="G39" s="158"/>
      <c r="H39" s="151"/>
      <c r="I39" s="152"/>
      <c r="K39" s="322"/>
      <c r="L39" s="323"/>
    </row>
    <row r="40" spans="1:12" ht="12.75">
      <c r="A40" s="84">
        <v>38714</v>
      </c>
      <c r="B40" s="91">
        <f t="shared" si="0"/>
        <v>57</v>
      </c>
      <c r="C40" s="157">
        <f t="shared" si="1"/>
        <v>65648000</v>
      </c>
      <c r="D40" s="157">
        <f>D16</f>
        <v>2984000</v>
      </c>
      <c r="E40" s="248"/>
      <c r="F40" s="157"/>
      <c r="G40" s="158"/>
      <c r="H40" s="151"/>
      <c r="I40" s="152"/>
      <c r="K40" s="322"/>
      <c r="L40" s="323"/>
    </row>
    <row r="41" spans="1:12" ht="12.75">
      <c r="A41" s="145">
        <v>38716</v>
      </c>
      <c r="B41" s="98">
        <f t="shared" si="0"/>
        <v>2</v>
      </c>
      <c r="C41" s="147">
        <f t="shared" si="1"/>
        <v>65648000</v>
      </c>
      <c r="D41" s="147"/>
      <c r="E41" s="100">
        <v>0.0343</v>
      </c>
      <c r="F41" s="147">
        <f>SUM(K41:L41)</f>
        <v>565150</v>
      </c>
      <c r="G41" s="148">
        <f>SUM(F33:F41)</f>
        <v>2270189</v>
      </c>
      <c r="H41" s="153">
        <f>SUM(D32:D41)</f>
        <v>11936000</v>
      </c>
      <c r="I41" s="154">
        <f>SUM(G41:H41)</f>
        <v>14206189</v>
      </c>
      <c r="K41" s="322">
        <v>391829</v>
      </c>
      <c r="L41" s="323">
        <v>173321</v>
      </c>
    </row>
    <row r="42" spans="1:12" ht="12.75">
      <c r="A42" s="103">
        <v>38804</v>
      </c>
      <c r="B42" s="85">
        <f t="shared" si="0"/>
        <v>88</v>
      </c>
      <c r="C42" s="142">
        <f t="shared" si="1"/>
        <v>62664000</v>
      </c>
      <c r="D42" s="141">
        <f>D16</f>
        <v>2984000</v>
      </c>
      <c r="E42" s="53"/>
      <c r="F42" s="142"/>
      <c r="G42" s="143"/>
      <c r="H42" s="143"/>
      <c r="I42" s="144"/>
      <c r="K42" s="318"/>
      <c r="L42" s="319"/>
    </row>
    <row r="43" spans="1:12" ht="12.75">
      <c r="A43" s="84">
        <v>38807</v>
      </c>
      <c r="B43" s="91">
        <f t="shared" si="0"/>
        <v>3</v>
      </c>
      <c r="C43" s="141">
        <f t="shared" si="1"/>
        <v>62664000</v>
      </c>
      <c r="D43" s="141"/>
      <c r="E43" s="53">
        <v>0.037</v>
      </c>
      <c r="F43" s="141">
        <f>SUM(K43:L43)</f>
        <v>611594</v>
      </c>
      <c r="G43" s="151"/>
      <c r="H43" s="151"/>
      <c r="I43" s="152"/>
      <c r="K43" s="322">
        <v>445899</v>
      </c>
      <c r="L43" s="323">
        <v>165695</v>
      </c>
    </row>
    <row r="44" spans="1:12" ht="12.75">
      <c r="A44" s="84">
        <v>38896</v>
      </c>
      <c r="B44" s="91">
        <f t="shared" si="0"/>
        <v>89</v>
      </c>
      <c r="C44" s="141">
        <f t="shared" si="1"/>
        <v>59680000</v>
      </c>
      <c r="D44" s="141">
        <f>D16</f>
        <v>2984000</v>
      </c>
      <c r="E44" s="53"/>
      <c r="F44" s="141"/>
      <c r="G44" s="151"/>
      <c r="H44" s="151"/>
      <c r="I44" s="152"/>
      <c r="K44" s="322"/>
      <c r="L44" s="323"/>
    </row>
    <row r="45" spans="1:12" ht="12.75">
      <c r="A45" s="84">
        <v>38898</v>
      </c>
      <c r="B45" s="91">
        <f t="shared" si="0"/>
        <v>2</v>
      </c>
      <c r="C45" s="141">
        <f t="shared" si="1"/>
        <v>59680000</v>
      </c>
      <c r="D45" s="141"/>
      <c r="E45" s="53">
        <v>0.0416</v>
      </c>
      <c r="F45" s="141">
        <f>SUM(K45:L45)</f>
        <v>657457</v>
      </c>
      <c r="G45" s="151"/>
      <c r="H45" s="151"/>
      <c r="I45" s="152"/>
      <c r="K45" s="322">
        <v>499222</v>
      </c>
      <c r="L45" s="323">
        <v>158235</v>
      </c>
    </row>
    <row r="46" spans="1:12" ht="12.75">
      <c r="A46" s="84">
        <v>38929</v>
      </c>
      <c r="B46" s="91">
        <f t="shared" si="0"/>
        <v>31</v>
      </c>
      <c r="C46" s="141">
        <f t="shared" si="1"/>
        <v>59680000</v>
      </c>
      <c r="D46" s="141"/>
      <c r="E46" s="53">
        <v>0.0422</v>
      </c>
      <c r="F46" s="141"/>
      <c r="G46" s="151"/>
      <c r="H46" s="151"/>
      <c r="I46" s="152"/>
      <c r="K46" s="322"/>
      <c r="L46" s="323"/>
    </row>
    <row r="47" spans="1:12" ht="12.75">
      <c r="A47" s="84">
        <v>38960</v>
      </c>
      <c r="B47" s="91">
        <f t="shared" si="0"/>
        <v>31</v>
      </c>
      <c r="C47" s="141">
        <f t="shared" si="1"/>
        <v>59680000</v>
      </c>
      <c r="D47" s="141"/>
      <c r="E47" s="53">
        <v>0.0409</v>
      </c>
      <c r="F47" s="141"/>
      <c r="G47" s="151"/>
      <c r="H47" s="151"/>
      <c r="I47" s="152"/>
      <c r="K47" s="322"/>
      <c r="L47" s="323"/>
    </row>
    <row r="48" spans="1:12" ht="12.75">
      <c r="A48" s="84">
        <v>38988</v>
      </c>
      <c r="B48" s="91">
        <f t="shared" si="0"/>
        <v>28</v>
      </c>
      <c r="C48" s="141">
        <f t="shared" si="1"/>
        <v>56696000</v>
      </c>
      <c r="D48" s="141">
        <f>D16</f>
        <v>2984000</v>
      </c>
      <c r="E48" s="53"/>
      <c r="F48" s="141"/>
      <c r="G48" s="151"/>
      <c r="H48" s="151"/>
      <c r="I48" s="152"/>
      <c r="K48" s="322"/>
      <c r="L48" s="323"/>
    </row>
    <row r="49" spans="1:12" ht="12.75">
      <c r="A49" s="84">
        <v>38989</v>
      </c>
      <c r="B49" s="91">
        <f t="shared" si="0"/>
        <v>1</v>
      </c>
      <c r="C49" s="141">
        <f t="shared" si="1"/>
        <v>56696000</v>
      </c>
      <c r="D49" s="141"/>
      <c r="E49" s="53">
        <v>0.0383</v>
      </c>
      <c r="F49" s="141">
        <f>SUM(K49:L49)</f>
        <v>597364</v>
      </c>
      <c r="G49" s="151"/>
      <c r="H49" s="151"/>
      <c r="I49" s="152"/>
      <c r="K49" s="322">
        <v>446589</v>
      </c>
      <c r="L49" s="323">
        <v>150775</v>
      </c>
    </row>
    <row r="50" spans="1:12" ht="12.75">
      <c r="A50" s="84">
        <v>38991</v>
      </c>
      <c r="B50" s="91">
        <f>A50-A49</f>
        <v>2</v>
      </c>
      <c r="C50" s="141">
        <f>C49-D50</f>
        <v>56696000</v>
      </c>
      <c r="D50" s="141"/>
      <c r="E50" s="53">
        <v>0.0383</v>
      </c>
      <c r="F50" s="141"/>
      <c r="G50" s="151"/>
      <c r="H50" s="151"/>
      <c r="I50" s="152"/>
      <c r="K50" s="322"/>
      <c r="L50" s="323"/>
    </row>
    <row r="51" spans="1:12" ht="12.75">
      <c r="A51" s="84">
        <v>39022</v>
      </c>
      <c r="B51" s="91">
        <f>A51-A50</f>
        <v>31</v>
      </c>
      <c r="C51" s="141">
        <f>C50-D51</f>
        <v>56696000</v>
      </c>
      <c r="D51" s="141"/>
      <c r="E51" s="53">
        <v>0.0482</v>
      </c>
      <c r="F51" s="141"/>
      <c r="G51" s="151"/>
      <c r="H51" s="151"/>
      <c r="I51" s="152"/>
      <c r="K51" s="322"/>
      <c r="L51" s="323"/>
    </row>
    <row r="52" spans="1:12" ht="12.75">
      <c r="A52" s="84">
        <v>39052</v>
      </c>
      <c r="B52" s="85">
        <f t="shared" si="0"/>
        <v>30</v>
      </c>
      <c r="C52" s="141">
        <f>C51-D52</f>
        <v>56696000</v>
      </c>
      <c r="D52" s="141"/>
      <c r="E52" s="53">
        <v>0.0456</v>
      </c>
      <c r="F52" s="141"/>
      <c r="G52" s="151"/>
      <c r="H52" s="151"/>
      <c r="I52" s="152"/>
      <c r="K52" s="322"/>
      <c r="L52" s="323"/>
    </row>
    <row r="53" spans="1:12" ht="12.75">
      <c r="A53" s="90">
        <v>39079</v>
      </c>
      <c r="B53" s="85">
        <f t="shared" si="0"/>
        <v>27</v>
      </c>
      <c r="C53" s="157">
        <f>C50-D53</f>
        <v>53712000</v>
      </c>
      <c r="D53" s="157">
        <f>D16</f>
        <v>2984000</v>
      </c>
      <c r="E53" s="248"/>
      <c r="F53" s="157"/>
      <c r="G53" s="151"/>
      <c r="H53" s="151"/>
      <c r="I53" s="152"/>
      <c r="K53" s="322"/>
      <c r="L53" s="323"/>
    </row>
    <row r="54" spans="1:12" ht="12.75">
      <c r="A54" s="97">
        <v>39080</v>
      </c>
      <c r="B54" s="98">
        <f t="shared" si="0"/>
        <v>1</v>
      </c>
      <c r="C54" s="147">
        <f>C53-D54</f>
        <v>53712000</v>
      </c>
      <c r="D54" s="147"/>
      <c r="E54" s="100">
        <v>0.0428</v>
      </c>
      <c r="F54" s="147">
        <f>SUM(K54:L54)</f>
        <v>649649</v>
      </c>
      <c r="G54" s="148">
        <f>SUM(F43:F54)</f>
        <v>2516064</v>
      </c>
      <c r="H54" s="148">
        <f>SUM(D42:D54)</f>
        <v>11936000</v>
      </c>
      <c r="I54" s="149">
        <f>SUM(G54:H54)</f>
        <v>14452064</v>
      </c>
      <c r="K54" s="320">
        <v>506417</v>
      </c>
      <c r="L54" s="321">
        <v>143232</v>
      </c>
    </row>
    <row r="55" spans="1:12" ht="12.75">
      <c r="A55" s="103">
        <v>39114</v>
      </c>
      <c r="B55" s="104">
        <f>A55-A54</f>
        <v>34</v>
      </c>
      <c r="C55" s="142">
        <f>C54-D55</f>
        <v>53712000</v>
      </c>
      <c r="D55" s="142"/>
      <c r="E55" s="269">
        <v>0.0414</v>
      </c>
      <c r="F55" s="142"/>
      <c r="G55" s="143"/>
      <c r="H55" s="143"/>
      <c r="I55" s="144"/>
      <c r="K55" s="318"/>
      <c r="L55" s="319"/>
    </row>
    <row r="56" spans="1:12" ht="12.75">
      <c r="A56" s="90">
        <v>39169</v>
      </c>
      <c r="B56" s="91">
        <f>A56-A55</f>
        <v>55</v>
      </c>
      <c r="C56" s="157">
        <f>C55-D56</f>
        <v>50728000</v>
      </c>
      <c r="D56" s="157">
        <f>D16</f>
        <v>2984000</v>
      </c>
      <c r="E56" s="248"/>
      <c r="F56" s="157"/>
      <c r="G56" s="158"/>
      <c r="H56" s="158"/>
      <c r="I56" s="159"/>
      <c r="K56" s="325"/>
      <c r="L56" s="326"/>
    </row>
    <row r="57" spans="1:12" ht="12.75">
      <c r="A57" s="84">
        <v>39172</v>
      </c>
      <c r="B57" s="91">
        <f t="shared" si="0"/>
        <v>3</v>
      </c>
      <c r="C57" s="141">
        <f t="shared" si="1"/>
        <v>50728000</v>
      </c>
      <c r="D57" s="141"/>
      <c r="E57" s="53">
        <v>0.0401</v>
      </c>
      <c r="F57" s="141">
        <f>((C55+D55)*E55/360*B55)+((C56+D56)*E57/360*B56)+((C57+D57)*E57/360*B57)</f>
        <v>556026.1266666667</v>
      </c>
      <c r="G57" s="151"/>
      <c r="H57" s="151"/>
      <c r="I57" s="152"/>
      <c r="K57" s="322"/>
      <c r="L57" s="323"/>
    </row>
    <row r="58" spans="1:12" ht="12.75">
      <c r="A58" s="84">
        <v>39261</v>
      </c>
      <c r="B58" s="91">
        <f t="shared" si="0"/>
        <v>89</v>
      </c>
      <c r="C58" s="141">
        <f t="shared" si="1"/>
        <v>47744000</v>
      </c>
      <c r="D58" s="141">
        <f>D16</f>
        <v>2984000</v>
      </c>
      <c r="E58" s="53"/>
      <c r="F58" s="141"/>
      <c r="G58" s="151"/>
      <c r="H58" s="151"/>
      <c r="I58" s="152"/>
      <c r="K58" s="322"/>
      <c r="L58" s="323"/>
    </row>
    <row r="59" spans="1:12" ht="12.75">
      <c r="A59" s="84">
        <v>39263</v>
      </c>
      <c r="B59" s="91">
        <f t="shared" si="0"/>
        <v>2</v>
      </c>
      <c r="C59" s="141">
        <f t="shared" si="1"/>
        <v>47744000</v>
      </c>
      <c r="D59" s="141"/>
      <c r="E59" s="53">
        <f>E57</f>
        <v>0.0401</v>
      </c>
      <c r="F59" s="141">
        <f>((C58+D58)*E59/360*B58)+((C59+D59)*E59/360*B59)</f>
        <v>513533.9666666666</v>
      </c>
      <c r="G59" s="151"/>
      <c r="H59" s="151"/>
      <c r="I59" s="152"/>
      <c r="K59" s="322"/>
      <c r="L59" s="323"/>
    </row>
    <row r="60" spans="1:12" ht="12.75">
      <c r="A60" s="84">
        <v>39353</v>
      </c>
      <c r="B60" s="91">
        <f t="shared" si="0"/>
        <v>90</v>
      </c>
      <c r="C60" s="141">
        <f t="shared" si="1"/>
        <v>44760000</v>
      </c>
      <c r="D60" s="141">
        <f>D16</f>
        <v>2984000</v>
      </c>
      <c r="E60" s="53"/>
      <c r="F60" s="141"/>
      <c r="G60" s="151"/>
      <c r="H60" s="151"/>
      <c r="I60" s="152"/>
      <c r="K60" s="322"/>
      <c r="L60" s="323"/>
    </row>
    <row r="61" spans="1:12" ht="12.75">
      <c r="A61" s="84">
        <v>39355</v>
      </c>
      <c r="B61" s="91">
        <f t="shared" si="0"/>
        <v>2</v>
      </c>
      <c r="C61" s="141">
        <f t="shared" si="1"/>
        <v>44760000</v>
      </c>
      <c r="D61" s="141"/>
      <c r="E61" s="53">
        <f>E59</f>
        <v>0.0401</v>
      </c>
      <c r="F61" s="141">
        <f>((C60+D60)*E61/360*B60)+((C61+D61)*E61/360*B61)</f>
        <v>488605.13333333336</v>
      </c>
      <c r="G61" s="151"/>
      <c r="H61" s="151"/>
      <c r="I61" s="152"/>
      <c r="K61" s="322"/>
      <c r="L61" s="323"/>
    </row>
    <row r="62" spans="1:12" ht="12.75">
      <c r="A62" s="84">
        <v>39444</v>
      </c>
      <c r="B62" s="91">
        <f t="shared" si="0"/>
        <v>89</v>
      </c>
      <c r="C62" s="141">
        <f t="shared" si="1"/>
        <v>41776000</v>
      </c>
      <c r="D62" s="141">
        <f>D16</f>
        <v>2984000</v>
      </c>
      <c r="E62" s="53"/>
      <c r="F62" s="141"/>
      <c r="G62" s="151"/>
      <c r="H62" s="151"/>
      <c r="I62" s="152"/>
      <c r="K62" s="322"/>
      <c r="L62" s="323"/>
    </row>
    <row r="63" spans="1:12" ht="12.75">
      <c r="A63" s="97">
        <v>39447</v>
      </c>
      <c r="B63" s="98">
        <f t="shared" si="0"/>
        <v>3</v>
      </c>
      <c r="C63" s="99">
        <f t="shared" si="1"/>
        <v>41776000</v>
      </c>
      <c r="D63" s="99"/>
      <c r="E63" s="100">
        <f>E61</f>
        <v>0.0401</v>
      </c>
      <c r="F63" s="99">
        <f>((C62+D62)*E63/360*B62)+((C63+D63)*E63/360*B63)</f>
        <v>457693.38</v>
      </c>
      <c r="G63" s="101">
        <f>SUM(F57:F63)</f>
        <v>2015858.6066666665</v>
      </c>
      <c r="H63" s="101">
        <f>SUM(D56:D63)</f>
        <v>11936000</v>
      </c>
      <c r="I63" s="102">
        <f>SUM(G63:H63)</f>
        <v>13951858.606666666</v>
      </c>
      <c r="K63" s="320"/>
      <c r="L63" s="324"/>
    </row>
    <row r="64" spans="1:12" ht="12.75">
      <c r="A64" s="103">
        <v>39535</v>
      </c>
      <c r="B64" s="104">
        <f t="shared" si="0"/>
        <v>88</v>
      </c>
      <c r="C64" s="42">
        <f t="shared" si="1"/>
        <v>38792000</v>
      </c>
      <c r="D64" s="42">
        <f>D16</f>
        <v>2984000</v>
      </c>
      <c r="E64" s="150"/>
      <c r="F64" s="42"/>
      <c r="G64" s="155"/>
      <c r="H64" s="155"/>
      <c r="I64" s="156"/>
      <c r="K64" s="318"/>
      <c r="L64" s="106"/>
    </row>
    <row r="65" spans="1:12" ht="12.75">
      <c r="A65" s="90">
        <v>39538</v>
      </c>
      <c r="B65" s="91">
        <f t="shared" si="0"/>
        <v>3</v>
      </c>
      <c r="C65" s="157">
        <f t="shared" si="1"/>
        <v>38792000</v>
      </c>
      <c r="D65" s="157"/>
      <c r="E65" s="53">
        <f>E63</f>
        <v>0.0401</v>
      </c>
      <c r="F65" s="141">
        <f>((C64+D64)*E65/360*B64)+((C65+D65)*E65/360*B65)</f>
        <v>422460.62888888887</v>
      </c>
      <c r="G65" s="158"/>
      <c r="H65" s="158"/>
      <c r="I65" s="159"/>
      <c r="K65" s="322"/>
      <c r="L65" s="323"/>
    </row>
    <row r="66" spans="1:12" ht="12.75">
      <c r="A66" s="90">
        <v>39627</v>
      </c>
      <c r="B66" s="91">
        <f t="shared" si="0"/>
        <v>89</v>
      </c>
      <c r="C66" s="157">
        <f t="shared" si="1"/>
        <v>35808000</v>
      </c>
      <c r="D66" s="157">
        <f>D16</f>
        <v>2984000</v>
      </c>
      <c r="E66" s="53"/>
      <c r="F66" s="157"/>
      <c r="G66" s="158"/>
      <c r="H66" s="158"/>
      <c r="I66" s="159"/>
      <c r="K66" s="325"/>
      <c r="L66" s="326"/>
    </row>
    <row r="67" spans="1:12" ht="12.75">
      <c r="A67" s="90">
        <v>39629</v>
      </c>
      <c r="B67" s="91">
        <f t="shared" si="0"/>
        <v>2</v>
      </c>
      <c r="C67" s="157">
        <f t="shared" si="1"/>
        <v>35808000</v>
      </c>
      <c r="D67" s="157"/>
      <c r="E67" s="53">
        <f>E65</f>
        <v>0.0401</v>
      </c>
      <c r="F67" s="141">
        <f>((C66+D66)*E67/360*B66)+((C67+D67)*E67/360*B67)</f>
        <v>392546.0288888889</v>
      </c>
      <c r="G67" s="158"/>
      <c r="H67" s="158"/>
      <c r="I67" s="159"/>
      <c r="K67" s="322"/>
      <c r="L67" s="323"/>
    </row>
    <row r="68" spans="1:12" ht="12.75">
      <c r="A68" s="84">
        <v>39719</v>
      </c>
      <c r="B68" s="91">
        <f t="shared" si="0"/>
        <v>90</v>
      </c>
      <c r="C68" s="141">
        <f t="shared" si="1"/>
        <v>32824000</v>
      </c>
      <c r="D68" s="141">
        <f>D16</f>
        <v>2984000</v>
      </c>
      <c r="E68" s="53"/>
      <c r="F68" s="141"/>
      <c r="G68" s="151"/>
      <c r="H68" s="151"/>
      <c r="I68" s="152"/>
      <c r="K68" s="322"/>
      <c r="L68" s="323"/>
    </row>
    <row r="69" spans="1:12" ht="12.75">
      <c r="A69" s="84">
        <v>39721</v>
      </c>
      <c r="B69" s="91">
        <f t="shared" si="0"/>
        <v>2</v>
      </c>
      <c r="C69" s="141">
        <f t="shared" si="1"/>
        <v>32824000</v>
      </c>
      <c r="D69" s="141"/>
      <c r="E69" s="53">
        <f>E67</f>
        <v>0.0401</v>
      </c>
      <c r="F69" s="141">
        <f>((C68+D68)*E69/360*B68)+((C69+D69)*E69/360*B69)</f>
        <v>366287.65777777776</v>
      </c>
      <c r="G69" s="151"/>
      <c r="H69" s="151"/>
      <c r="I69" s="152"/>
      <c r="K69" s="322"/>
      <c r="L69" s="323"/>
    </row>
    <row r="70" spans="1:12" ht="12.75">
      <c r="A70" s="84">
        <v>39810</v>
      </c>
      <c r="B70" s="91">
        <f t="shared" si="0"/>
        <v>89</v>
      </c>
      <c r="C70" s="141">
        <f t="shared" si="1"/>
        <v>29840000</v>
      </c>
      <c r="D70" s="141">
        <f>D16</f>
        <v>2984000</v>
      </c>
      <c r="E70" s="53"/>
      <c r="F70" s="141"/>
      <c r="G70" s="151"/>
      <c r="H70" s="151"/>
      <c r="I70" s="152"/>
      <c r="K70" s="322"/>
      <c r="L70" s="323"/>
    </row>
    <row r="71" spans="1:12" ht="12.75">
      <c r="A71" s="97">
        <v>39813</v>
      </c>
      <c r="B71" s="98">
        <f t="shared" si="0"/>
        <v>3</v>
      </c>
      <c r="C71" s="147">
        <f t="shared" si="1"/>
        <v>29840000</v>
      </c>
      <c r="D71" s="147"/>
      <c r="E71" s="100">
        <f>E69</f>
        <v>0.0401</v>
      </c>
      <c r="F71" s="141">
        <f>((C70+D70)*E71/360*B70)+((C71+D71)*E71/360*B71)</f>
        <v>335375.90444444446</v>
      </c>
      <c r="G71" s="148">
        <f>SUM(F65:F71)</f>
        <v>1516670.22</v>
      </c>
      <c r="H71" s="148">
        <f>SUM(D64:D71)</f>
        <v>11936000</v>
      </c>
      <c r="I71" s="149">
        <f>SUM(G71:H71)</f>
        <v>13452670.22</v>
      </c>
      <c r="K71" s="322"/>
      <c r="L71" s="323"/>
    </row>
    <row r="72" spans="1:12" ht="12.75">
      <c r="A72" s="103">
        <v>39900</v>
      </c>
      <c r="B72" s="85">
        <f t="shared" si="0"/>
        <v>87</v>
      </c>
      <c r="C72" s="142">
        <f t="shared" si="1"/>
        <v>26856000</v>
      </c>
      <c r="D72" s="141">
        <f>D16</f>
        <v>2984000</v>
      </c>
      <c r="E72" s="53"/>
      <c r="F72" s="142"/>
      <c r="G72" s="143"/>
      <c r="H72" s="143"/>
      <c r="I72" s="144"/>
      <c r="K72" s="318"/>
      <c r="L72" s="319"/>
    </row>
    <row r="73" spans="1:12" ht="12.75">
      <c r="A73" s="84">
        <v>39903</v>
      </c>
      <c r="B73" s="91">
        <f t="shared" si="0"/>
        <v>3</v>
      </c>
      <c r="C73" s="141">
        <f t="shared" si="1"/>
        <v>26856000</v>
      </c>
      <c r="D73" s="141"/>
      <c r="E73" s="53">
        <f>E71</f>
        <v>0.0401</v>
      </c>
      <c r="F73" s="141">
        <f>((C72+D72)*E73/360*B72)+((C73+D73)*E73/360*B73)</f>
        <v>298148.8466666667</v>
      </c>
      <c r="G73" s="151"/>
      <c r="H73" s="151"/>
      <c r="I73" s="152"/>
      <c r="K73" s="322"/>
      <c r="L73" s="323"/>
    </row>
    <row r="74" spans="1:12" ht="12.75">
      <c r="A74" s="84">
        <v>39992</v>
      </c>
      <c r="B74" s="91">
        <f t="shared" si="0"/>
        <v>89</v>
      </c>
      <c r="C74" s="141">
        <f t="shared" si="1"/>
        <v>23872000</v>
      </c>
      <c r="D74" s="141">
        <f>D16</f>
        <v>2984000</v>
      </c>
      <c r="E74" s="53"/>
      <c r="F74" s="141"/>
      <c r="G74" s="151"/>
      <c r="H74" s="151"/>
      <c r="I74" s="152"/>
      <c r="K74" s="322"/>
      <c r="L74" s="323"/>
    </row>
    <row r="75" spans="1:12" ht="12.75">
      <c r="A75" s="84">
        <v>39994</v>
      </c>
      <c r="B75" s="91">
        <f t="shared" si="0"/>
        <v>2</v>
      </c>
      <c r="C75" s="141">
        <f t="shared" si="1"/>
        <v>23872000</v>
      </c>
      <c r="D75" s="141"/>
      <c r="E75" s="53">
        <f>E73</f>
        <v>0.0401</v>
      </c>
      <c r="F75" s="141">
        <f>((C74+D74)*E75/360*B74)+((C75+D75)*E75/360*B75)</f>
        <v>271558.09111111105</v>
      </c>
      <c r="G75" s="151"/>
      <c r="H75" s="151"/>
      <c r="I75" s="152"/>
      <c r="K75" s="322"/>
      <c r="L75" s="323"/>
    </row>
    <row r="76" spans="1:12" ht="12.75">
      <c r="A76" s="84">
        <v>40084</v>
      </c>
      <c r="B76" s="91">
        <f t="shared" si="0"/>
        <v>90</v>
      </c>
      <c r="C76" s="141">
        <f t="shared" si="1"/>
        <v>20888000</v>
      </c>
      <c r="D76" s="141">
        <f>D16</f>
        <v>2984000</v>
      </c>
      <c r="E76" s="53"/>
      <c r="F76" s="141"/>
      <c r="G76" s="151"/>
      <c r="H76" s="151"/>
      <c r="I76" s="152"/>
      <c r="K76" s="322"/>
      <c r="L76" s="323"/>
    </row>
    <row r="77" spans="1:12" ht="12.75">
      <c r="A77" s="84">
        <v>40086</v>
      </c>
      <c r="B77" s="91">
        <f t="shared" si="0"/>
        <v>2</v>
      </c>
      <c r="C77" s="141">
        <f t="shared" si="1"/>
        <v>20888000</v>
      </c>
      <c r="D77" s="141"/>
      <c r="E77" s="53">
        <f>E75</f>
        <v>0.0401</v>
      </c>
      <c r="F77" s="141">
        <f>((C76+D76)*E77/360*B76)+((C77+D77)*E77/360*B77)</f>
        <v>243970.18222222224</v>
      </c>
      <c r="G77" s="151"/>
      <c r="H77" s="151"/>
      <c r="I77" s="152"/>
      <c r="K77" s="322"/>
      <c r="L77" s="323"/>
    </row>
    <row r="78" spans="1:12" ht="12.75">
      <c r="A78" s="84">
        <v>40175</v>
      </c>
      <c r="B78" s="91">
        <f t="shared" si="0"/>
        <v>89</v>
      </c>
      <c r="C78" s="141">
        <f t="shared" si="1"/>
        <v>17904000</v>
      </c>
      <c r="D78" s="141">
        <f>D16</f>
        <v>2984000</v>
      </c>
      <c r="E78" s="53"/>
      <c r="F78" s="141"/>
      <c r="G78" s="151"/>
      <c r="H78" s="151"/>
      <c r="I78" s="152"/>
      <c r="K78" s="322"/>
      <c r="L78" s="323"/>
    </row>
    <row r="79" spans="1:12" ht="12.75">
      <c r="A79" s="97">
        <v>40178</v>
      </c>
      <c r="B79" s="98">
        <f t="shared" si="0"/>
        <v>3</v>
      </c>
      <c r="C79" s="147">
        <f t="shared" si="1"/>
        <v>17904000</v>
      </c>
      <c r="D79" s="147"/>
      <c r="E79" s="100">
        <f>E77</f>
        <v>0.0401</v>
      </c>
      <c r="F79" s="147">
        <f>((C78+D78)*E79/360*B78)+((C79+D79)*E79/360*B79)</f>
        <v>213058.42888888888</v>
      </c>
      <c r="G79" s="148">
        <f>SUM(F73:F79)</f>
        <v>1026735.5488888888</v>
      </c>
      <c r="H79" s="148">
        <f>SUM(D72:D79)</f>
        <v>11936000</v>
      </c>
      <c r="I79" s="149">
        <f>SUM(G79:H79)</f>
        <v>12962735.548888888</v>
      </c>
      <c r="K79" s="320"/>
      <c r="L79" s="321"/>
    </row>
    <row r="80" spans="1:12" ht="12.75">
      <c r="A80" s="103">
        <v>40265</v>
      </c>
      <c r="B80" s="104">
        <f t="shared" si="0"/>
        <v>87</v>
      </c>
      <c r="C80" s="142">
        <f t="shared" si="1"/>
        <v>14920000</v>
      </c>
      <c r="D80" s="142">
        <f>D16</f>
        <v>2984000</v>
      </c>
      <c r="E80" s="269"/>
      <c r="F80" s="142"/>
      <c r="G80" s="143"/>
      <c r="H80" s="143"/>
      <c r="I80" s="144"/>
      <c r="K80" s="318"/>
      <c r="L80" s="319"/>
    </row>
    <row r="81" spans="1:12" ht="12.75">
      <c r="A81" s="84">
        <v>40268</v>
      </c>
      <c r="B81" s="91">
        <f aca="true" t="shared" si="2" ref="B81:B90">A81-A80</f>
        <v>3</v>
      </c>
      <c r="C81" s="141">
        <f t="shared" si="1"/>
        <v>14920000</v>
      </c>
      <c r="D81" s="141"/>
      <c r="E81" s="53">
        <f>E79</f>
        <v>0.0401</v>
      </c>
      <c r="F81" s="141">
        <f>((C80+D80)*E81/360*B80)+((C81+D81)*E81/360*B81)</f>
        <v>178490.44666666663</v>
      </c>
      <c r="G81" s="151"/>
      <c r="H81" s="151"/>
      <c r="I81" s="152"/>
      <c r="K81" s="322"/>
      <c r="L81" s="323"/>
    </row>
    <row r="82" spans="1:12" ht="12.75">
      <c r="A82" s="84">
        <v>40357</v>
      </c>
      <c r="B82" s="91">
        <f t="shared" si="2"/>
        <v>89</v>
      </c>
      <c r="C82" s="141">
        <f aca="true" t="shared" si="3" ref="C82:C90">C81-D82</f>
        <v>11936000</v>
      </c>
      <c r="D82" s="141">
        <f>D16</f>
        <v>2984000</v>
      </c>
      <c r="E82" s="53"/>
      <c r="F82" s="141"/>
      <c r="G82" s="151"/>
      <c r="H82" s="151"/>
      <c r="I82" s="152"/>
      <c r="K82" s="322"/>
      <c r="L82" s="323"/>
    </row>
    <row r="83" spans="1:12" ht="12.75">
      <c r="A83" s="84">
        <v>40359</v>
      </c>
      <c r="B83" s="91">
        <f t="shared" si="2"/>
        <v>2</v>
      </c>
      <c r="C83" s="141">
        <f t="shared" si="3"/>
        <v>11936000</v>
      </c>
      <c r="D83" s="141"/>
      <c r="E83" s="53">
        <f>E81</f>
        <v>0.0401</v>
      </c>
      <c r="F83" s="141">
        <f>((C82+D82)*E83/360*B82)+((C83+D83)*E83/360*B83)</f>
        <v>150570.15333333332</v>
      </c>
      <c r="G83" s="151"/>
      <c r="H83" s="151"/>
      <c r="I83" s="152"/>
      <c r="K83" s="322"/>
      <c r="L83" s="323"/>
    </row>
    <row r="84" spans="1:12" ht="12.75">
      <c r="A84" s="84">
        <v>40449</v>
      </c>
      <c r="B84" s="91">
        <f t="shared" si="2"/>
        <v>90</v>
      </c>
      <c r="C84" s="141">
        <f t="shared" si="3"/>
        <v>8952000</v>
      </c>
      <c r="D84" s="141">
        <f>D16</f>
        <v>2984000</v>
      </c>
      <c r="E84" s="53"/>
      <c r="F84" s="141"/>
      <c r="G84" s="151"/>
      <c r="H84" s="151"/>
      <c r="I84" s="152"/>
      <c r="K84" s="322"/>
      <c r="L84" s="323"/>
    </row>
    <row r="85" spans="1:12" ht="12.75">
      <c r="A85" s="84">
        <v>40451</v>
      </c>
      <c r="B85" s="91">
        <f t="shared" si="2"/>
        <v>2</v>
      </c>
      <c r="C85" s="141">
        <f t="shared" si="3"/>
        <v>8952000</v>
      </c>
      <c r="D85" s="141"/>
      <c r="E85" s="53">
        <f>E83</f>
        <v>0.0401</v>
      </c>
      <c r="F85" s="141">
        <f>((C84+D84)*E85/360*B84)+((C85+D85)*E85/360*B85)</f>
        <v>121652.70666666668</v>
      </c>
      <c r="G85" s="151"/>
      <c r="H85" s="151"/>
      <c r="I85" s="152"/>
      <c r="K85" s="322"/>
      <c r="L85" s="323"/>
    </row>
    <row r="86" spans="1:12" ht="12.75">
      <c r="A86" s="84">
        <v>40540</v>
      </c>
      <c r="B86" s="91">
        <f t="shared" si="2"/>
        <v>89</v>
      </c>
      <c r="C86" s="141">
        <f t="shared" si="3"/>
        <v>5968000</v>
      </c>
      <c r="D86" s="141">
        <f>D16</f>
        <v>2984000</v>
      </c>
      <c r="E86" s="53"/>
      <c r="F86" s="141"/>
      <c r="G86" s="151"/>
      <c r="H86" s="151"/>
      <c r="I86" s="152"/>
      <c r="K86" s="322"/>
      <c r="L86" s="323"/>
    </row>
    <row r="87" spans="1:12" ht="12.75">
      <c r="A87" s="97">
        <v>40543</v>
      </c>
      <c r="B87" s="98">
        <f t="shared" si="2"/>
        <v>3</v>
      </c>
      <c r="C87" s="147">
        <f t="shared" si="3"/>
        <v>5968000</v>
      </c>
      <c r="D87" s="147"/>
      <c r="E87" s="100">
        <f>E85</f>
        <v>0.0401</v>
      </c>
      <c r="F87" s="141">
        <f>((C86+D86)*E87/360*B86)+((C87+D87)*E87/360*B87)</f>
        <v>90740.95333333332</v>
      </c>
      <c r="G87" s="148">
        <f>SUM(F81:F87)</f>
        <v>541454.26</v>
      </c>
      <c r="H87" s="148">
        <f>SUM(D80:D87)</f>
        <v>11936000</v>
      </c>
      <c r="I87" s="149">
        <f>SUM(G87:H87)</f>
        <v>12477454.26</v>
      </c>
      <c r="K87" s="322"/>
      <c r="L87" s="323"/>
    </row>
    <row r="88" spans="1:12" ht="12.75">
      <c r="A88" s="103">
        <v>40630</v>
      </c>
      <c r="B88" s="85">
        <f t="shared" si="2"/>
        <v>87</v>
      </c>
      <c r="C88" s="142">
        <f t="shared" si="3"/>
        <v>2984000</v>
      </c>
      <c r="D88" s="141">
        <f>D16</f>
        <v>2984000</v>
      </c>
      <c r="E88" s="53"/>
      <c r="F88" s="142"/>
      <c r="G88" s="143"/>
      <c r="H88" s="143"/>
      <c r="I88" s="144"/>
      <c r="K88" s="318"/>
      <c r="L88" s="319"/>
    </row>
    <row r="89" spans="1:12" ht="12.75">
      <c r="A89" s="84">
        <v>40633</v>
      </c>
      <c r="B89" s="91">
        <f t="shared" si="2"/>
        <v>3</v>
      </c>
      <c r="C89" s="141">
        <f t="shared" si="3"/>
        <v>2984000</v>
      </c>
      <c r="D89" s="141"/>
      <c r="E89" s="53">
        <f>E87</f>
        <v>0.0401</v>
      </c>
      <c r="F89" s="141">
        <f>((C88+D88)*E89/360*B88)+((C89+D89)*E89/360*B89)</f>
        <v>58832.04666666667</v>
      </c>
      <c r="G89" s="151"/>
      <c r="H89" s="151"/>
      <c r="I89" s="152"/>
      <c r="K89" s="322"/>
      <c r="L89" s="323"/>
    </row>
    <row r="90" spans="1:12" ht="13.5" thickBot="1">
      <c r="A90" s="84">
        <v>40722</v>
      </c>
      <c r="B90" s="91">
        <f t="shared" si="2"/>
        <v>89</v>
      </c>
      <c r="C90" s="141">
        <f t="shared" si="3"/>
        <v>0</v>
      </c>
      <c r="D90" s="141">
        <f>D16</f>
        <v>2984000</v>
      </c>
      <c r="E90" s="53">
        <f>E89</f>
        <v>0.0401</v>
      </c>
      <c r="F90" s="141">
        <f>((C90+D90)*E90/360*B90)</f>
        <v>29582.21555555556</v>
      </c>
      <c r="G90" s="151">
        <f>SUM(F88:F90)</f>
        <v>88414.26222222223</v>
      </c>
      <c r="H90" s="151">
        <f>SUM(D88:D90)</f>
        <v>5968000</v>
      </c>
      <c r="I90" s="152">
        <f>SUM(G90:H90)</f>
        <v>6056414.262222222</v>
      </c>
      <c r="K90" s="322"/>
      <c r="L90" s="323"/>
    </row>
    <row r="91" spans="1:12" ht="13.5" thickTop="1">
      <c r="A91" s="160" t="s">
        <v>14</v>
      </c>
      <c r="B91" s="161"/>
      <c r="C91" s="162"/>
      <c r="D91" s="163">
        <f>SUM(D8:D90)</f>
        <v>107411000</v>
      </c>
      <c r="E91" s="163"/>
      <c r="F91" s="163">
        <f>SUM(F8:F90)</f>
        <v>22701247.897777773</v>
      </c>
      <c r="G91" s="163">
        <f>SUM(G8:G90)</f>
        <v>22701247.897777777</v>
      </c>
      <c r="H91" s="163">
        <f>SUM(H8:H90)</f>
        <v>107411000</v>
      </c>
      <c r="I91" s="164">
        <f>SUM(I8:I90)</f>
        <v>130112247.89777778</v>
      </c>
      <c r="K91" s="327">
        <f>SUM(K8:K90)</f>
        <v>14120744</v>
      </c>
      <c r="L91" s="164">
        <f>SUM(L8:L90)</f>
        <v>3202328</v>
      </c>
    </row>
    <row r="93" ht="12.75">
      <c r="A93" s="165" t="s">
        <v>90</v>
      </c>
    </row>
    <row r="95" spans="3:12" ht="12.75">
      <c r="C95" s="124"/>
      <c r="D95" s="124"/>
      <c r="F95" s="124"/>
      <c r="K95" s="124"/>
      <c r="L95" s="124"/>
    </row>
    <row r="96" spans="3:12" ht="12.75">
      <c r="C96" s="124"/>
      <c r="D96" s="124"/>
      <c r="F96" s="124"/>
      <c r="K96" s="124"/>
      <c r="L96" s="124"/>
    </row>
    <row r="97" spans="3:4" ht="12.75">
      <c r="C97" s="124"/>
      <c r="D97" s="124"/>
    </row>
    <row r="98" spans="3:4" ht="12.75">
      <c r="C98" s="124"/>
      <c r="D98" s="124"/>
    </row>
    <row r="99" spans="3:12" ht="12.75">
      <c r="C99" s="124"/>
      <c r="D99" s="124"/>
      <c r="F99" s="124"/>
      <c r="K99" s="124"/>
      <c r="L99" s="124"/>
    </row>
  </sheetData>
  <printOptions horizontalCentered="1"/>
  <pageMargins left="0.5905511811023623" right="0.3937007874015748" top="0.7874015748031497" bottom="0.5905511811023623" header="0.1968503937007874" footer="0.1968503937007874"/>
  <pageSetup blackAndWhite="1"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69 db bérlakás építésére 2001. decemberben felvett 107.411 eFt hitel </oddHeader>
    <oddFooter>&amp;L&amp;9Nyomtatás dátuma: &amp;D
C:\Andi\adósságszolgálat\&amp;F\&amp;A&amp;R&amp;P/&amp;N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pane ySplit="7" topLeftCell="BM40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0.50390625" style="58" customWidth="1"/>
    <col min="2" max="2" width="6.125" style="58" customWidth="1"/>
    <col min="3" max="3" width="11.50390625" style="58" customWidth="1"/>
    <col min="4" max="4" width="13.00390625" style="58" customWidth="1"/>
    <col min="5" max="5" width="6.50390625" style="125" customWidth="1"/>
    <col min="6" max="6" width="11.50390625" style="58" customWidth="1"/>
    <col min="7" max="7" width="11.125" style="58" customWidth="1"/>
    <col min="8" max="9" width="12.625" style="58" customWidth="1"/>
    <col min="10" max="10" width="1.875" style="58" customWidth="1"/>
    <col min="11" max="12" width="11.50390625" style="58" customWidth="1"/>
    <col min="13" max="16384" width="9.375" style="58" customWidth="1"/>
  </cols>
  <sheetData>
    <row r="1" spans="1:12" ht="12.75">
      <c r="A1" s="166" t="s">
        <v>85</v>
      </c>
      <c r="B1" s="165"/>
      <c r="C1" s="166"/>
      <c r="D1" s="166"/>
      <c r="E1" s="167"/>
      <c r="F1" s="166"/>
      <c r="H1" s="166"/>
      <c r="I1" s="166"/>
      <c r="K1" s="166"/>
      <c r="L1" s="166"/>
    </row>
    <row r="2" spans="1:12" ht="12.75">
      <c r="A2" s="58" t="s">
        <v>40</v>
      </c>
      <c r="B2" s="136"/>
      <c r="C2" s="135"/>
      <c r="D2" s="135"/>
      <c r="E2" s="168"/>
      <c r="F2" s="135"/>
      <c r="G2" s="135"/>
      <c r="H2" s="135"/>
      <c r="I2" s="135"/>
      <c r="K2" s="135"/>
      <c r="L2" s="135"/>
    </row>
    <row r="3" spans="1:12" ht="12.75">
      <c r="A3" s="138" t="s">
        <v>43</v>
      </c>
      <c r="B3" s="136"/>
      <c r="C3" s="135"/>
      <c r="D3" s="135"/>
      <c r="E3" s="168"/>
      <c r="F3" s="135"/>
      <c r="G3" s="135"/>
      <c r="H3" s="135"/>
      <c r="I3" s="135"/>
      <c r="K3" s="135"/>
      <c r="L3" s="135"/>
    </row>
    <row r="4" spans="1:12" ht="12.75">
      <c r="A4" s="137" t="s">
        <v>61</v>
      </c>
      <c r="B4" s="136"/>
      <c r="C4" s="135"/>
      <c r="D4" s="135"/>
      <c r="E4" s="168"/>
      <c r="F4" s="135"/>
      <c r="G4" s="135"/>
      <c r="H4" s="135"/>
      <c r="I4" s="135"/>
      <c r="K4" s="135"/>
      <c r="L4" s="135"/>
    </row>
    <row r="5" spans="1:12" ht="12.75">
      <c r="A5" s="66" t="s">
        <v>3</v>
      </c>
      <c r="B5" s="67" t="s">
        <v>4</v>
      </c>
      <c r="C5" s="68" t="s">
        <v>5</v>
      </c>
      <c r="D5" s="68" t="s">
        <v>33</v>
      </c>
      <c r="E5" s="169" t="s">
        <v>20</v>
      </c>
      <c r="F5" s="68" t="s">
        <v>20</v>
      </c>
      <c r="G5" s="70" t="s">
        <v>6</v>
      </c>
      <c r="H5" s="70" t="s">
        <v>6</v>
      </c>
      <c r="I5" s="71" t="s">
        <v>6</v>
      </c>
      <c r="K5" s="314" t="s">
        <v>130</v>
      </c>
      <c r="L5" s="315"/>
    </row>
    <row r="6" spans="1:12" ht="12.75">
      <c r="A6" s="72"/>
      <c r="B6" s="73" t="s">
        <v>7</v>
      </c>
      <c r="C6" s="74" t="s">
        <v>8</v>
      </c>
      <c r="D6" s="74"/>
      <c r="E6" s="170" t="s">
        <v>92</v>
      </c>
      <c r="F6" s="355" t="s">
        <v>13</v>
      </c>
      <c r="G6" s="76" t="s">
        <v>9</v>
      </c>
      <c r="H6" s="76" t="s">
        <v>11</v>
      </c>
      <c r="I6" s="77" t="s">
        <v>10</v>
      </c>
      <c r="K6" s="316" t="s">
        <v>131</v>
      </c>
      <c r="L6" s="317" t="s">
        <v>128</v>
      </c>
    </row>
    <row r="7" spans="1:12" ht="12.75">
      <c r="A7" s="78"/>
      <c r="B7" s="79"/>
      <c r="C7" s="80"/>
      <c r="D7" s="80"/>
      <c r="E7" s="172" t="s">
        <v>41</v>
      </c>
      <c r="F7" s="356" t="s">
        <v>134</v>
      </c>
      <c r="G7" s="82"/>
      <c r="H7" s="82" t="s">
        <v>13</v>
      </c>
      <c r="I7" s="83" t="s">
        <v>12</v>
      </c>
      <c r="K7" s="328" t="s">
        <v>132</v>
      </c>
      <c r="L7" s="329" t="s">
        <v>129</v>
      </c>
    </row>
    <row r="8" spans="1:12" ht="12.75">
      <c r="A8" s="84">
        <v>37586</v>
      </c>
      <c r="B8" s="104"/>
      <c r="C8" s="141">
        <v>124412000</v>
      </c>
      <c r="D8" s="141"/>
      <c r="E8" s="173"/>
      <c r="F8" s="141"/>
      <c r="G8" s="151"/>
      <c r="H8" s="151"/>
      <c r="I8" s="152"/>
      <c r="K8" s="322"/>
      <c r="L8" s="323"/>
    </row>
    <row r="9" spans="1:12" ht="12.75">
      <c r="A9" s="145">
        <v>37621</v>
      </c>
      <c r="B9" s="108">
        <f>A9-A8</f>
        <v>35</v>
      </c>
      <c r="C9" s="174">
        <f>C8-D9</f>
        <v>124412000</v>
      </c>
      <c r="D9" s="146"/>
      <c r="E9" s="175">
        <v>0.0422</v>
      </c>
      <c r="F9" s="174">
        <v>399224</v>
      </c>
      <c r="G9" s="153">
        <f>SUM(F8:F9)</f>
        <v>399224</v>
      </c>
      <c r="H9" s="153">
        <f>SUM(D8:D9)</f>
        <v>0</v>
      </c>
      <c r="I9" s="154">
        <f>SUM(G9:H9)</f>
        <v>399224</v>
      </c>
      <c r="K9" s="330">
        <v>399224</v>
      </c>
      <c r="L9" s="331">
        <v>0</v>
      </c>
    </row>
    <row r="10" spans="1:12" ht="12.75">
      <c r="A10" s="103">
        <v>37711</v>
      </c>
      <c r="B10" s="176">
        <f aca="true" t="shared" si="0" ref="B10:B24">A10-A9</f>
        <v>90</v>
      </c>
      <c r="C10" s="42">
        <f aca="true" t="shared" si="1" ref="C10:C81">C9-D10</f>
        <v>124412000</v>
      </c>
      <c r="D10" s="142"/>
      <c r="E10" s="177">
        <v>0.0369</v>
      </c>
      <c r="F10" s="42">
        <v>1005456</v>
      </c>
      <c r="G10" s="143"/>
      <c r="H10" s="143"/>
      <c r="I10" s="144"/>
      <c r="K10" s="318">
        <v>694426</v>
      </c>
      <c r="L10" s="106">
        <v>311030</v>
      </c>
    </row>
    <row r="11" spans="1:12" ht="12.75">
      <c r="A11" s="84">
        <v>37802</v>
      </c>
      <c r="B11" s="108">
        <f t="shared" si="0"/>
        <v>91</v>
      </c>
      <c r="C11" s="86">
        <f t="shared" si="1"/>
        <v>124412000</v>
      </c>
      <c r="D11" s="141"/>
      <c r="E11" s="173">
        <v>0.0356</v>
      </c>
      <c r="F11" s="86">
        <f>617809+314486</f>
        <v>932295</v>
      </c>
      <c r="G11" s="151"/>
      <c r="H11" s="151"/>
      <c r="I11" s="152"/>
      <c r="K11" s="322">
        <v>617809</v>
      </c>
      <c r="L11" s="332">
        <v>314486</v>
      </c>
    </row>
    <row r="12" spans="1:12" ht="12.75">
      <c r="A12" s="84">
        <v>37892</v>
      </c>
      <c r="B12" s="108">
        <f t="shared" si="0"/>
        <v>90</v>
      </c>
      <c r="C12" s="86">
        <f t="shared" si="1"/>
        <v>121442000</v>
      </c>
      <c r="D12" s="141">
        <v>2970000</v>
      </c>
      <c r="E12" s="173"/>
      <c r="F12" s="86"/>
      <c r="G12" s="151"/>
      <c r="H12" s="151"/>
      <c r="I12" s="152"/>
      <c r="K12" s="322"/>
      <c r="L12" s="332"/>
    </row>
    <row r="13" spans="1:12" ht="12.75">
      <c r="A13" s="84">
        <v>37894</v>
      </c>
      <c r="B13" s="108">
        <f t="shared" si="0"/>
        <v>2</v>
      </c>
      <c r="C13" s="86">
        <f t="shared" si="1"/>
        <v>121442000</v>
      </c>
      <c r="D13" s="141"/>
      <c r="E13" s="173">
        <v>0.0584</v>
      </c>
      <c r="F13" s="86">
        <v>1847937</v>
      </c>
      <c r="G13" s="151"/>
      <c r="H13" s="151"/>
      <c r="I13" s="152"/>
      <c r="K13" s="322">
        <v>1530160</v>
      </c>
      <c r="L13" s="332">
        <v>317777</v>
      </c>
    </row>
    <row r="14" spans="1:12" ht="12.75">
      <c r="A14" s="84">
        <v>37983</v>
      </c>
      <c r="B14" s="108">
        <f t="shared" si="0"/>
        <v>89</v>
      </c>
      <c r="C14" s="86">
        <f t="shared" si="1"/>
        <v>118480000</v>
      </c>
      <c r="D14" s="141">
        <v>2962000</v>
      </c>
      <c r="E14" s="173"/>
      <c r="F14" s="86"/>
      <c r="G14" s="151"/>
      <c r="H14" s="151"/>
      <c r="I14" s="152"/>
      <c r="K14" s="322"/>
      <c r="L14" s="332"/>
    </row>
    <row r="15" spans="1:12" ht="12.75">
      <c r="A15" s="145">
        <v>37986</v>
      </c>
      <c r="B15" s="98">
        <f t="shared" si="0"/>
        <v>3</v>
      </c>
      <c r="C15" s="178">
        <f t="shared" si="1"/>
        <v>118480000</v>
      </c>
      <c r="D15" s="146"/>
      <c r="E15" s="175">
        <v>0.057</v>
      </c>
      <c r="F15" s="86">
        <f>1489338+310105</f>
        <v>1799443</v>
      </c>
      <c r="G15" s="153">
        <f>SUM(F10:F15)</f>
        <v>5585131</v>
      </c>
      <c r="H15" s="153">
        <f>SUM(D10:D15)</f>
        <v>5932000</v>
      </c>
      <c r="I15" s="154">
        <f>SUM(G15:H15)</f>
        <v>11517131</v>
      </c>
      <c r="K15" s="322">
        <v>1489338</v>
      </c>
      <c r="L15" s="332">
        <v>310105</v>
      </c>
    </row>
    <row r="16" spans="1:12" ht="12.75">
      <c r="A16" s="103">
        <v>38074</v>
      </c>
      <c r="B16" s="112">
        <f t="shared" si="0"/>
        <v>88</v>
      </c>
      <c r="C16" s="141">
        <f t="shared" si="1"/>
        <v>115518000</v>
      </c>
      <c r="D16" s="141">
        <f>D14</f>
        <v>2962000</v>
      </c>
      <c r="E16" s="173"/>
      <c r="F16" s="42"/>
      <c r="G16" s="143"/>
      <c r="H16" s="143"/>
      <c r="I16" s="144"/>
      <c r="K16" s="318"/>
      <c r="L16" s="106"/>
    </row>
    <row r="17" spans="1:12" ht="12.75">
      <c r="A17" s="84">
        <v>38077</v>
      </c>
      <c r="B17" s="108">
        <f t="shared" si="0"/>
        <v>3</v>
      </c>
      <c r="C17" s="141">
        <f t="shared" si="1"/>
        <v>115518000</v>
      </c>
      <c r="D17" s="141"/>
      <c r="E17" s="173">
        <v>0.06</v>
      </c>
      <c r="F17" s="86">
        <v>1794972</v>
      </c>
      <c r="G17" s="151"/>
      <c r="H17" s="151"/>
      <c r="I17" s="152"/>
      <c r="K17" s="322">
        <v>1495645</v>
      </c>
      <c r="L17" s="332">
        <v>299327</v>
      </c>
    </row>
    <row r="18" spans="1:12" ht="12.75">
      <c r="A18" s="84">
        <v>38166</v>
      </c>
      <c r="B18" s="108">
        <f>A18-A17</f>
        <v>89</v>
      </c>
      <c r="C18" s="141">
        <f t="shared" si="1"/>
        <v>112556000</v>
      </c>
      <c r="D18" s="141">
        <f>D16</f>
        <v>2962000</v>
      </c>
      <c r="E18" s="173"/>
      <c r="F18" s="86"/>
      <c r="G18" s="151"/>
      <c r="H18" s="151"/>
      <c r="I18" s="152"/>
      <c r="K18" s="322"/>
      <c r="L18" s="332"/>
    </row>
    <row r="19" spans="1:12" ht="12.75">
      <c r="A19" s="84">
        <v>38168</v>
      </c>
      <c r="B19" s="108">
        <f t="shared" si="0"/>
        <v>2</v>
      </c>
      <c r="C19" s="141">
        <f t="shared" si="1"/>
        <v>112556000</v>
      </c>
      <c r="D19" s="141"/>
      <c r="E19" s="173">
        <v>0.06</v>
      </c>
      <c r="F19" s="86">
        <f>((C18+D18)*E19/360*B18)+((C19+D19)*E19/360*B19)-1</f>
        <v>1751034.6666666667</v>
      </c>
      <c r="G19" s="151"/>
      <c r="H19" s="151"/>
      <c r="I19" s="152"/>
      <c r="K19" s="322">
        <v>1459196</v>
      </c>
      <c r="L19" s="332">
        <v>291839</v>
      </c>
    </row>
    <row r="20" spans="1:12" ht="12.75">
      <c r="A20" s="84">
        <v>38258</v>
      </c>
      <c r="B20" s="108">
        <f t="shared" si="0"/>
        <v>90</v>
      </c>
      <c r="C20" s="141">
        <f t="shared" si="1"/>
        <v>109594000</v>
      </c>
      <c r="D20" s="141">
        <f>D18</f>
        <v>2962000</v>
      </c>
      <c r="E20" s="173"/>
      <c r="F20" s="86"/>
      <c r="G20" s="151"/>
      <c r="H20" s="151"/>
      <c r="I20" s="152"/>
      <c r="K20" s="322"/>
      <c r="L20" s="332"/>
    </row>
    <row r="21" spans="1:12" ht="12.75">
      <c r="A21" s="84">
        <v>38260</v>
      </c>
      <c r="B21" s="108">
        <f t="shared" si="0"/>
        <v>2</v>
      </c>
      <c r="C21" s="141">
        <f t="shared" si="1"/>
        <v>109594000</v>
      </c>
      <c r="D21" s="141"/>
      <c r="E21" s="173">
        <f>E19</f>
        <v>0.06</v>
      </c>
      <c r="F21" s="86">
        <f>((C20+D20)*E21/360*B20)+((C21+D21)*E21/360*B21)+1</f>
        <v>1724872.3333333333</v>
      </c>
      <c r="G21" s="151"/>
      <c r="H21" s="151"/>
      <c r="I21" s="152"/>
      <c r="K21" s="322">
        <v>1437393</v>
      </c>
      <c r="L21" s="332">
        <v>287479</v>
      </c>
    </row>
    <row r="22" spans="1:12" ht="12.75">
      <c r="A22" s="84">
        <v>38349</v>
      </c>
      <c r="B22" s="108">
        <f t="shared" si="0"/>
        <v>89</v>
      </c>
      <c r="C22" s="141">
        <f t="shared" si="1"/>
        <v>106632000</v>
      </c>
      <c r="D22" s="141">
        <f>D20</f>
        <v>2962000</v>
      </c>
      <c r="E22" s="173"/>
      <c r="F22" s="86"/>
      <c r="G22" s="151"/>
      <c r="H22" s="151"/>
      <c r="I22" s="152"/>
      <c r="K22" s="322"/>
      <c r="L22" s="332"/>
    </row>
    <row r="23" spans="1:12" ht="12.75">
      <c r="A23" s="145">
        <v>38352</v>
      </c>
      <c r="B23" s="108">
        <f t="shared" si="0"/>
        <v>3</v>
      </c>
      <c r="C23" s="174">
        <f t="shared" si="1"/>
        <v>106632000</v>
      </c>
      <c r="D23" s="146"/>
      <c r="E23" s="175">
        <v>0.0408</v>
      </c>
      <c r="F23" s="99">
        <v>1147538</v>
      </c>
      <c r="G23" s="153">
        <f>SUM(F16:F23)</f>
        <v>6418417</v>
      </c>
      <c r="H23" s="153">
        <f>SUM(D16:D23)</f>
        <v>11848000</v>
      </c>
      <c r="I23" s="154">
        <f>SUM(G23:H23)</f>
        <v>18266417</v>
      </c>
      <c r="K23" s="320">
        <v>867711</v>
      </c>
      <c r="L23" s="324">
        <v>279827</v>
      </c>
    </row>
    <row r="24" spans="1:12" ht="12.75">
      <c r="A24" s="103">
        <v>38440</v>
      </c>
      <c r="B24" s="176">
        <f t="shared" si="0"/>
        <v>88</v>
      </c>
      <c r="C24" s="42">
        <f t="shared" si="1"/>
        <v>103670000</v>
      </c>
      <c r="D24" s="141">
        <f>D22</f>
        <v>2962000</v>
      </c>
      <c r="E24" s="173"/>
      <c r="F24" s="141"/>
      <c r="G24" s="143"/>
      <c r="H24" s="143"/>
      <c r="I24" s="144"/>
      <c r="K24" s="322"/>
      <c r="L24" s="323"/>
    </row>
    <row r="25" spans="1:12" ht="12.75">
      <c r="A25" s="84">
        <v>38442</v>
      </c>
      <c r="B25" s="108">
        <f aca="true" t="shared" si="2" ref="B25:B80">A25-A24</f>
        <v>2</v>
      </c>
      <c r="C25" s="86">
        <f t="shared" si="1"/>
        <v>103670000</v>
      </c>
      <c r="D25" s="141"/>
      <c r="E25" s="173">
        <v>0.0244</v>
      </c>
      <c r="F25" s="86">
        <v>654911</v>
      </c>
      <c r="G25" s="151"/>
      <c r="H25" s="151"/>
      <c r="I25" s="152"/>
      <c r="K25" s="322">
        <v>388496</v>
      </c>
      <c r="L25" s="332">
        <v>266415</v>
      </c>
    </row>
    <row r="26" spans="1:12" ht="12.75">
      <c r="A26" s="84">
        <v>38473</v>
      </c>
      <c r="B26" s="108">
        <f>A26-A25</f>
        <v>31</v>
      </c>
      <c r="C26" s="86">
        <f>C25-D26</f>
        <v>103670000</v>
      </c>
      <c r="D26" s="141"/>
      <c r="E26" s="173">
        <v>0.0249</v>
      </c>
      <c r="F26" s="141"/>
      <c r="G26" s="151"/>
      <c r="H26" s="151"/>
      <c r="I26" s="152"/>
      <c r="K26" s="322"/>
      <c r="L26" s="323"/>
    </row>
    <row r="27" spans="1:12" ht="12.75">
      <c r="A27" s="84">
        <v>38531</v>
      </c>
      <c r="B27" s="108">
        <f>A27-A25</f>
        <v>89</v>
      </c>
      <c r="C27" s="86">
        <f>C25-D27</f>
        <v>100708000</v>
      </c>
      <c r="D27" s="141">
        <f>D24</f>
        <v>2962000</v>
      </c>
      <c r="E27" s="173"/>
      <c r="F27" s="141"/>
      <c r="G27" s="151"/>
      <c r="H27" s="151"/>
      <c r="I27" s="152"/>
      <c r="K27" s="322"/>
      <c r="L27" s="323"/>
    </row>
    <row r="28" spans="1:12" ht="12.75">
      <c r="A28" s="84">
        <v>38533</v>
      </c>
      <c r="B28" s="108">
        <f t="shared" si="2"/>
        <v>2</v>
      </c>
      <c r="C28" s="86">
        <f t="shared" si="1"/>
        <v>100708000</v>
      </c>
      <c r="D28" s="141"/>
      <c r="E28" s="173">
        <v>0.031</v>
      </c>
      <c r="F28" s="86">
        <f>SUM(K28:L28)</f>
        <v>859397</v>
      </c>
      <c r="G28" s="151"/>
      <c r="H28" s="151"/>
      <c r="I28" s="152"/>
      <c r="K28" s="322">
        <v>597507</v>
      </c>
      <c r="L28" s="332">
        <v>261890</v>
      </c>
    </row>
    <row r="29" spans="1:12" ht="12.75">
      <c r="A29" s="84">
        <v>38623</v>
      </c>
      <c r="B29" s="108">
        <f t="shared" si="2"/>
        <v>90</v>
      </c>
      <c r="C29" s="86">
        <f t="shared" si="1"/>
        <v>97746000</v>
      </c>
      <c r="D29" s="141">
        <f>D27</f>
        <v>2962000</v>
      </c>
      <c r="E29" s="173"/>
      <c r="F29" s="141"/>
      <c r="G29" s="151"/>
      <c r="H29" s="151"/>
      <c r="I29" s="152"/>
      <c r="K29" s="322"/>
      <c r="L29" s="323"/>
    </row>
    <row r="30" spans="1:12" ht="12.75">
      <c r="A30" s="84">
        <v>38625</v>
      </c>
      <c r="B30" s="108">
        <f t="shared" si="2"/>
        <v>2</v>
      </c>
      <c r="C30" s="86">
        <f>C29-D30</f>
        <v>97746000</v>
      </c>
      <c r="D30" s="141"/>
      <c r="E30" s="173">
        <v>0.038</v>
      </c>
      <c r="F30" s="86">
        <f>SUM(K30:L30)</f>
        <v>857462</v>
      </c>
      <c r="G30" s="151"/>
      <c r="H30" s="151"/>
      <c r="I30" s="152"/>
      <c r="K30" s="322">
        <v>600262</v>
      </c>
      <c r="L30" s="332">
        <v>257200</v>
      </c>
    </row>
    <row r="31" spans="1:12" ht="12.75">
      <c r="A31" s="84">
        <v>38657</v>
      </c>
      <c r="B31" s="91">
        <f t="shared" si="2"/>
        <v>32</v>
      </c>
      <c r="C31" s="41">
        <f t="shared" si="1"/>
        <v>97746000</v>
      </c>
      <c r="D31" s="157"/>
      <c r="E31" s="179">
        <v>0.0288</v>
      </c>
      <c r="F31" s="141"/>
      <c r="G31" s="151"/>
      <c r="H31" s="151"/>
      <c r="I31" s="152"/>
      <c r="K31" s="322"/>
      <c r="L31" s="323"/>
    </row>
    <row r="32" spans="1:12" ht="12.75">
      <c r="A32" s="84">
        <v>38714</v>
      </c>
      <c r="B32" s="91">
        <f t="shared" si="2"/>
        <v>57</v>
      </c>
      <c r="C32" s="41">
        <f t="shared" si="1"/>
        <v>94784000</v>
      </c>
      <c r="D32" s="157">
        <f>D29</f>
        <v>2962000</v>
      </c>
      <c r="E32" s="179"/>
      <c r="F32" s="141"/>
      <c r="G32" s="151"/>
      <c r="H32" s="151"/>
      <c r="I32" s="152"/>
      <c r="K32" s="322"/>
      <c r="L32" s="323"/>
    </row>
    <row r="33" spans="1:12" ht="12.75">
      <c r="A33" s="145">
        <v>38716</v>
      </c>
      <c r="B33" s="98">
        <f t="shared" si="2"/>
        <v>2</v>
      </c>
      <c r="C33" s="99">
        <f t="shared" si="1"/>
        <v>94784000</v>
      </c>
      <c r="D33" s="147"/>
      <c r="E33" s="180">
        <v>0.0343</v>
      </c>
      <c r="F33" s="86">
        <f>SUM(K33:L33)</f>
        <v>805135</v>
      </c>
      <c r="G33" s="153">
        <f>SUM(F24:F33)</f>
        <v>3176905</v>
      </c>
      <c r="H33" s="153">
        <f>SUM(D24:D33)</f>
        <v>11848000</v>
      </c>
      <c r="I33" s="154">
        <f>SUM(G33:H33)</f>
        <v>15024905</v>
      </c>
      <c r="K33" s="322">
        <v>558219</v>
      </c>
      <c r="L33" s="332">
        <v>246916</v>
      </c>
    </row>
    <row r="34" spans="1:12" ht="12.75">
      <c r="A34" s="103">
        <v>38804</v>
      </c>
      <c r="B34" s="176">
        <f t="shared" si="2"/>
        <v>88</v>
      </c>
      <c r="C34" s="141">
        <f t="shared" si="1"/>
        <v>91822000</v>
      </c>
      <c r="D34" s="141">
        <f>D32</f>
        <v>2962000</v>
      </c>
      <c r="E34" s="173"/>
      <c r="F34" s="42"/>
      <c r="G34" s="143"/>
      <c r="H34" s="143"/>
      <c r="I34" s="144"/>
      <c r="K34" s="318"/>
      <c r="L34" s="106"/>
    </row>
    <row r="35" spans="1:12" ht="12.75">
      <c r="A35" s="84">
        <v>38807</v>
      </c>
      <c r="B35" s="108">
        <f t="shared" si="2"/>
        <v>3</v>
      </c>
      <c r="C35" s="141">
        <f t="shared" si="1"/>
        <v>91822000</v>
      </c>
      <c r="D35" s="141"/>
      <c r="E35" s="173">
        <v>0.037</v>
      </c>
      <c r="F35" s="86">
        <f>SUM(K35:L35)</f>
        <v>883448</v>
      </c>
      <c r="G35" s="151"/>
      <c r="H35" s="151"/>
      <c r="I35" s="152"/>
      <c r="K35" s="322">
        <v>644102</v>
      </c>
      <c r="L35" s="332">
        <v>239346</v>
      </c>
    </row>
    <row r="36" spans="1:12" ht="12.75">
      <c r="A36" s="84">
        <v>38896</v>
      </c>
      <c r="B36" s="108">
        <f t="shared" si="2"/>
        <v>89</v>
      </c>
      <c r="C36" s="141">
        <f t="shared" si="1"/>
        <v>88860000</v>
      </c>
      <c r="D36" s="141">
        <f>D34</f>
        <v>2962000</v>
      </c>
      <c r="E36" s="173"/>
      <c r="F36" s="86"/>
      <c r="G36" s="151"/>
      <c r="H36" s="151"/>
      <c r="I36" s="152"/>
      <c r="K36" s="322"/>
      <c r="L36" s="332"/>
    </row>
    <row r="37" spans="1:12" ht="12.75">
      <c r="A37" s="84">
        <v>38898</v>
      </c>
      <c r="B37" s="108">
        <f t="shared" si="2"/>
        <v>2</v>
      </c>
      <c r="C37" s="141">
        <f t="shared" si="1"/>
        <v>88860000</v>
      </c>
      <c r="D37" s="141"/>
      <c r="E37" s="173">
        <v>0.0416</v>
      </c>
      <c r="F37" s="86">
        <f>SUM(K37:L37)</f>
        <v>963701</v>
      </c>
      <c r="G37" s="151"/>
      <c r="H37" s="151"/>
      <c r="I37" s="152"/>
      <c r="K37" s="322">
        <v>731760</v>
      </c>
      <c r="L37" s="332">
        <v>231941</v>
      </c>
    </row>
    <row r="38" spans="1:12" ht="12.75">
      <c r="A38" s="84">
        <v>38929</v>
      </c>
      <c r="B38" s="108">
        <f>A38-A37</f>
        <v>31</v>
      </c>
      <c r="C38" s="141">
        <f>C37-D38</f>
        <v>88860000</v>
      </c>
      <c r="D38" s="141"/>
      <c r="E38" s="173">
        <v>0.0422</v>
      </c>
      <c r="F38" s="86"/>
      <c r="G38" s="151"/>
      <c r="H38" s="151"/>
      <c r="I38" s="152"/>
      <c r="K38" s="322"/>
      <c r="L38" s="332"/>
    </row>
    <row r="39" spans="1:12" ht="12.75">
      <c r="A39" s="84">
        <v>38960</v>
      </c>
      <c r="B39" s="108">
        <f>A39-A38</f>
        <v>31</v>
      </c>
      <c r="C39" s="141">
        <f>C38-D39</f>
        <v>88860000</v>
      </c>
      <c r="D39" s="141"/>
      <c r="E39" s="173">
        <v>0.0409</v>
      </c>
      <c r="F39" s="86"/>
      <c r="G39" s="151"/>
      <c r="H39" s="151"/>
      <c r="I39" s="152"/>
      <c r="K39" s="322"/>
      <c r="L39" s="332"/>
    </row>
    <row r="40" spans="1:12" ht="12.75">
      <c r="A40" s="84">
        <v>38988</v>
      </c>
      <c r="B40" s="108">
        <f>A40-A39</f>
        <v>28</v>
      </c>
      <c r="C40" s="141">
        <f>C39-D40</f>
        <v>85898000</v>
      </c>
      <c r="D40" s="141">
        <f>D36</f>
        <v>2962000</v>
      </c>
      <c r="E40" s="173"/>
      <c r="F40" s="86"/>
      <c r="G40" s="151"/>
      <c r="H40" s="151"/>
      <c r="I40" s="152"/>
      <c r="K40" s="322"/>
      <c r="L40" s="332"/>
    </row>
    <row r="41" spans="1:12" ht="12.75">
      <c r="A41" s="84">
        <v>38989</v>
      </c>
      <c r="B41" s="108">
        <f t="shared" si="2"/>
        <v>1</v>
      </c>
      <c r="C41" s="141">
        <f t="shared" si="1"/>
        <v>85898000</v>
      </c>
      <c r="D41" s="141"/>
      <c r="E41" s="173">
        <v>0.0383</v>
      </c>
      <c r="F41" s="86">
        <f>SUM(K41:L41)</f>
        <v>889909</v>
      </c>
      <c r="G41" s="151"/>
      <c r="H41" s="151"/>
      <c r="I41" s="152"/>
      <c r="K41" s="322">
        <v>665373</v>
      </c>
      <c r="L41" s="332">
        <v>224536</v>
      </c>
    </row>
    <row r="42" spans="1:12" ht="12.75">
      <c r="A42" s="84">
        <v>38991</v>
      </c>
      <c r="B42" s="108">
        <f>A42-A41</f>
        <v>2</v>
      </c>
      <c r="C42" s="141">
        <f>C41-D42</f>
        <v>85898000</v>
      </c>
      <c r="D42" s="141"/>
      <c r="E42" s="173">
        <v>0.0383</v>
      </c>
      <c r="F42" s="86"/>
      <c r="G42" s="151"/>
      <c r="H42" s="151"/>
      <c r="I42" s="152"/>
      <c r="K42" s="322"/>
      <c r="L42" s="332"/>
    </row>
    <row r="43" spans="1:12" ht="12.75">
      <c r="A43" s="90">
        <v>39022</v>
      </c>
      <c r="B43" s="91">
        <f>A43-A42</f>
        <v>31</v>
      </c>
      <c r="C43" s="157">
        <f>C42-D43</f>
        <v>85898000</v>
      </c>
      <c r="D43" s="141"/>
      <c r="E43" s="173">
        <v>0.0482</v>
      </c>
      <c r="F43" s="86"/>
      <c r="G43" s="151"/>
      <c r="H43" s="151"/>
      <c r="I43" s="152"/>
      <c r="K43" s="322"/>
      <c r="L43" s="332"/>
    </row>
    <row r="44" spans="1:12" ht="12.75">
      <c r="A44" s="90">
        <v>39052</v>
      </c>
      <c r="B44" s="112">
        <f t="shared" si="2"/>
        <v>30</v>
      </c>
      <c r="C44" s="157">
        <f>C43-D44</f>
        <v>85898000</v>
      </c>
      <c r="D44" s="141"/>
      <c r="E44" s="173">
        <v>0.0456</v>
      </c>
      <c r="F44" s="86"/>
      <c r="G44" s="151"/>
      <c r="H44" s="151"/>
      <c r="I44" s="152"/>
      <c r="K44" s="322"/>
      <c r="L44" s="332"/>
    </row>
    <row r="45" spans="1:12" ht="12.75">
      <c r="A45" s="254">
        <v>39079</v>
      </c>
      <c r="B45" s="112">
        <f t="shared" si="2"/>
        <v>27</v>
      </c>
      <c r="C45" s="464">
        <f>C42-D45</f>
        <v>82936000</v>
      </c>
      <c r="D45" s="174">
        <f>D40</f>
        <v>2962000</v>
      </c>
      <c r="E45" s="241"/>
      <c r="F45" s="111"/>
      <c r="G45" s="235"/>
      <c r="H45" s="235"/>
      <c r="I45" s="236"/>
      <c r="K45" s="330"/>
      <c r="L45" s="113"/>
    </row>
    <row r="46" spans="1:12" ht="12.75">
      <c r="A46" s="97">
        <v>39080</v>
      </c>
      <c r="B46" s="98">
        <f t="shared" si="2"/>
        <v>1</v>
      </c>
      <c r="C46" s="147">
        <f>C45-D46</f>
        <v>82936000</v>
      </c>
      <c r="D46" s="147"/>
      <c r="E46" s="180">
        <v>0.0428</v>
      </c>
      <c r="F46" s="99">
        <f>SUM(K46:L46)</f>
        <v>984445</v>
      </c>
      <c r="G46" s="148">
        <f>SUM(F34:F46)</f>
        <v>3721503</v>
      </c>
      <c r="H46" s="148">
        <f>SUM(D34:D46)</f>
        <v>11848000</v>
      </c>
      <c r="I46" s="149">
        <f>SUM(G46:H46)</f>
        <v>15569503</v>
      </c>
      <c r="K46" s="320">
        <v>767396</v>
      </c>
      <c r="L46" s="324">
        <v>217049</v>
      </c>
    </row>
    <row r="47" spans="1:12" ht="12.75">
      <c r="A47" s="84">
        <v>39114</v>
      </c>
      <c r="B47" s="85">
        <f>A47-A46</f>
        <v>34</v>
      </c>
      <c r="C47" s="86">
        <f>C46-D47</f>
        <v>82936000</v>
      </c>
      <c r="D47" s="141"/>
      <c r="E47" s="173">
        <v>0.0414</v>
      </c>
      <c r="F47" s="141"/>
      <c r="G47" s="151"/>
      <c r="H47" s="151"/>
      <c r="I47" s="152"/>
      <c r="K47" s="322"/>
      <c r="L47" s="323"/>
    </row>
    <row r="48" spans="1:12" ht="12.75">
      <c r="A48" s="84">
        <v>39169</v>
      </c>
      <c r="B48" s="112">
        <f>A48-A47</f>
        <v>55</v>
      </c>
      <c r="C48" s="86">
        <f>C47-D48</f>
        <v>79974000</v>
      </c>
      <c r="D48" s="141">
        <f>D45</f>
        <v>2962000</v>
      </c>
      <c r="E48" s="173"/>
      <c r="F48" s="141"/>
      <c r="G48" s="151"/>
      <c r="H48" s="151"/>
      <c r="I48" s="152"/>
      <c r="K48" s="322"/>
      <c r="L48" s="323"/>
    </row>
    <row r="49" spans="1:12" ht="12.75">
      <c r="A49" s="84">
        <v>39172</v>
      </c>
      <c r="B49" s="108">
        <f t="shared" si="2"/>
        <v>3</v>
      </c>
      <c r="C49" s="86">
        <f>C48-D49</f>
        <v>79974000</v>
      </c>
      <c r="D49" s="141"/>
      <c r="E49" s="173">
        <v>0.0401</v>
      </c>
      <c r="F49" s="86">
        <f>((C47+D47)*E47/360*B47)+((C48+D48)*E49/360*B48)+((C49+D49)*E49/360*B49)</f>
        <v>859102.5938888888</v>
      </c>
      <c r="G49" s="151"/>
      <c r="H49" s="151"/>
      <c r="I49" s="152"/>
      <c r="K49" s="322"/>
      <c r="L49" s="332"/>
    </row>
    <row r="50" spans="1:12" ht="12.75">
      <c r="A50" s="84">
        <v>39261</v>
      </c>
      <c r="B50" s="108">
        <f t="shared" si="2"/>
        <v>89</v>
      </c>
      <c r="C50" s="86">
        <f t="shared" si="1"/>
        <v>77012000</v>
      </c>
      <c r="D50" s="141">
        <f>D48</f>
        <v>2962000</v>
      </c>
      <c r="E50" s="173"/>
      <c r="F50" s="141"/>
      <c r="G50" s="151"/>
      <c r="H50" s="151"/>
      <c r="I50" s="152"/>
      <c r="K50" s="322"/>
      <c r="L50" s="323"/>
    </row>
    <row r="51" spans="1:12" ht="12.75">
      <c r="A51" s="84">
        <v>39263</v>
      </c>
      <c r="B51" s="108">
        <f t="shared" si="2"/>
        <v>2</v>
      </c>
      <c r="C51" s="86">
        <f t="shared" si="1"/>
        <v>77012000</v>
      </c>
      <c r="D51" s="141"/>
      <c r="E51" s="173">
        <f>E49</f>
        <v>0.0401</v>
      </c>
      <c r="F51" s="86">
        <f>((C50+D50)*E51/360*B50)+((C51+D51)*E51/360*B51)</f>
        <v>809987.6972222222</v>
      </c>
      <c r="G51" s="151"/>
      <c r="H51" s="151"/>
      <c r="I51" s="152"/>
      <c r="K51" s="322"/>
      <c r="L51" s="332"/>
    </row>
    <row r="52" spans="1:12" ht="12.75">
      <c r="A52" s="84">
        <v>39353</v>
      </c>
      <c r="B52" s="108">
        <f t="shared" si="2"/>
        <v>90</v>
      </c>
      <c r="C52" s="86">
        <f t="shared" si="1"/>
        <v>74050000</v>
      </c>
      <c r="D52" s="141">
        <f>D50</f>
        <v>2962000</v>
      </c>
      <c r="E52" s="173"/>
      <c r="F52" s="141"/>
      <c r="G52" s="151"/>
      <c r="H52" s="151"/>
      <c r="I52" s="152"/>
      <c r="K52" s="322"/>
      <c r="L52" s="323"/>
    </row>
    <row r="53" spans="1:12" ht="12.75">
      <c r="A53" s="84">
        <v>39355</v>
      </c>
      <c r="B53" s="108">
        <f t="shared" si="2"/>
        <v>2</v>
      </c>
      <c r="C53" s="86">
        <f t="shared" si="1"/>
        <v>74050000</v>
      </c>
      <c r="D53" s="141"/>
      <c r="E53" s="173">
        <f>E51</f>
        <v>0.0401</v>
      </c>
      <c r="F53" s="86">
        <f>((C52+D52)*E53/360*B52)+((C53+D53)*E53/360*B53)</f>
        <v>788541.9944444443</v>
      </c>
      <c r="G53" s="151"/>
      <c r="H53" s="151"/>
      <c r="I53" s="152"/>
      <c r="K53" s="322"/>
      <c r="L53" s="332"/>
    </row>
    <row r="54" spans="1:12" ht="12.75">
      <c r="A54" s="84">
        <v>39444</v>
      </c>
      <c r="B54" s="108">
        <f t="shared" si="2"/>
        <v>89</v>
      </c>
      <c r="C54" s="86">
        <f t="shared" si="1"/>
        <v>71088000</v>
      </c>
      <c r="D54" s="141">
        <f>D52</f>
        <v>2962000</v>
      </c>
      <c r="E54" s="173"/>
      <c r="F54" s="141"/>
      <c r="G54" s="151"/>
      <c r="H54" s="151"/>
      <c r="I54" s="152"/>
      <c r="K54" s="322"/>
      <c r="L54" s="323"/>
    </row>
    <row r="55" spans="1:12" ht="12.75">
      <c r="A55" s="145">
        <v>39447</v>
      </c>
      <c r="B55" s="108">
        <f t="shared" si="2"/>
        <v>3</v>
      </c>
      <c r="C55" s="178">
        <f t="shared" si="1"/>
        <v>71088000</v>
      </c>
      <c r="D55" s="146"/>
      <c r="E55" s="175">
        <f>E53</f>
        <v>0.0401</v>
      </c>
      <c r="F55" s="86">
        <f>((C54+D54)*E55/360*B54)+((C55+D55)*E55/360*B55)</f>
        <v>757858.1427777776</v>
      </c>
      <c r="G55" s="153">
        <f>SUM(F48:F55)</f>
        <v>3215490.428333333</v>
      </c>
      <c r="H55" s="153">
        <f>SUM(D48:D55)</f>
        <v>11848000</v>
      </c>
      <c r="I55" s="154">
        <f>SUM(G55:H55)</f>
        <v>15063490.428333333</v>
      </c>
      <c r="K55" s="322"/>
      <c r="L55" s="332"/>
    </row>
    <row r="56" spans="1:12" ht="12.75">
      <c r="A56" s="103">
        <v>39535</v>
      </c>
      <c r="B56" s="176">
        <f t="shared" si="2"/>
        <v>88</v>
      </c>
      <c r="C56" s="141">
        <f t="shared" si="1"/>
        <v>68126000</v>
      </c>
      <c r="D56" s="141">
        <f>D54</f>
        <v>2962000</v>
      </c>
      <c r="E56" s="173"/>
      <c r="F56" s="42"/>
      <c r="G56" s="143"/>
      <c r="H56" s="143"/>
      <c r="I56" s="144"/>
      <c r="K56" s="318"/>
      <c r="L56" s="106"/>
    </row>
    <row r="57" spans="1:12" ht="12.75">
      <c r="A57" s="84">
        <v>39538</v>
      </c>
      <c r="B57" s="108">
        <f t="shared" si="2"/>
        <v>3</v>
      </c>
      <c r="C57" s="141">
        <f t="shared" si="1"/>
        <v>68126000</v>
      </c>
      <c r="D57" s="141"/>
      <c r="E57" s="173">
        <f>E55</f>
        <v>0.0401</v>
      </c>
      <c r="F57" s="86">
        <f>((C56+D56)*E57/360*B56)+((C57+D57)*E57/360*B57)</f>
        <v>719585.8116666666</v>
      </c>
      <c r="G57" s="151"/>
      <c r="H57" s="151"/>
      <c r="I57" s="152"/>
      <c r="K57" s="322"/>
      <c r="L57" s="332"/>
    </row>
    <row r="58" spans="1:12" ht="12.75">
      <c r="A58" s="84">
        <v>39627</v>
      </c>
      <c r="B58" s="108">
        <f t="shared" si="2"/>
        <v>89</v>
      </c>
      <c r="C58" s="141">
        <f t="shared" si="1"/>
        <v>65164000</v>
      </c>
      <c r="D58" s="141">
        <f>D56</f>
        <v>2962000</v>
      </c>
      <c r="E58" s="173"/>
      <c r="F58" s="86"/>
      <c r="G58" s="151"/>
      <c r="H58" s="151"/>
      <c r="I58" s="152"/>
      <c r="K58" s="322"/>
      <c r="L58" s="332"/>
    </row>
    <row r="59" spans="1:12" ht="12.75">
      <c r="A59" s="84">
        <v>39629</v>
      </c>
      <c r="B59" s="108">
        <f t="shared" si="2"/>
        <v>2</v>
      </c>
      <c r="C59" s="141">
        <f t="shared" si="1"/>
        <v>65164000</v>
      </c>
      <c r="D59" s="141"/>
      <c r="E59" s="173">
        <f>E57</f>
        <v>0.0401</v>
      </c>
      <c r="F59" s="86">
        <f>((C58+D58)*E59/360*B58)+((C59+D59)*E59/360*B59)</f>
        <v>689891.7616666666</v>
      </c>
      <c r="G59" s="151"/>
      <c r="H59" s="151"/>
      <c r="I59" s="152"/>
      <c r="K59" s="322"/>
      <c r="L59" s="332"/>
    </row>
    <row r="60" spans="1:12" ht="12.75">
      <c r="A60" s="84">
        <v>39719</v>
      </c>
      <c r="B60" s="108">
        <f t="shared" si="2"/>
        <v>90</v>
      </c>
      <c r="C60" s="141">
        <f>C59-D60</f>
        <v>62202000</v>
      </c>
      <c r="D60" s="141">
        <f>D58</f>
        <v>2962000</v>
      </c>
      <c r="E60" s="173"/>
      <c r="F60" s="86"/>
      <c r="G60" s="151"/>
      <c r="H60" s="151"/>
      <c r="I60" s="152"/>
      <c r="K60" s="322"/>
      <c r="L60" s="332"/>
    </row>
    <row r="61" spans="1:12" ht="12.75">
      <c r="A61" s="90">
        <v>39721</v>
      </c>
      <c r="B61" s="91">
        <f t="shared" si="2"/>
        <v>2</v>
      </c>
      <c r="C61" s="157">
        <f t="shared" si="1"/>
        <v>62202000</v>
      </c>
      <c r="D61" s="157"/>
      <c r="E61" s="179">
        <f>E59</f>
        <v>0.0401</v>
      </c>
      <c r="F61" s="41">
        <f>((C60+D60)*E61/360*B60)+((C61+D61)*E61/360*B61)</f>
        <v>667126.3233333334</v>
      </c>
      <c r="G61" s="158"/>
      <c r="H61" s="158"/>
      <c r="I61" s="159"/>
      <c r="K61" s="325"/>
      <c r="L61" s="96"/>
    </row>
    <row r="62" spans="1:12" ht="12.75">
      <c r="A62" s="90">
        <v>39810</v>
      </c>
      <c r="B62" s="91">
        <f t="shared" si="2"/>
        <v>89</v>
      </c>
      <c r="C62" s="157">
        <f t="shared" si="1"/>
        <v>59240000</v>
      </c>
      <c r="D62" s="157">
        <f>D60</f>
        <v>2962000</v>
      </c>
      <c r="E62" s="179"/>
      <c r="F62" s="41"/>
      <c r="G62" s="158"/>
      <c r="H62" s="158"/>
      <c r="I62" s="159"/>
      <c r="K62" s="325"/>
      <c r="L62" s="96"/>
    </row>
    <row r="63" spans="1:12" ht="12.75">
      <c r="A63" s="97">
        <v>39813</v>
      </c>
      <c r="B63" s="98">
        <f t="shared" si="2"/>
        <v>3</v>
      </c>
      <c r="C63" s="147">
        <f t="shared" si="1"/>
        <v>59240000</v>
      </c>
      <c r="D63" s="147"/>
      <c r="E63" s="180">
        <f>E61</f>
        <v>0.0401</v>
      </c>
      <c r="F63" s="99">
        <f>((C62+D62)*E63/360*B62)+((C63+D63)*E63/360*B63)</f>
        <v>636442.4716666666</v>
      </c>
      <c r="G63" s="148">
        <f>SUM(F56:F63)</f>
        <v>2713046.368333333</v>
      </c>
      <c r="H63" s="148">
        <f>SUM(D56:D63)</f>
        <v>11848000</v>
      </c>
      <c r="I63" s="149">
        <f>SUM(G63:H63)</f>
        <v>14561046.368333332</v>
      </c>
      <c r="K63" s="320"/>
      <c r="L63" s="324"/>
    </row>
    <row r="64" spans="1:12" ht="12.75">
      <c r="A64" s="103">
        <v>39900</v>
      </c>
      <c r="B64" s="104">
        <f t="shared" si="2"/>
        <v>87</v>
      </c>
      <c r="C64" s="42">
        <f t="shared" si="1"/>
        <v>56278000</v>
      </c>
      <c r="D64" s="142">
        <f>D62</f>
        <v>2962000</v>
      </c>
      <c r="E64" s="177"/>
      <c r="F64" s="142"/>
      <c r="G64" s="143"/>
      <c r="H64" s="143"/>
      <c r="I64" s="144"/>
      <c r="K64" s="318"/>
      <c r="L64" s="319"/>
    </row>
    <row r="65" spans="1:12" ht="12.75">
      <c r="A65" s="84">
        <v>39903</v>
      </c>
      <c r="B65" s="108">
        <f t="shared" si="2"/>
        <v>3</v>
      </c>
      <c r="C65" s="86">
        <f t="shared" si="1"/>
        <v>56278000</v>
      </c>
      <c r="D65" s="141"/>
      <c r="E65" s="173">
        <f>E63</f>
        <v>0.0401</v>
      </c>
      <c r="F65" s="86">
        <f>((C64+D64)*E65/360*B64)+((C65+D65)*E65/360*B65)</f>
        <v>592891.1983333334</v>
      </c>
      <c r="G65" s="151"/>
      <c r="H65" s="151"/>
      <c r="I65" s="152"/>
      <c r="K65" s="322"/>
      <c r="L65" s="332"/>
    </row>
    <row r="66" spans="1:12" ht="12.75">
      <c r="A66" s="84">
        <v>39992</v>
      </c>
      <c r="B66" s="108">
        <f t="shared" si="2"/>
        <v>89</v>
      </c>
      <c r="C66" s="86">
        <f t="shared" si="1"/>
        <v>53316000</v>
      </c>
      <c r="D66" s="141">
        <f>D64</f>
        <v>2962000</v>
      </c>
      <c r="E66" s="173"/>
      <c r="F66" s="141"/>
      <c r="G66" s="151"/>
      <c r="H66" s="151"/>
      <c r="I66" s="152"/>
      <c r="K66" s="322"/>
      <c r="L66" s="323"/>
    </row>
    <row r="67" spans="1:12" ht="12.75">
      <c r="A67" s="84">
        <v>39994</v>
      </c>
      <c r="B67" s="108">
        <f t="shared" si="2"/>
        <v>2</v>
      </c>
      <c r="C67" s="86">
        <f t="shared" si="1"/>
        <v>53316000</v>
      </c>
      <c r="D67" s="141"/>
      <c r="E67" s="173">
        <f>E65</f>
        <v>0.0401</v>
      </c>
      <c r="F67" s="86">
        <f>((C66+D66)*E67/360*B66)+((C67+D67)*E67/360*B67)</f>
        <v>569795.8261111111</v>
      </c>
      <c r="G67" s="151"/>
      <c r="H67" s="151"/>
      <c r="I67" s="152"/>
      <c r="K67" s="322"/>
      <c r="L67" s="332"/>
    </row>
    <row r="68" spans="1:12" ht="12.75">
      <c r="A68" s="84">
        <v>40084</v>
      </c>
      <c r="B68" s="108">
        <f t="shared" si="2"/>
        <v>90</v>
      </c>
      <c r="C68" s="86">
        <f t="shared" si="1"/>
        <v>50354000</v>
      </c>
      <c r="D68" s="141">
        <f>D66</f>
        <v>2962000</v>
      </c>
      <c r="E68" s="173"/>
      <c r="F68" s="141"/>
      <c r="G68" s="151"/>
      <c r="H68" s="151"/>
      <c r="I68" s="152"/>
      <c r="K68" s="322"/>
      <c r="L68" s="323"/>
    </row>
    <row r="69" spans="1:12" ht="12.75">
      <c r="A69" s="84">
        <v>40086</v>
      </c>
      <c r="B69" s="108">
        <f t="shared" si="2"/>
        <v>2</v>
      </c>
      <c r="C69" s="86">
        <f t="shared" si="1"/>
        <v>50354000</v>
      </c>
      <c r="D69" s="141"/>
      <c r="E69" s="173">
        <f>E67</f>
        <v>0.0401</v>
      </c>
      <c r="F69" s="86">
        <f>((C68+D68)*E69/360*B68)+((C69+D69)*E69/360*B69)</f>
        <v>545710.6522222222</v>
      </c>
      <c r="G69" s="151"/>
      <c r="H69" s="151"/>
      <c r="I69" s="152"/>
      <c r="K69" s="322"/>
      <c r="L69" s="332"/>
    </row>
    <row r="70" spans="1:12" ht="12.75">
      <c r="A70" s="84">
        <v>40175</v>
      </c>
      <c r="B70" s="108">
        <f t="shared" si="2"/>
        <v>89</v>
      </c>
      <c r="C70" s="86">
        <f t="shared" si="1"/>
        <v>47392000</v>
      </c>
      <c r="D70" s="141">
        <f>D68</f>
        <v>2962000</v>
      </c>
      <c r="E70" s="173"/>
      <c r="F70" s="141"/>
      <c r="G70" s="151"/>
      <c r="H70" s="151"/>
      <c r="I70" s="152"/>
      <c r="K70" s="322"/>
      <c r="L70" s="323"/>
    </row>
    <row r="71" spans="1:12" ht="12.75">
      <c r="A71" s="145">
        <v>40178</v>
      </c>
      <c r="B71" s="108">
        <f t="shared" si="2"/>
        <v>3</v>
      </c>
      <c r="C71" s="178">
        <f t="shared" si="1"/>
        <v>47392000</v>
      </c>
      <c r="D71" s="146"/>
      <c r="E71" s="175">
        <f>E69</f>
        <v>0.0401</v>
      </c>
      <c r="F71" s="86">
        <f>((C70+D70)*E71/360*B70)+((C71+D71)*E71/360*B71)</f>
        <v>515026.8005555555</v>
      </c>
      <c r="G71" s="153">
        <f>SUM(F64:F71)</f>
        <v>2223424.4772222224</v>
      </c>
      <c r="H71" s="153">
        <f>SUM(D64:D71)</f>
        <v>11848000</v>
      </c>
      <c r="I71" s="154">
        <f>SUM(G71:H71)</f>
        <v>14071424.477222223</v>
      </c>
      <c r="K71" s="322"/>
      <c r="L71" s="332"/>
    </row>
    <row r="72" spans="1:12" ht="12.75">
      <c r="A72" s="103">
        <v>40265</v>
      </c>
      <c r="B72" s="176">
        <f t="shared" si="2"/>
        <v>87</v>
      </c>
      <c r="C72" s="141">
        <f t="shared" si="1"/>
        <v>44430000</v>
      </c>
      <c r="D72" s="141">
        <f>D70</f>
        <v>2962000</v>
      </c>
      <c r="E72" s="173"/>
      <c r="F72" s="42"/>
      <c r="G72" s="143"/>
      <c r="H72" s="143"/>
      <c r="I72" s="144"/>
      <c r="K72" s="318"/>
      <c r="L72" s="106"/>
    </row>
    <row r="73" spans="1:12" ht="12.75">
      <c r="A73" s="84">
        <v>40268</v>
      </c>
      <c r="B73" s="108">
        <f t="shared" si="2"/>
        <v>3</v>
      </c>
      <c r="C73" s="141">
        <f t="shared" si="1"/>
        <v>44430000</v>
      </c>
      <c r="D73" s="141"/>
      <c r="E73" s="173">
        <f>E71</f>
        <v>0.0401</v>
      </c>
      <c r="F73" s="86">
        <f>((C72+D72)*E73/360*B72)+((C73+D73)*E73/360*B73)</f>
        <v>474114.99833333335</v>
      </c>
      <c r="G73" s="151"/>
      <c r="H73" s="151"/>
      <c r="I73" s="152"/>
      <c r="K73" s="322"/>
      <c r="L73" s="332"/>
    </row>
    <row r="74" spans="1:12" ht="12.75">
      <c r="A74" s="84">
        <v>40357</v>
      </c>
      <c r="B74" s="108">
        <f t="shared" si="2"/>
        <v>89</v>
      </c>
      <c r="C74" s="141">
        <f t="shared" si="1"/>
        <v>41468000</v>
      </c>
      <c r="D74" s="141">
        <f>D72</f>
        <v>2962000</v>
      </c>
      <c r="E74" s="173"/>
      <c r="F74" s="86"/>
      <c r="G74" s="151"/>
      <c r="H74" s="151"/>
      <c r="I74" s="152"/>
      <c r="K74" s="322"/>
      <c r="L74" s="332"/>
    </row>
    <row r="75" spans="1:12" ht="12.75">
      <c r="A75" s="84">
        <v>40359</v>
      </c>
      <c r="B75" s="108">
        <f t="shared" si="2"/>
        <v>2</v>
      </c>
      <c r="C75" s="141">
        <f t="shared" si="1"/>
        <v>41468000</v>
      </c>
      <c r="D75" s="141"/>
      <c r="E75" s="173">
        <f>E73</f>
        <v>0.0401</v>
      </c>
      <c r="F75" s="86">
        <f>((C74+D74)*E75/360*B74)+((C75+D75)*E75/360*B75)</f>
        <v>449699.89055555547</v>
      </c>
      <c r="G75" s="151"/>
      <c r="H75" s="151"/>
      <c r="I75" s="152"/>
      <c r="K75" s="322"/>
      <c r="L75" s="332"/>
    </row>
    <row r="76" spans="1:12" ht="12.75">
      <c r="A76" s="84">
        <v>40449</v>
      </c>
      <c r="B76" s="108">
        <f t="shared" si="2"/>
        <v>90</v>
      </c>
      <c r="C76" s="141">
        <f>C75-D76</f>
        <v>38506000</v>
      </c>
      <c r="D76" s="141">
        <f>D74</f>
        <v>2962000</v>
      </c>
      <c r="E76" s="173"/>
      <c r="F76" s="86"/>
      <c r="G76" s="151"/>
      <c r="H76" s="151"/>
      <c r="I76" s="152"/>
      <c r="K76" s="322"/>
      <c r="L76" s="332"/>
    </row>
    <row r="77" spans="1:12" ht="12.75">
      <c r="A77" s="84">
        <v>40451</v>
      </c>
      <c r="B77" s="108">
        <f t="shared" si="2"/>
        <v>2</v>
      </c>
      <c r="C77" s="141">
        <f t="shared" si="1"/>
        <v>38506000</v>
      </c>
      <c r="D77" s="141"/>
      <c r="E77" s="173">
        <f>E75</f>
        <v>0.0401</v>
      </c>
      <c r="F77" s="86">
        <f>((C76+D76)*E77/360*B76)+((C77+D77)*E77/360*B77)</f>
        <v>424294.981111111</v>
      </c>
      <c r="G77" s="151"/>
      <c r="H77" s="151"/>
      <c r="I77" s="152"/>
      <c r="K77" s="322"/>
      <c r="L77" s="332"/>
    </row>
    <row r="78" spans="1:12" ht="12.75">
      <c r="A78" s="84">
        <v>40540</v>
      </c>
      <c r="B78" s="108">
        <f t="shared" si="2"/>
        <v>89</v>
      </c>
      <c r="C78" s="141">
        <f t="shared" si="1"/>
        <v>35544000</v>
      </c>
      <c r="D78" s="141">
        <f>D76</f>
        <v>2962000</v>
      </c>
      <c r="E78" s="173"/>
      <c r="F78" s="86"/>
      <c r="G78" s="151"/>
      <c r="H78" s="151"/>
      <c r="I78" s="152"/>
      <c r="K78" s="322"/>
      <c r="L78" s="332"/>
    </row>
    <row r="79" spans="1:12" ht="12.75">
      <c r="A79" s="97">
        <v>40543</v>
      </c>
      <c r="B79" s="98">
        <f t="shared" si="2"/>
        <v>3</v>
      </c>
      <c r="C79" s="147">
        <f t="shared" si="1"/>
        <v>35544000</v>
      </c>
      <c r="D79" s="147"/>
      <c r="E79" s="180">
        <f>E77</f>
        <v>0.0401</v>
      </c>
      <c r="F79" s="99">
        <f>((C78+D78)*E79/360*B78)+((C79+D79)*E79/360*B79)</f>
        <v>393611.1294444444</v>
      </c>
      <c r="G79" s="148">
        <f>SUM(F72:F79)</f>
        <v>1741720.999444444</v>
      </c>
      <c r="H79" s="148">
        <f>SUM(D72:D79)</f>
        <v>11848000</v>
      </c>
      <c r="I79" s="149">
        <f>SUM(G79:H79)</f>
        <v>13589720.999444444</v>
      </c>
      <c r="K79" s="320"/>
      <c r="L79" s="324"/>
    </row>
    <row r="80" spans="1:12" ht="12.75">
      <c r="A80" s="103">
        <v>40630</v>
      </c>
      <c r="B80" s="104">
        <f t="shared" si="2"/>
        <v>87</v>
      </c>
      <c r="C80" s="42">
        <f t="shared" si="1"/>
        <v>32582000</v>
      </c>
      <c r="D80" s="142">
        <f>D78</f>
        <v>2962000</v>
      </c>
      <c r="E80" s="177"/>
      <c r="F80" s="142"/>
      <c r="G80" s="143"/>
      <c r="H80" s="143"/>
      <c r="I80" s="144"/>
      <c r="K80" s="318"/>
      <c r="L80" s="319"/>
    </row>
    <row r="81" spans="1:12" ht="12.75">
      <c r="A81" s="84">
        <v>40633</v>
      </c>
      <c r="B81" s="108">
        <f aca="true" t="shared" si="3" ref="B81:B102">A81-A80</f>
        <v>3</v>
      </c>
      <c r="C81" s="86">
        <f t="shared" si="1"/>
        <v>32582000</v>
      </c>
      <c r="D81" s="141"/>
      <c r="E81" s="173">
        <f>E79</f>
        <v>0.0401</v>
      </c>
      <c r="F81" s="86">
        <f>((C80+D80)*E81/360*B80)+((C81+D81)*E81/360*B81)</f>
        <v>355338.79833333334</v>
      </c>
      <c r="G81" s="151"/>
      <c r="H81" s="151"/>
      <c r="I81" s="152"/>
      <c r="K81" s="322"/>
      <c r="L81" s="332"/>
    </row>
    <row r="82" spans="1:12" ht="12.75">
      <c r="A82" s="84">
        <v>40722</v>
      </c>
      <c r="B82" s="108">
        <f t="shared" si="3"/>
        <v>89</v>
      </c>
      <c r="C82" s="86">
        <f aca="true" t="shared" si="4" ref="C82:C90">C81-D82</f>
        <v>29620000</v>
      </c>
      <c r="D82" s="141">
        <f>D80</f>
        <v>2962000</v>
      </c>
      <c r="E82" s="173"/>
      <c r="F82" s="141"/>
      <c r="G82" s="151"/>
      <c r="H82" s="151"/>
      <c r="I82" s="152"/>
      <c r="K82" s="322"/>
      <c r="L82" s="323"/>
    </row>
    <row r="83" spans="1:12" ht="12.75">
      <c r="A83" s="84">
        <v>40724</v>
      </c>
      <c r="B83" s="108">
        <f t="shared" si="3"/>
        <v>2</v>
      </c>
      <c r="C83" s="86">
        <f t="shared" si="4"/>
        <v>29620000</v>
      </c>
      <c r="D83" s="141"/>
      <c r="E83" s="173">
        <f>E81</f>
        <v>0.0401</v>
      </c>
      <c r="F83" s="86">
        <f>((C82+D82)*E83/360*B82)+((C83+D83)*E83/360*B83)</f>
        <v>329603.955</v>
      </c>
      <c r="G83" s="151"/>
      <c r="H83" s="151"/>
      <c r="I83" s="152"/>
      <c r="K83" s="322"/>
      <c r="L83" s="332"/>
    </row>
    <row r="84" spans="1:12" ht="12.75">
      <c r="A84" s="84">
        <v>40814</v>
      </c>
      <c r="B84" s="108">
        <f t="shared" si="3"/>
        <v>90</v>
      </c>
      <c r="C84" s="86">
        <f t="shared" si="4"/>
        <v>26658000</v>
      </c>
      <c r="D84" s="141">
        <f>D82</f>
        <v>2962000</v>
      </c>
      <c r="E84" s="173"/>
      <c r="F84" s="141"/>
      <c r="G84" s="151"/>
      <c r="H84" s="151"/>
      <c r="I84" s="152"/>
      <c r="K84" s="322"/>
      <c r="L84" s="323"/>
    </row>
    <row r="85" spans="1:12" ht="12.75">
      <c r="A85" s="84">
        <v>40816</v>
      </c>
      <c r="B85" s="108">
        <f t="shared" si="3"/>
        <v>2</v>
      </c>
      <c r="C85" s="86">
        <f t="shared" si="4"/>
        <v>26658000</v>
      </c>
      <c r="D85" s="141"/>
      <c r="E85" s="173">
        <f>E83</f>
        <v>0.0401</v>
      </c>
      <c r="F85" s="86">
        <f>((C84+D84)*E85/360*B84)+((C85+D85)*E85/360*B85)</f>
        <v>302879.31</v>
      </c>
      <c r="G85" s="151"/>
      <c r="H85" s="151"/>
      <c r="I85" s="152"/>
      <c r="K85" s="322"/>
      <c r="L85" s="332"/>
    </row>
    <row r="86" spans="1:12" ht="12.75">
      <c r="A86" s="84">
        <v>40905</v>
      </c>
      <c r="B86" s="108">
        <f t="shared" si="3"/>
        <v>89</v>
      </c>
      <c r="C86" s="86">
        <f t="shared" si="4"/>
        <v>23696000</v>
      </c>
      <c r="D86" s="141">
        <f>D84</f>
        <v>2962000</v>
      </c>
      <c r="E86" s="173"/>
      <c r="F86" s="141"/>
      <c r="G86" s="151"/>
      <c r="H86" s="151"/>
      <c r="I86" s="152"/>
      <c r="K86" s="322"/>
      <c r="L86" s="323"/>
    </row>
    <row r="87" spans="1:12" ht="12.75">
      <c r="A87" s="145">
        <v>40908</v>
      </c>
      <c r="B87" s="108">
        <f t="shared" si="3"/>
        <v>3</v>
      </c>
      <c r="C87" s="178">
        <f t="shared" si="4"/>
        <v>23696000</v>
      </c>
      <c r="D87" s="146"/>
      <c r="E87" s="175">
        <f>E85</f>
        <v>0.0401</v>
      </c>
      <c r="F87" s="86">
        <f>((C86+D86)*E87/360*B86)+((C87+D87)*E87/360*B87)</f>
        <v>272195.45833333326</v>
      </c>
      <c r="G87" s="153">
        <f>SUM(F80:F87)</f>
        <v>1260017.5216666667</v>
      </c>
      <c r="H87" s="153">
        <f>SUM(D80:D87)</f>
        <v>11848000</v>
      </c>
      <c r="I87" s="154">
        <f>SUM(G87:H87)</f>
        <v>13108017.521666666</v>
      </c>
      <c r="K87" s="322"/>
      <c r="L87" s="332"/>
    </row>
    <row r="88" spans="1:12" ht="12.75">
      <c r="A88" s="103">
        <v>40996</v>
      </c>
      <c r="B88" s="176">
        <f t="shared" si="3"/>
        <v>88</v>
      </c>
      <c r="C88" s="42">
        <f t="shared" si="4"/>
        <v>20734000</v>
      </c>
      <c r="D88" s="141">
        <f>D86</f>
        <v>2962000</v>
      </c>
      <c r="E88" s="173"/>
      <c r="F88" s="42"/>
      <c r="G88" s="143"/>
      <c r="H88" s="143"/>
      <c r="I88" s="144"/>
      <c r="K88" s="318"/>
      <c r="L88" s="106"/>
    </row>
    <row r="89" spans="1:12" ht="12.75">
      <c r="A89" s="84">
        <v>40999</v>
      </c>
      <c r="B89" s="108">
        <f t="shared" si="3"/>
        <v>3</v>
      </c>
      <c r="C89" s="86">
        <f t="shared" si="4"/>
        <v>20734000</v>
      </c>
      <c r="D89" s="141"/>
      <c r="E89" s="173">
        <f>E87</f>
        <v>0.0401</v>
      </c>
      <c r="F89" s="86">
        <f>((C88+D88)*E89/360*B88)+((C89+D89)*E89/360*B89)</f>
        <v>239202.06944444444</v>
      </c>
      <c r="G89" s="151"/>
      <c r="H89" s="151"/>
      <c r="I89" s="152"/>
      <c r="K89" s="322"/>
      <c r="L89" s="332"/>
    </row>
    <row r="90" spans="1:12" ht="12.75">
      <c r="A90" s="84">
        <v>41088</v>
      </c>
      <c r="B90" s="108">
        <f t="shared" si="3"/>
        <v>89</v>
      </c>
      <c r="C90" s="86">
        <f t="shared" si="4"/>
        <v>17772000</v>
      </c>
      <c r="D90" s="141">
        <f>D88</f>
        <v>2962000</v>
      </c>
      <c r="E90" s="173"/>
      <c r="F90" s="86"/>
      <c r="G90" s="151"/>
      <c r="H90" s="151"/>
      <c r="I90" s="152"/>
      <c r="K90" s="322"/>
      <c r="L90" s="332"/>
    </row>
    <row r="91" spans="1:12" ht="12.75">
      <c r="A91" s="84">
        <v>41090</v>
      </c>
      <c r="B91" s="108">
        <f t="shared" si="3"/>
        <v>2</v>
      </c>
      <c r="C91" s="86">
        <f>C90-D91</f>
        <v>17772000</v>
      </c>
      <c r="D91" s="141"/>
      <c r="E91" s="173">
        <f>E89</f>
        <v>0.0401</v>
      </c>
      <c r="F91" s="86">
        <f>((C90+D90)*E91/360*B90)+((C91+D91)*E91/360*B91)</f>
        <v>209508.0194444444</v>
      </c>
      <c r="G91" s="151"/>
      <c r="H91" s="151"/>
      <c r="I91" s="152"/>
      <c r="K91" s="322"/>
      <c r="L91" s="332"/>
    </row>
    <row r="92" spans="1:12" ht="12.75">
      <c r="A92" s="84">
        <v>41180</v>
      </c>
      <c r="B92" s="108">
        <f t="shared" si="3"/>
        <v>90</v>
      </c>
      <c r="C92" s="86">
        <f aca="true" t="shared" si="5" ref="C92:C102">C91-D92</f>
        <v>14810000</v>
      </c>
      <c r="D92" s="141">
        <f>D90</f>
        <v>2962000</v>
      </c>
      <c r="E92" s="173"/>
      <c r="F92" s="86"/>
      <c r="G92" s="151"/>
      <c r="H92" s="151"/>
      <c r="I92" s="152"/>
      <c r="K92" s="322"/>
      <c r="L92" s="332"/>
    </row>
    <row r="93" spans="1:12" ht="12.75">
      <c r="A93" s="84">
        <v>41182</v>
      </c>
      <c r="B93" s="108">
        <f t="shared" si="3"/>
        <v>2</v>
      </c>
      <c r="C93" s="86">
        <f t="shared" si="5"/>
        <v>14810000</v>
      </c>
      <c r="D93" s="141"/>
      <c r="E93" s="173">
        <f>E91</f>
        <v>0.0401</v>
      </c>
      <c r="F93" s="86">
        <f>((C92+D92)*E93/360*B92)+((C93+D93)*E93/360*B93)</f>
        <v>181463.63888888888</v>
      </c>
      <c r="G93" s="151"/>
      <c r="H93" s="151"/>
      <c r="I93" s="152"/>
      <c r="K93" s="322"/>
      <c r="L93" s="332"/>
    </row>
    <row r="94" spans="1:12" ht="12.75">
      <c r="A94" s="84">
        <v>41271</v>
      </c>
      <c r="B94" s="108">
        <f t="shared" si="3"/>
        <v>89</v>
      </c>
      <c r="C94" s="86">
        <f t="shared" si="5"/>
        <v>11848000</v>
      </c>
      <c r="D94" s="141">
        <f>D92</f>
        <v>2962000</v>
      </c>
      <c r="E94" s="173"/>
      <c r="F94" s="86"/>
      <c r="G94" s="151"/>
      <c r="H94" s="151"/>
      <c r="I94" s="152"/>
      <c r="K94" s="322"/>
      <c r="L94" s="332"/>
    </row>
    <row r="95" spans="1:12" ht="12.75">
      <c r="A95" s="145">
        <v>41274</v>
      </c>
      <c r="B95" s="98">
        <f t="shared" si="3"/>
        <v>3</v>
      </c>
      <c r="C95" s="178">
        <f t="shared" si="5"/>
        <v>11848000</v>
      </c>
      <c r="D95" s="146"/>
      <c r="E95" s="175">
        <f>E93</f>
        <v>0.0401</v>
      </c>
      <c r="F95" s="99">
        <f>((C94+D94)*E95/360*B94)+((C95+D95)*E95/360*B95)</f>
        <v>150779.78722222222</v>
      </c>
      <c r="G95" s="153">
        <f>SUM(F88:F95)</f>
        <v>780953.5149999999</v>
      </c>
      <c r="H95" s="153">
        <f>SUM(D88:D95)</f>
        <v>11848000</v>
      </c>
      <c r="I95" s="154">
        <f>SUM(G95:H95)</f>
        <v>12628953.515</v>
      </c>
      <c r="K95" s="320"/>
      <c r="L95" s="324"/>
    </row>
    <row r="96" spans="1:12" ht="12.75">
      <c r="A96" s="103">
        <v>41361</v>
      </c>
      <c r="B96" s="112">
        <f t="shared" si="3"/>
        <v>87</v>
      </c>
      <c r="C96" s="141">
        <f t="shared" si="5"/>
        <v>8886000</v>
      </c>
      <c r="D96" s="141">
        <f>D94</f>
        <v>2962000</v>
      </c>
      <c r="E96" s="173"/>
      <c r="F96" s="141"/>
      <c r="G96" s="143"/>
      <c r="H96" s="143"/>
      <c r="I96" s="144"/>
      <c r="K96" s="322"/>
      <c r="L96" s="323"/>
    </row>
    <row r="97" spans="1:12" ht="12.75">
      <c r="A97" s="84">
        <v>41364</v>
      </c>
      <c r="B97" s="108">
        <f t="shared" si="3"/>
        <v>3</v>
      </c>
      <c r="C97" s="141">
        <f t="shared" si="5"/>
        <v>8886000</v>
      </c>
      <c r="D97" s="141"/>
      <c r="E97" s="173">
        <f>E95</f>
        <v>0.0401</v>
      </c>
      <c r="F97" s="86">
        <f>((C96+D96)*E97/360*B96)+((C97+D97)*E97/360*B97)</f>
        <v>117786.39833333333</v>
      </c>
      <c r="G97" s="151"/>
      <c r="H97" s="151"/>
      <c r="I97" s="152"/>
      <c r="K97" s="322"/>
      <c r="L97" s="332"/>
    </row>
    <row r="98" spans="1:12" ht="12.75">
      <c r="A98" s="84">
        <v>41453</v>
      </c>
      <c r="B98" s="108">
        <f t="shared" si="3"/>
        <v>89</v>
      </c>
      <c r="C98" s="141">
        <f t="shared" si="5"/>
        <v>5924000</v>
      </c>
      <c r="D98" s="141">
        <f>D96</f>
        <v>2962000</v>
      </c>
      <c r="E98" s="173"/>
      <c r="F98" s="141"/>
      <c r="G98" s="151"/>
      <c r="H98" s="151"/>
      <c r="I98" s="152"/>
      <c r="K98" s="322"/>
      <c r="L98" s="323"/>
    </row>
    <row r="99" spans="1:12" ht="12.75">
      <c r="A99" s="84">
        <v>41455</v>
      </c>
      <c r="B99" s="108">
        <f t="shared" si="3"/>
        <v>2</v>
      </c>
      <c r="C99" s="141">
        <f t="shared" si="5"/>
        <v>5924000</v>
      </c>
      <c r="D99" s="141"/>
      <c r="E99" s="173">
        <f>E97</f>
        <v>0.0401</v>
      </c>
      <c r="F99" s="86">
        <f>((C98+D98)*E99/360*B98)+((C99+D99)*E99/360*B99)</f>
        <v>89412.08388888888</v>
      </c>
      <c r="G99" s="151"/>
      <c r="H99" s="151"/>
      <c r="I99" s="152"/>
      <c r="K99" s="322"/>
      <c r="L99" s="332"/>
    </row>
    <row r="100" spans="1:12" ht="12.75">
      <c r="A100" s="84">
        <v>41545</v>
      </c>
      <c r="B100" s="108">
        <f t="shared" si="3"/>
        <v>90</v>
      </c>
      <c r="C100" s="141">
        <f t="shared" si="5"/>
        <v>2962000</v>
      </c>
      <c r="D100" s="141">
        <f>D98</f>
        <v>2962000</v>
      </c>
      <c r="E100" s="173"/>
      <c r="F100" s="141"/>
      <c r="G100" s="151"/>
      <c r="H100" s="151"/>
      <c r="I100" s="152"/>
      <c r="K100" s="322"/>
      <c r="L100" s="323"/>
    </row>
    <row r="101" spans="1:12" ht="12.75">
      <c r="A101" s="84">
        <v>41547</v>
      </c>
      <c r="B101" s="108">
        <f t="shared" si="3"/>
        <v>2</v>
      </c>
      <c r="C101" s="141">
        <f t="shared" si="5"/>
        <v>2962000</v>
      </c>
      <c r="D101" s="141"/>
      <c r="E101" s="173">
        <f>E99</f>
        <v>0.0401</v>
      </c>
      <c r="F101" s="86">
        <f>((C100+D100)*E101/360*B100)+((C101+D101)*E101/360*B101)</f>
        <v>60047.967777777776</v>
      </c>
      <c r="G101" s="151"/>
      <c r="H101" s="151"/>
      <c r="I101" s="152"/>
      <c r="K101" s="322"/>
      <c r="L101" s="332"/>
    </row>
    <row r="102" spans="1:12" ht="13.5" thickBot="1">
      <c r="A102" s="84">
        <v>41636</v>
      </c>
      <c r="B102" s="108">
        <f t="shared" si="3"/>
        <v>89</v>
      </c>
      <c r="C102" s="141">
        <f t="shared" si="5"/>
        <v>0</v>
      </c>
      <c r="D102" s="141">
        <f>D100</f>
        <v>2962000</v>
      </c>
      <c r="E102" s="173">
        <f>E101</f>
        <v>0.0401</v>
      </c>
      <c r="F102" s="86">
        <f>((C102+D102)*E102/360*B102)</f>
        <v>29364.11611111111</v>
      </c>
      <c r="G102" s="153">
        <f>SUM(F96:F102)</f>
        <v>296610.5661111111</v>
      </c>
      <c r="H102" s="153">
        <f>SUM(D96:D102)</f>
        <v>11848000</v>
      </c>
      <c r="I102" s="154">
        <f>SUM(G102:H102)</f>
        <v>12144610.56611111</v>
      </c>
      <c r="K102" s="322"/>
      <c r="L102" s="332"/>
    </row>
    <row r="103" spans="1:12" ht="13.5" thickTop="1">
      <c r="A103" s="160" t="s">
        <v>14</v>
      </c>
      <c r="B103" s="161"/>
      <c r="C103" s="162"/>
      <c r="D103" s="163">
        <f>SUM(D8:D102)</f>
        <v>124412000</v>
      </c>
      <c r="E103" s="181"/>
      <c r="F103" s="163">
        <f>SUM(F8:F102)</f>
        <v>31532443.87611111</v>
      </c>
      <c r="G103" s="163">
        <f>SUM(G8:G102)</f>
        <v>31532443.876111113</v>
      </c>
      <c r="H103" s="163">
        <f>SUM(H8:H102)</f>
        <v>124412000</v>
      </c>
      <c r="I103" s="182">
        <f>SUM(I8:I102)</f>
        <v>155944443.8761111</v>
      </c>
      <c r="K103" s="327">
        <f>SUM(K8:K102)</f>
        <v>14944017</v>
      </c>
      <c r="L103" s="182">
        <f>SUM(L8:L102)</f>
        <v>4357163</v>
      </c>
    </row>
    <row r="104" spans="1:12" ht="12.75">
      <c r="A104" s="183"/>
      <c r="B104" s="184"/>
      <c r="C104" s="185"/>
      <c r="D104" s="186"/>
      <c r="E104" s="187"/>
      <c r="F104" s="186"/>
      <c r="G104" s="186"/>
      <c r="H104" s="186"/>
      <c r="I104" s="186"/>
      <c r="K104" s="186"/>
      <c r="L104" s="186"/>
    </row>
    <row r="105" spans="1:12" ht="12.75">
      <c r="A105" s="165" t="s">
        <v>90</v>
      </c>
      <c r="B105" s="184"/>
      <c r="C105" s="185"/>
      <c r="D105" s="186"/>
      <c r="E105" s="187"/>
      <c r="F105" s="186"/>
      <c r="G105" s="186"/>
      <c r="H105" s="186"/>
      <c r="I105" s="186"/>
      <c r="K105" s="186"/>
      <c r="L105" s="186"/>
    </row>
    <row r="107" spans="3:12" ht="12.75">
      <c r="C107" s="124"/>
      <c r="D107" s="124"/>
      <c r="E107" s="58"/>
      <c r="F107" s="124"/>
      <c r="K107" s="124"/>
      <c r="L107" s="124"/>
    </row>
    <row r="108" spans="3:12" ht="12.75">
      <c r="C108" s="124"/>
      <c r="D108" s="124"/>
      <c r="E108" s="58"/>
      <c r="F108" s="124"/>
      <c r="K108" s="124"/>
      <c r="L108" s="124"/>
    </row>
    <row r="109" spans="3:5" ht="12.75">
      <c r="C109" s="124"/>
      <c r="D109" s="124"/>
      <c r="E109" s="58"/>
    </row>
    <row r="110" spans="3:5" ht="12.75">
      <c r="C110" s="124"/>
      <c r="D110" s="124"/>
      <c r="E110" s="58"/>
    </row>
    <row r="111" spans="3:12" ht="12.75">
      <c r="C111" s="124"/>
      <c r="D111" s="124"/>
      <c r="E111" s="58"/>
      <c r="F111" s="124"/>
      <c r="K111" s="124"/>
      <c r="L111" s="124"/>
    </row>
  </sheetData>
  <printOptions horizontalCentered="1"/>
  <pageMargins left="0.5905511811023623" right="0.3937007874015748" top="0.7874015748031497" bottom="0.5905511811023623" header="0.1968503937007874" footer="0.1968503937007874"/>
  <pageSetup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59 db szociális bérlakás építésére 2002. decemberben felvett 124.412 eFt hitel </oddHeader>
    <oddFooter>&amp;L&amp;9Nyomtatás dátuma:&amp;D
C:\Andi\adósságszolgálat\&amp;F\&amp;A&amp;R&amp;P/&amp;N</oddFooter>
  </headerFooter>
  <rowBreaks count="1" manualBreakCount="1">
    <brk id="7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0"/>
  <sheetViews>
    <sheetView workbookViewId="0" topLeftCell="A1">
      <pane ySplit="7" topLeftCell="BM8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0.625" style="58" customWidth="1"/>
    <col min="2" max="2" width="5.375" style="58" customWidth="1"/>
    <col min="3" max="3" width="11.125" style="58" bestFit="1" customWidth="1"/>
    <col min="4" max="4" width="12.625" style="58" bestFit="1" customWidth="1"/>
    <col min="5" max="5" width="6.375" style="125" customWidth="1"/>
    <col min="6" max="6" width="14.875" style="58" customWidth="1"/>
    <col min="7" max="7" width="11.375" style="58" customWidth="1"/>
    <col min="8" max="9" width="12.625" style="58" customWidth="1"/>
    <col min="10" max="10" width="1.4921875" style="58" customWidth="1"/>
    <col min="11" max="12" width="11.875" style="58" customWidth="1"/>
    <col min="13" max="16384" width="9.375" style="58" customWidth="1"/>
  </cols>
  <sheetData>
    <row r="1" spans="1:9" ht="12.75">
      <c r="A1" s="166" t="s">
        <v>84</v>
      </c>
      <c r="B1" s="165"/>
      <c r="C1" s="166"/>
      <c r="D1" s="166"/>
      <c r="E1" s="167"/>
      <c r="I1" s="166"/>
    </row>
    <row r="2" spans="1:12" ht="12.75">
      <c r="A2" s="165" t="s">
        <v>127</v>
      </c>
      <c r="B2" s="165"/>
      <c r="C2" s="165"/>
      <c r="E2" s="168"/>
      <c r="F2" s="135"/>
      <c r="G2" s="135"/>
      <c r="H2" s="135"/>
      <c r="I2" s="135"/>
      <c r="K2" s="135"/>
      <c r="L2" s="135"/>
    </row>
    <row r="3" spans="1:12" ht="12.75">
      <c r="A3" s="58" t="s">
        <v>42</v>
      </c>
      <c r="B3" s="136"/>
      <c r="C3" s="135"/>
      <c r="D3" s="135"/>
      <c r="F3" s="135"/>
      <c r="G3" s="135"/>
      <c r="H3" s="135"/>
      <c r="K3" s="135"/>
      <c r="L3" s="135"/>
    </row>
    <row r="4" spans="1:12" ht="12.75">
      <c r="A4" s="137" t="s">
        <v>61</v>
      </c>
      <c r="B4" s="136"/>
      <c r="C4" s="135"/>
      <c r="D4" s="135"/>
      <c r="E4" s="137"/>
      <c r="F4" s="135"/>
      <c r="G4" s="135"/>
      <c r="H4" s="135"/>
      <c r="I4" s="188" t="s">
        <v>2</v>
      </c>
      <c r="K4" s="135"/>
      <c r="L4" s="135"/>
    </row>
    <row r="5" spans="1:12" ht="12.75">
      <c r="A5" s="66" t="s">
        <v>3</v>
      </c>
      <c r="B5" s="67" t="s">
        <v>4</v>
      </c>
      <c r="C5" s="68" t="s">
        <v>5</v>
      </c>
      <c r="D5" s="68" t="s">
        <v>33</v>
      </c>
      <c r="E5" s="169" t="s">
        <v>20</v>
      </c>
      <c r="F5" s="68" t="s">
        <v>20</v>
      </c>
      <c r="G5" s="70" t="s">
        <v>6</v>
      </c>
      <c r="H5" s="70" t="s">
        <v>6</v>
      </c>
      <c r="I5" s="71" t="s">
        <v>6</v>
      </c>
      <c r="K5" s="333" t="s">
        <v>130</v>
      </c>
      <c r="L5" s="334"/>
    </row>
    <row r="6" spans="1:12" ht="12.75">
      <c r="A6" s="72"/>
      <c r="B6" s="73" t="s">
        <v>7</v>
      </c>
      <c r="C6" s="74" t="s">
        <v>8</v>
      </c>
      <c r="D6" s="74"/>
      <c r="E6" s="170" t="s">
        <v>91</v>
      </c>
      <c r="F6" s="171" t="s">
        <v>13</v>
      </c>
      <c r="G6" s="76" t="s">
        <v>9</v>
      </c>
      <c r="H6" s="76" t="s">
        <v>11</v>
      </c>
      <c r="I6" s="77" t="s">
        <v>10</v>
      </c>
      <c r="K6" s="335" t="s">
        <v>131</v>
      </c>
      <c r="L6" s="336" t="s">
        <v>128</v>
      </c>
    </row>
    <row r="7" spans="1:12" ht="12.75">
      <c r="A7" s="78"/>
      <c r="B7" s="79"/>
      <c r="C7" s="80"/>
      <c r="D7" s="80"/>
      <c r="E7" s="172" t="s">
        <v>41</v>
      </c>
      <c r="F7" s="80" t="s">
        <v>133</v>
      </c>
      <c r="G7" s="82"/>
      <c r="H7" s="82" t="s">
        <v>13</v>
      </c>
      <c r="I7" s="83" t="s">
        <v>12</v>
      </c>
      <c r="K7" s="337" t="s">
        <v>132</v>
      </c>
      <c r="L7" s="338" t="s">
        <v>129</v>
      </c>
    </row>
    <row r="8" spans="1:12" ht="12.75">
      <c r="A8" s="189">
        <v>37617</v>
      </c>
      <c r="B8" s="176"/>
      <c r="C8" s="42">
        <v>12499470</v>
      </c>
      <c r="D8" s="42"/>
      <c r="E8" s="105"/>
      <c r="F8" s="42">
        <v>0</v>
      </c>
      <c r="G8" s="155"/>
      <c r="H8" s="155"/>
      <c r="I8" s="156"/>
      <c r="K8" s="318"/>
      <c r="L8" s="106"/>
    </row>
    <row r="9" spans="1:12" ht="12.75">
      <c r="A9" s="97">
        <v>37621</v>
      </c>
      <c r="B9" s="190">
        <v>3</v>
      </c>
      <c r="C9" s="99">
        <f>C8-D9</f>
        <v>12499470</v>
      </c>
      <c r="D9" s="99"/>
      <c r="E9" s="191">
        <v>0.0288</v>
      </c>
      <c r="F9" s="99">
        <v>2611</v>
      </c>
      <c r="G9" s="192">
        <f>SUM(F5:F9)</f>
        <v>2611</v>
      </c>
      <c r="H9" s="101">
        <f>SUM(D5:D9)</f>
        <v>0</v>
      </c>
      <c r="I9" s="102">
        <f>SUM(G9:H9)</f>
        <v>2611</v>
      </c>
      <c r="K9" s="320">
        <v>2611</v>
      </c>
      <c r="L9" s="324">
        <v>0</v>
      </c>
    </row>
    <row r="10" spans="1:12" ht="12.75">
      <c r="A10" s="103">
        <v>37711</v>
      </c>
      <c r="B10" s="193">
        <f aca="true" t="shared" si="0" ref="B10:B82">A10-A9</f>
        <v>90</v>
      </c>
      <c r="C10" s="194">
        <f>C9-D10</f>
        <v>12499470</v>
      </c>
      <c r="D10" s="142"/>
      <c r="E10" s="105">
        <v>0.0369</v>
      </c>
      <c r="F10" s="42">
        <v>99100</v>
      </c>
      <c r="G10" s="143"/>
      <c r="H10" s="143"/>
      <c r="I10" s="144"/>
      <c r="K10" s="318">
        <v>67851</v>
      </c>
      <c r="L10" s="106">
        <v>31249</v>
      </c>
    </row>
    <row r="11" spans="1:12" ht="13.5" thickBot="1">
      <c r="A11" s="195">
        <v>37729</v>
      </c>
      <c r="B11" s="196">
        <f t="shared" si="0"/>
        <v>18</v>
      </c>
      <c r="C11" s="43">
        <f>(C10-D11)+10226303</f>
        <v>22725773</v>
      </c>
      <c r="D11" s="197"/>
      <c r="E11" s="198"/>
      <c r="F11" s="43"/>
      <c r="G11" s="199"/>
      <c r="H11" s="199"/>
      <c r="I11" s="200"/>
      <c r="K11" s="339"/>
      <c r="L11" s="340"/>
    </row>
    <row r="12" spans="1:12" ht="13.5" thickBot="1">
      <c r="A12" s="201">
        <v>37768</v>
      </c>
      <c r="B12" s="202">
        <f t="shared" si="0"/>
        <v>39</v>
      </c>
      <c r="C12" s="45">
        <f>(C11-D12)+56942030</f>
        <v>79667803</v>
      </c>
      <c r="D12" s="203"/>
      <c r="E12" s="204"/>
      <c r="F12" s="44"/>
      <c r="G12" s="205"/>
      <c r="H12" s="205"/>
      <c r="I12" s="206"/>
      <c r="K12" s="341"/>
      <c r="L12" s="342"/>
    </row>
    <row r="13" spans="1:12" ht="13.5" thickBot="1">
      <c r="A13" s="207">
        <v>37783</v>
      </c>
      <c r="B13" s="202">
        <f t="shared" si="0"/>
        <v>15</v>
      </c>
      <c r="C13" s="45">
        <f>(C12-D13)+22256001</f>
        <v>101923804</v>
      </c>
      <c r="D13" s="208"/>
      <c r="E13" s="209"/>
      <c r="F13" s="45"/>
      <c r="G13" s="210"/>
      <c r="H13" s="210"/>
      <c r="I13" s="211"/>
      <c r="K13" s="343"/>
      <c r="L13" s="344"/>
    </row>
    <row r="14" spans="1:12" ht="12.75">
      <c r="A14" s="212">
        <v>37802</v>
      </c>
      <c r="B14" s="213">
        <f t="shared" si="0"/>
        <v>19</v>
      </c>
      <c r="C14" s="214">
        <f>C13-D14</f>
        <v>101923804</v>
      </c>
      <c r="D14" s="214"/>
      <c r="E14" s="215">
        <v>0.0356</v>
      </c>
      <c r="F14" s="214">
        <f>266678+117857</f>
        <v>384535</v>
      </c>
      <c r="G14" s="216"/>
      <c r="H14" s="216"/>
      <c r="I14" s="217"/>
      <c r="K14" s="345">
        <v>266678</v>
      </c>
      <c r="L14" s="346">
        <v>117857</v>
      </c>
    </row>
    <row r="15" spans="1:12" ht="13.5" thickBot="1">
      <c r="A15" s="195">
        <v>37811</v>
      </c>
      <c r="B15" s="196">
        <f t="shared" si="0"/>
        <v>9</v>
      </c>
      <c r="C15" s="43">
        <f>(C14-D15)+22955624</f>
        <v>124879428</v>
      </c>
      <c r="D15" s="43"/>
      <c r="E15" s="198"/>
      <c r="F15" s="43"/>
      <c r="G15" s="218"/>
      <c r="H15" s="218"/>
      <c r="I15" s="219"/>
      <c r="K15" s="339"/>
      <c r="L15" s="340"/>
    </row>
    <row r="16" spans="1:12" ht="13.5" thickBot="1">
      <c r="A16" s="207">
        <v>37841</v>
      </c>
      <c r="B16" s="202">
        <f t="shared" si="0"/>
        <v>30</v>
      </c>
      <c r="C16" s="45">
        <f>(C15-D16)+22221280</f>
        <v>147100708</v>
      </c>
      <c r="D16" s="45"/>
      <c r="E16" s="209"/>
      <c r="F16" s="45"/>
      <c r="G16" s="220"/>
      <c r="H16" s="220"/>
      <c r="I16" s="221"/>
      <c r="K16" s="343"/>
      <c r="L16" s="344"/>
    </row>
    <row r="17" spans="1:12" ht="12.75">
      <c r="A17" s="212">
        <v>37864</v>
      </c>
      <c r="B17" s="222">
        <f t="shared" si="0"/>
        <v>23</v>
      </c>
      <c r="C17" s="214">
        <f>(C16-D17)</f>
        <v>147100708</v>
      </c>
      <c r="D17" s="214"/>
      <c r="E17" s="215"/>
      <c r="F17" s="214"/>
      <c r="G17" s="216"/>
      <c r="H17" s="216"/>
      <c r="I17" s="217"/>
      <c r="K17" s="345"/>
      <c r="L17" s="346"/>
    </row>
    <row r="18" spans="1:12" ht="12.75">
      <c r="A18" s="90">
        <v>37894</v>
      </c>
      <c r="B18" s="223">
        <f t="shared" si="0"/>
        <v>30</v>
      </c>
      <c r="C18" s="41">
        <f>C17-D18</f>
        <v>147100708</v>
      </c>
      <c r="D18" s="157"/>
      <c r="E18" s="95">
        <v>0.0584</v>
      </c>
      <c r="F18" s="41">
        <v>2014839</v>
      </c>
      <c r="G18" s="158"/>
      <c r="H18" s="158"/>
      <c r="I18" s="159"/>
      <c r="K18" s="325">
        <v>1668727</v>
      </c>
      <c r="L18" s="96">
        <v>346112</v>
      </c>
    </row>
    <row r="19" spans="1:12" ht="13.5" thickBot="1">
      <c r="A19" s="224">
        <v>37914</v>
      </c>
      <c r="B19" s="225">
        <f t="shared" si="0"/>
        <v>20</v>
      </c>
      <c r="C19" s="41">
        <f>(C18-D19)+39974331</f>
        <v>187075039</v>
      </c>
      <c r="D19" s="203"/>
      <c r="E19" s="204"/>
      <c r="F19" s="44"/>
      <c r="G19" s="205"/>
      <c r="H19" s="205"/>
      <c r="I19" s="206"/>
      <c r="K19" s="341"/>
      <c r="L19" s="342"/>
    </row>
    <row r="20" spans="1:12" ht="12.75">
      <c r="A20" s="226">
        <v>37940</v>
      </c>
      <c r="B20" s="222">
        <f t="shared" si="0"/>
        <v>26</v>
      </c>
      <c r="C20" s="227">
        <f>C19-D20</f>
        <v>187075039</v>
      </c>
      <c r="D20" s="228"/>
      <c r="E20" s="229"/>
      <c r="F20" s="227"/>
      <c r="G20" s="230"/>
      <c r="H20" s="230"/>
      <c r="I20" s="231"/>
      <c r="K20" s="347"/>
      <c r="L20" s="348"/>
    </row>
    <row r="21" spans="1:12" ht="12.75">
      <c r="A21" s="90">
        <v>37983</v>
      </c>
      <c r="B21" s="223">
        <f t="shared" si="0"/>
        <v>43</v>
      </c>
      <c r="C21" s="41">
        <f>C20-D21</f>
        <v>184439019</v>
      </c>
      <c r="D21" s="157">
        <v>2636020</v>
      </c>
      <c r="E21" s="95"/>
      <c r="F21" s="41"/>
      <c r="G21" s="158"/>
      <c r="H21" s="158"/>
      <c r="I21" s="159"/>
      <c r="K21" s="325"/>
      <c r="L21" s="96"/>
    </row>
    <row r="22" spans="1:12" ht="12.75">
      <c r="A22" s="232">
        <v>37986</v>
      </c>
      <c r="B22" s="233">
        <f t="shared" si="0"/>
        <v>3</v>
      </c>
      <c r="C22" s="107">
        <f aca="true" t="shared" si="1" ref="C22:C95">C21-D22</f>
        <v>184439019</v>
      </c>
      <c r="D22" s="174"/>
      <c r="E22" s="234">
        <v>0.057</v>
      </c>
      <c r="F22" s="111">
        <f>2184140+455653</f>
        <v>2639793</v>
      </c>
      <c r="G22" s="235">
        <f>SUM(F10:F22)</f>
        <v>5138267</v>
      </c>
      <c r="H22" s="235">
        <f>SUM(D10:D22)</f>
        <v>2636020</v>
      </c>
      <c r="I22" s="236">
        <f>SUM(G22:H22)</f>
        <v>7774287</v>
      </c>
      <c r="K22" s="330">
        <v>2184140</v>
      </c>
      <c r="L22" s="113">
        <v>455653</v>
      </c>
    </row>
    <row r="23" spans="1:12" ht="12.75">
      <c r="A23" s="189">
        <v>38071</v>
      </c>
      <c r="B23" s="193">
        <f t="shared" si="0"/>
        <v>85</v>
      </c>
      <c r="C23" s="237">
        <f>C22-D23</f>
        <v>184439019</v>
      </c>
      <c r="D23" s="237"/>
      <c r="E23" s="238"/>
      <c r="F23" s="194"/>
      <c r="G23" s="239"/>
      <c r="H23" s="239"/>
      <c r="I23" s="240"/>
      <c r="K23" s="349"/>
      <c r="L23" s="350"/>
    </row>
    <row r="24" spans="1:12" ht="12.75">
      <c r="A24" s="90">
        <v>38074</v>
      </c>
      <c r="B24" s="223">
        <f t="shared" si="0"/>
        <v>3</v>
      </c>
      <c r="C24" s="157">
        <f>C23-D24</f>
        <v>181869019</v>
      </c>
      <c r="D24" s="157">
        <v>2570000</v>
      </c>
      <c r="E24" s="179"/>
      <c r="F24" s="41"/>
      <c r="G24" s="158"/>
      <c r="H24" s="158"/>
      <c r="I24" s="159"/>
      <c r="K24" s="325"/>
      <c r="L24" s="96"/>
    </row>
    <row r="25" spans="1:12" ht="12.75">
      <c r="A25" s="84">
        <v>38077</v>
      </c>
      <c r="B25" s="223">
        <f t="shared" si="0"/>
        <v>3</v>
      </c>
      <c r="C25" s="141">
        <f t="shared" si="1"/>
        <v>181869019</v>
      </c>
      <c r="D25" s="141"/>
      <c r="E25" s="173">
        <v>0.06</v>
      </c>
      <c r="F25" s="86">
        <v>2794931</v>
      </c>
      <c r="G25" s="151"/>
      <c r="H25" s="151"/>
      <c r="I25" s="152"/>
      <c r="K25" s="322">
        <v>2328853</v>
      </c>
      <c r="L25" s="332">
        <v>466078</v>
      </c>
    </row>
    <row r="26" spans="1:12" ht="12.75">
      <c r="A26" s="84">
        <v>38166</v>
      </c>
      <c r="B26" s="223">
        <f t="shared" si="0"/>
        <v>89</v>
      </c>
      <c r="C26" s="141">
        <f t="shared" si="1"/>
        <v>179299019</v>
      </c>
      <c r="D26" s="141">
        <v>2570000</v>
      </c>
      <c r="E26" s="173"/>
      <c r="F26" s="41"/>
      <c r="G26" s="151"/>
      <c r="H26" s="151"/>
      <c r="I26" s="152"/>
      <c r="K26" s="325"/>
      <c r="L26" s="96"/>
    </row>
    <row r="27" spans="1:12" ht="12.75">
      <c r="A27" s="84">
        <v>38168</v>
      </c>
      <c r="B27" s="225">
        <f t="shared" si="0"/>
        <v>2</v>
      </c>
      <c r="C27" s="141">
        <f t="shared" si="1"/>
        <v>179299019</v>
      </c>
      <c r="D27" s="141"/>
      <c r="E27" s="173">
        <v>0.06</v>
      </c>
      <c r="F27" s="86">
        <f>((C27+D27)*E27/360*B27)+((C26+D26)*E27/360*B26)</f>
        <v>2757490.1214999994</v>
      </c>
      <c r="G27" s="151"/>
      <c r="H27" s="151"/>
      <c r="I27" s="152"/>
      <c r="K27" s="322">
        <v>2297908</v>
      </c>
      <c r="L27" s="332">
        <v>459582</v>
      </c>
    </row>
    <row r="28" spans="1:12" ht="12.75">
      <c r="A28" s="84">
        <v>38258</v>
      </c>
      <c r="B28" s="91">
        <f t="shared" si="0"/>
        <v>90</v>
      </c>
      <c r="C28" s="141">
        <f t="shared" si="1"/>
        <v>176729019</v>
      </c>
      <c r="D28" s="141">
        <v>2570000</v>
      </c>
      <c r="E28" s="173"/>
      <c r="F28" s="41"/>
      <c r="G28" s="151"/>
      <c r="H28" s="151"/>
      <c r="I28" s="152"/>
      <c r="K28" s="325"/>
      <c r="L28" s="96"/>
    </row>
    <row r="29" spans="1:12" ht="12.75">
      <c r="A29" s="84">
        <v>38260</v>
      </c>
      <c r="B29" s="91">
        <f t="shared" si="0"/>
        <v>2</v>
      </c>
      <c r="C29" s="41">
        <f t="shared" si="1"/>
        <v>176729019</v>
      </c>
      <c r="D29" s="141"/>
      <c r="E29" s="173">
        <f>E27</f>
        <v>0.06</v>
      </c>
      <c r="F29" s="86">
        <f>((C29+D29)*E29/360*B29)+((C28+D28)*E29/360*B28)</f>
        <v>2748394.9579999996</v>
      </c>
      <c r="G29" s="151"/>
      <c r="H29" s="151"/>
      <c r="I29" s="152"/>
      <c r="K29" s="322">
        <v>2290329</v>
      </c>
      <c r="L29" s="332">
        <v>458066</v>
      </c>
    </row>
    <row r="30" spans="1:12" ht="12.75">
      <c r="A30" s="84">
        <v>38335</v>
      </c>
      <c r="B30" s="108">
        <f t="shared" si="0"/>
        <v>75</v>
      </c>
      <c r="C30" s="41">
        <f t="shared" si="1"/>
        <v>151748693</v>
      </c>
      <c r="D30" s="141">
        <v>24980326</v>
      </c>
      <c r="E30" s="173"/>
      <c r="F30" s="86"/>
      <c r="G30" s="151"/>
      <c r="H30" s="151"/>
      <c r="I30" s="152"/>
      <c r="K30" s="322"/>
      <c r="L30" s="332"/>
    </row>
    <row r="31" spans="1:12" ht="12.75">
      <c r="A31" s="84">
        <v>38349</v>
      </c>
      <c r="B31" s="108">
        <f t="shared" si="0"/>
        <v>14</v>
      </c>
      <c r="C31" s="41">
        <f t="shared" si="1"/>
        <v>149670000</v>
      </c>
      <c r="D31" s="141">
        <v>2078693</v>
      </c>
      <c r="E31" s="173"/>
      <c r="F31" s="41"/>
      <c r="G31" s="151"/>
      <c r="H31" s="151"/>
      <c r="I31" s="152"/>
      <c r="K31" s="325"/>
      <c r="L31" s="96"/>
    </row>
    <row r="32" spans="1:12" ht="12.75">
      <c r="A32" s="145">
        <v>38352</v>
      </c>
      <c r="B32" s="108">
        <f t="shared" si="0"/>
        <v>3</v>
      </c>
      <c r="C32" s="99">
        <f t="shared" si="1"/>
        <v>149670000</v>
      </c>
      <c r="D32" s="146"/>
      <c r="E32" s="175">
        <v>0.0408</v>
      </c>
      <c r="F32" s="86">
        <v>1803284</v>
      </c>
      <c r="G32" s="153">
        <f>SUM(F24:F32)</f>
        <v>10104100.079499999</v>
      </c>
      <c r="H32" s="153">
        <f>SUM(D24:D32)</f>
        <v>34769019</v>
      </c>
      <c r="I32" s="154">
        <f>SUM(G32:H32)</f>
        <v>44873119.0795</v>
      </c>
      <c r="K32" s="322">
        <v>1363613</v>
      </c>
      <c r="L32" s="332">
        <v>439671</v>
      </c>
    </row>
    <row r="33" spans="1:12" ht="12.75">
      <c r="A33" s="103">
        <v>38440</v>
      </c>
      <c r="B33" s="104">
        <f t="shared" si="0"/>
        <v>88</v>
      </c>
      <c r="C33" s="42">
        <f t="shared" si="1"/>
        <v>147591250</v>
      </c>
      <c r="D33" s="141">
        <v>2078750</v>
      </c>
      <c r="E33" s="173"/>
      <c r="F33" s="42"/>
      <c r="G33" s="143"/>
      <c r="H33" s="143"/>
      <c r="I33" s="144"/>
      <c r="K33" s="318"/>
      <c r="L33" s="106"/>
    </row>
    <row r="34" spans="1:12" ht="12.75">
      <c r="A34" s="84">
        <v>38442</v>
      </c>
      <c r="B34" s="91">
        <f t="shared" si="0"/>
        <v>2</v>
      </c>
      <c r="C34" s="86">
        <f t="shared" si="1"/>
        <v>147591250</v>
      </c>
      <c r="D34" s="141"/>
      <c r="E34" s="173">
        <v>0.0244</v>
      </c>
      <c r="F34" s="86">
        <v>919524</v>
      </c>
      <c r="G34" s="151"/>
      <c r="H34" s="151"/>
      <c r="I34" s="152"/>
      <c r="K34" s="322">
        <v>545464</v>
      </c>
      <c r="L34" s="332">
        <v>374060</v>
      </c>
    </row>
    <row r="35" spans="1:12" ht="12.75">
      <c r="A35" s="84">
        <v>38473</v>
      </c>
      <c r="B35" s="91">
        <f>A35-A34</f>
        <v>31</v>
      </c>
      <c r="C35" s="86">
        <f>C34-D35</f>
        <v>147591250</v>
      </c>
      <c r="D35" s="141"/>
      <c r="E35" s="173">
        <v>0.0249</v>
      </c>
      <c r="F35" s="86"/>
      <c r="G35" s="151"/>
      <c r="H35" s="151"/>
      <c r="I35" s="152"/>
      <c r="K35" s="322"/>
      <c r="L35" s="332"/>
    </row>
    <row r="36" spans="1:12" ht="12.75">
      <c r="A36" s="84">
        <v>38531</v>
      </c>
      <c r="B36" s="91">
        <f>A36-A34</f>
        <v>89</v>
      </c>
      <c r="C36" s="86">
        <f>C34-D36</f>
        <v>145512500</v>
      </c>
      <c r="D36" s="141">
        <v>2078750</v>
      </c>
      <c r="E36" s="173"/>
      <c r="F36" s="41"/>
      <c r="G36" s="151"/>
      <c r="H36" s="151"/>
      <c r="I36" s="152"/>
      <c r="K36" s="325"/>
      <c r="L36" s="96"/>
    </row>
    <row r="37" spans="1:12" ht="12.75">
      <c r="A37" s="84">
        <v>38533</v>
      </c>
      <c r="B37" s="91">
        <f t="shared" si="0"/>
        <v>2</v>
      </c>
      <c r="C37" s="86">
        <f t="shared" si="1"/>
        <v>145512500</v>
      </c>
      <c r="D37" s="141"/>
      <c r="E37" s="173">
        <v>0.031</v>
      </c>
      <c r="F37" s="86">
        <f>SUM(K37:L37)</f>
        <v>1221850</v>
      </c>
      <c r="G37" s="151"/>
      <c r="H37" s="151"/>
      <c r="I37" s="152"/>
      <c r="K37" s="322">
        <v>848888</v>
      </c>
      <c r="L37" s="332">
        <v>372962</v>
      </c>
    </row>
    <row r="38" spans="1:12" ht="12.75">
      <c r="A38" s="84">
        <v>38623</v>
      </c>
      <c r="B38" s="91">
        <f t="shared" si="0"/>
        <v>90</v>
      </c>
      <c r="C38" s="86">
        <f t="shared" si="1"/>
        <v>143433750</v>
      </c>
      <c r="D38" s="141">
        <v>2078750</v>
      </c>
      <c r="E38" s="173"/>
      <c r="F38" s="41"/>
      <c r="G38" s="151"/>
      <c r="H38" s="151"/>
      <c r="I38" s="152"/>
      <c r="K38" s="325"/>
      <c r="L38" s="96"/>
    </row>
    <row r="39" spans="1:12" ht="12.75">
      <c r="A39" s="84">
        <v>38625</v>
      </c>
      <c r="B39" s="91">
        <f t="shared" si="0"/>
        <v>2</v>
      </c>
      <c r="C39" s="86">
        <f t="shared" si="1"/>
        <v>143433750</v>
      </c>
      <c r="D39" s="141"/>
      <c r="E39" s="173">
        <v>0.038</v>
      </c>
      <c r="F39" s="86">
        <f>SUM(K39:L39)</f>
        <v>1239409</v>
      </c>
      <c r="G39" s="151"/>
      <c r="H39" s="151"/>
      <c r="I39" s="152"/>
      <c r="K39" s="322">
        <v>867659</v>
      </c>
      <c r="L39" s="332">
        <v>371750</v>
      </c>
    </row>
    <row r="40" spans="1:12" ht="12.75">
      <c r="A40" s="84">
        <v>38657</v>
      </c>
      <c r="B40" s="91">
        <f t="shared" si="0"/>
        <v>32</v>
      </c>
      <c r="C40" s="41">
        <f t="shared" si="1"/>
        <v>143433750</v>
      </c>
      <c r="D40" s="157"/>
      <c r="E40" s="179">
        <v>0.0288</v>
      </c>
      <c r="F40" s="86"/>
      <c r="G40" s="151"/>
      <c r="H40" s="151"/>
      <c r="I40" s="152"/>
      <c r="K40" s="322"/>
      <c r="L40" s="332"/>
    </row>
    <row r="41" spans="1:12" ht="12.75">
      <c r="A41" s="84">
        <v>38714</v>
      </c>
      <c r="B41" s="91">
        <f t="shared" si="0"/>
        <v>57</v>
      </c>
      <c r="C41" s="41">
        <f t="shared" si="1"/>
        <v>141355000</v>
      </c>
      <c r="D41" s="157">
        <v>2078750</v>
      </c>
      <c r="E41" s="179"/>
      <c r="F41" s="41"/>
      <c r="G41" s="151"/>
      <c r="H41" s="151"/>
      <c r="I41" s="152"/>
      <c r="K41" s="325"/>
      <c r="L41" s="96"/>
    </row>
    <row r="42" spans="1:12" ht="12.75">
      <c r="A42" s="145">
        <v>38716</v>
      </c>
      <c r="B42" s="98">
        <f t="shared" si="0"/>
        <v>2</v>
      </c>
      <c r="C42" s="99">
        <f t="shared" si="1"/>
        <v>141355000</v>
      </c>
      <c r="D42" s="147"/>
      <c r="E42" s="180">
        <v>0.0343</v>
      </c>
      <c r="F42" s="86">
        <f>SUM(K42:L42)</f>
        <v>1181896</v>
      </c>
      <c r="G42" s="153">
        <f>SUM(F33:F42)</f>
        <v>4562679</v>
      </c>
      <c r="H42" s="153">
        <f>SUM(D33:D42)</f>
        <v>8315000</v>
      </c>
      <c r="I42" s="154">
        <f>SUM(G42:H42)</f>
        <v>12877679</v>
      </c>
      <c r="K42" s="322">
        <v>819443</v>
      </c>
      <c r="L42" s="332">
        <v>362453</v>
      </c>
    </row>
    <row r="43" spans="1:12" ht="12.75">
      <c r="A43" s="103">
        <v>38804</v>
      </c>
      <c r="B43" s="85">
        <f t="shared" si="0"/>
        <v>88</v>
      </c>
      <c r="C43" s="141">
        <f t="shared" si="1"/>
        <v>139276250</v>
      </c>
      <c r="D43" s="141">
        <v>2078750</v>
      </c>
      <c r="E43" s="173"/>
      <c r="F43" s="42"/>
      <c r="G43" s="143"/>
      <c r="H43" s="143"/>
      <c r="I43" s="144"/>
      <c r="K43" s="318"/>
      <c r="L43" s="106"/>
    </row>
    <row r="44" spans="1:12" ht="12.75">
      <c r="A44" s="84">
        <v>38807</v>
      </c>
      <c r="B44" s="91">
        <f t="shared" si="0"/>
        <v>3</v>
      </c>
      <c r="C44" s="141">
        <f t="shared" si="1"/>
        <v>139276250</v>
      </c>
      <c r="D44" s="141"/>
      <c r="E44" s="173">
        <v>0.037</v>
      </c>
      <c r="F44" s="86">
        <f>SUM(K44:L44)</f>
        <v>1318241</v>
      </c>
      <c r="G44" s="151"/>
      <c r="H44" s="151"/>
      <c r="I44" s="152"/>
      <c r="K44" s="322">
        <v>961100</v>
      </c>
      <c r="L44" s="332">
        <v>357141</v>
      </c>
    </row>
    <row r="45" spans="1:12" ht="12.75">
      <c r="A45" s="84">
        <v>38896</v>
      </c>
      <c r="B45" s="91">
        <f t="shared" si="0"/>
        <v>89</v>
      </c>
      <c r="C45" s="141">
        <f t="shared" si="1"/>
        <v>137197500</v>
      </c>
      <c r="D45" s="141">
        <v>2078750</v>
      </c>
      <c r="E45" s="173"/>
      <c r="F45" s="41"/>
      <c r="G45" s="151"/>
      <c r="H45" s="151"/>
      <c r="I45" s="152"/>
      <c r="K45" s="325"/>
      <c r="L45" s="96"/>
    </row>
    <row r="46" spans="1:12" ht="12.75">
      <c r="A46" s="84">
        <v>38898</v>
      </c>
      <c r="B46" s="91">
        <f t="shared" si="0"/>
        <v>2</v>
      </c>
      <c r="C46" s="141">
        <f t="shared" si="1"/>
        <v>137197500</v>
      </c>
      <c r="D46" s="141"/>
      <c r="E46" s="173">
        <v>0.0416</v>
      </c>
      <c r="F46" s="86">
        <f>SUM(K46:L46)</f>
        <v>1462307</v>
      </c>
      <c r="G46" s="151"/>
      <c r="H46" s="151"/>
      <c r="I46" s="152"/>
      <c r="K46" s="322">
        <v>1110363</v>
      </c>
      <c r="L46" s="332">
        <v>351944</v>
      </c>
    </row>
    <row r="47" spans="1:12" ht="12.75">
      <c r="A47" s="84">
        <v>38929</v>
      </c>
      <c r="B47" s="91">
        <f>A47-A46</f>
        <v>31</v>
      </c>
      <c r="C47" s="141">
        <f t="shared" si="1"/>
        <v>137197500</v>
      </c>
      <c r="D47" s="141"/>
      <c r="E47" s="173">
        <v>0.0422</v>
      </c>
      <c r="F47" s="86"/>
      <c r="G47" s="151"/>
      <c r="H47" s="151"/>
      <c r="I47" s="152"/>
      <c r="K47" s="322"/>
      <c r="L47" s="332"/>
    </row>
    <row r="48" spans="1:12" ht="12.75">
      <c r="A48" s="84">
        <v>38960</v>
      </c>
      <c r="B48" s="91">
        <f>A48-A47</f>
        <v>31</v>
      </c>
      <c r="C48" s="141">
        <f aca="true" t="shared" si="2" ref="C48:C53">C47-D48</f>
        <v>137197500</v>
      </c>
      <c r="D48" s="141"/>
      <c r="E48" s="173">
        <v>0.0409</v>
      </c>
      <c r="F48" s="86"/>
      <c r="G48" s="151"/>
      <c r="H48" s="151"/>
      <c r="I48" s="152"/>
      <c r="K48" s="322"/>
      <c r="L48" s="332"/>
    </row>
    <row r="49" spans="1:12" ht="12.75">
      <c r="A49" s="84">
        <v>38988</v>
      </c>
      <c r="B49" s="91">
        <f>A49-A48</f>
        <v>28</v>
      </c>
      <c r="C49" s="141">
        <f t="shared" si="2"/>
        <v>135118750</v>
      </c>
      <c r="D49" s="141">
        <v>2078750</v>
      </c>
      <c r="E49" s="173"/>
      <c r="F49" s="41"/>
      <c r="G49" s="151"/>
      <c r="H49" s="151"/>
      <c r="I49" s="152"/>
      <c r="K49" s="325"/>
      <c r="L49" s="96"/>
    </row>
    <row r="50" spans="1:12" ht="12.75">
      <c r="A50" s="84">
        <v>38989</v>
      </c>
      <c r="B50" s="91">
        <f t="shared" si="0"/>
        <v>1</v>
      </c>
      <c r="C50" s="141">
        <f t="shared" si="2"/>
        <v>135118750</v>
      </c>
      <c r="D50" s="141"/>
      <c r="E50" s="173">
        <v>0.0383</v>
      </c>
      <c r="F50" s="86">
        <f>SUM(K50:L50)</f>
        <v>1374785</v>
      </c>
      <c r="G50" s="151"/>
      <c r="H50" s="151"/>
      <c r="I50" s="152"/>
      <c r="K50" s="322">
        <v>1028038</v>
      </c>
      <c r="L50" s="332">
        <v>346747</v>
      </c>
    </row>
    <row r="51" spans="1:12" ht="12.75">
      <c r="A51" s="84">
        <v>38991</v>
      </c>
      <c r="B51" s="91">
        <f>A51-A50</f>
        <v>2</v>
      </c>
      <c r="C51" s="141">
        <f t="shared" si="2"/>
        <v>135118750</v>
      </c>
      <c r="D51" s="141"/>
      <c r="E51" s="173">
        <v>0.0383</v>
      </c>
      <c r="F51" s="86"/>
      <c r="G51" s="151"/>
      <c r="H51" s="151"/>
      <c r="I51" s="152"/>
      <c r="K51" s="322"/>
      <c r="L51" s="332"/>
    </row>
    <row r="52" spans="1:12" ht="12.75">
      <c r="A52" s="84">
        <v>39022</v>
      </c>
      <c r="B52" s="91">
        <f>A52-A51</f>
        <v>31</v>
      </c>
      <c r="C52" s="141">
        <f t="shared" si="2"/>
        <v>135118750</v>
      </c>
      <c r="D52" s="141"/>
      <c r="E52" s="173">
        <v>0.0482</v>
      </c>
      <c r="F52" s="86"/>
      <c r="G52" s="151"/>
      <c r="H52" s="151"/>
      <c r="I52" s="152"/>
      <c r="K52" s="322"/>
      <c r="L52" s="332"/>
    </row>
    <row r="53" spans="1:12" ht="12.75">
      <c r="A53" s="84">
        <v>39052</v>
      </c>
      <c r="B53" s="108">
        <f t="shared" si="0"/>
        <v>30</v>
      </c>
      <c r="C53" s="141">
        <f t="shared" si="2"/>
        <v>135118750</v>
      </c>
      <c r="D53" s="141"/>
      <c r="E53" s="173">
        <v>0.0456</v>
      </c>
      <c r="F53" s="86"/>
      <c r="G53" s="151"/>
      <c r="H53" s="151"/>
      <c r="I53" s="152"/>
      <c r="K53" s="322"/>
      <c r="L53" s="332"/>
    </row>
    <row r="54" spans="1:12" ht="12.75">
      <c r="A54" s="84">
        <v>39079</v>
      </c>
      <c r="B54" s="108">
        <f t="shared" si="0"/>
        <v>27</v>
      </c>
      <c r="C54" s="141">
        <f>C51-D54</f>
        <v>133040000</v>
      </c>
      <c r="D54" s="141">
        <v>2078750</v>
      </c>
      <c r="E54" s="173"/>
      <c r="F54" s="41"/>
      <c r="G54" s="151"/>
      <c r="H54" s="151"/>
      <c r="I54" s="152"/>
      <c r="K54" s="325"/>
      <c r="L54" s="96"/>
    </row>
    <row r="55" spans="1:12" ht="12.75">
      <c r="A55" s="97">
        <v>39080</v>
      </c>
      <c r="B55" s="98">
        <f t="shared" si="0"/>
        <v>1</v>
      </c>
      <c r="C55" s="147">
        <f t="shared" si="1"/>
        <v>133040000</v>
      </c>
      <c r="D55" s="147"/>
      <c r="E55" s="180">
        <v>0.0428</v>
      </c>
      <c r="F55" s="99">
        <f>SUM(K55:L55)</f>
        <v>1548851</v>
      </c>
      <c r="G55" s="148">
        <f>SUM(F43:F55)</f>
        <v>5704184</v>
      </c>
      <c r="H55" s="148">
        <f>SUM(D43:D55)</f>
        <v>8315000</v>
      </c>
      <c r="I55" s="149">
        <f>SUM(G55:H55)</f>
        <v>14019184</v>
      </c>
      <c r="K55" s="320">
        <v>1207359</v>
      </c>
      <c r="L55" s="324">
        <v>341492</v>
      </c>
    </row>
    <row r="56" spans="1:12" ht="12.75">
      <c r="A56" s="103">
        <v>39114</v>
      </c>
      <c r="B56" s="104">
        <f>A56-A55</f>
        <v>34</v>
      </c>
      <c r="C56" s="42">
        <f>C55-D56</f>
        <v>133040000</v>
      </c>
      <c r="D56" s="142"/>
      <c r="E56" s="177">
        <v>0.0414</v>
      </c>
      <c r="F56" s="42"/>
      <c r="G56" s="143"/>
      <c r="H56" s="143"/>
      <c r="I56" s="144"/>
      <c r="K56" s="318"/>
      <c r="L56" s="106"/>
    </row>
    <row r="57" spans="1:12" ht="12.75">
      <c r="A57" s="84">
        <v>39169</v>
      </c>
      <c r="B57" s="85">
        <f>A57-A56</f>
        <v>55</v>
      </c>
      <c r="C57" s="86">
        <f>C56-D57</f>
        <v>130961250</v>
      </c>
      <c r="D57" s="141">
        <v>2078750</v>
      </c>
      <c r="E57" s="173"/>
      <c r="F57" s="86"/>
      <c r="G57" s="151"/>
      <c r="H57" s="151"/>
      <c r="I57" s="152"/>
      <c r="K57" s="322"/>
      <c r="L57" s="332"/>
    </row>
    <row r="58" spans="1:12" ht="12.75">
      <c r="A58" s="84">
        <v>39172</v>
      </c>
      <c r="B58" s="91">
        <f t="shared" si="0"/>
        <v>3</v>
      </c>
      <c r="C58" s="86">
        <f t="shared" si="1"/>
        <v>130961250</v>
      </c>
      <c r="D58" s="141"/>
      <c r="E58" s="173">
        <v>0.0401</v>
      </c>
      <c r="F58" s="86">
        <f>((C56+D56)*E56/360*B56)+((C58+D58)*E58/360*B58)+((C57+D57)*E58/360*B57)</f>
        <v>1379004.0621527778</v>
      </c>
      <c r="G58" s="151"/>
      <c r="H58" s="151"/>
      <c r="I58" s="152"/>
      <c r="K58" s="322"/>
      <c r="L58" s="332"/>
    </row>
    <row r="59" spans="1:12" ht="12.75">
      <c r="A59" s="84">
        <v>39261</v>
      </c>
      <c r="B59" s="91">
        <f t="shared" si="0"/>
        <v>89</v>
      </c>
      <c r="C59" s="86">
        <f t="shared" si="1"/>
        <v>128882500</v>
      </c>
      <c r="D59" s="141">
        <v>2078750</v>
      </c>
      <c r="E59" s="173"/>
      <c r="F59" s="41"/>
      <c r="G59" s="151"/>
      <c r="H59" s="151"/>
      <c r="I59" s="152"/>
      <c r="K59" s="325"/>
      <c r="L59" s="96"/>
    </row>
    <row r="60" spans="1:12" ht="12.75">
      <c r="A60" s="84">
        <v>39263</v>
      </c>
      <c r="B60" s="91">
        <f t="shared" si="0"/>
        <v>2</v>
      </c>
      <c r="C60" s="86">
        <f t="shared" si="1"/>
        <v>128882500</v>
      </c>
      <c r="D60" s="141"/>
      <c r="E60" s="173">
        <f>E58</f>
        <v>0.0401</v>
      </c>
      <c r="F60" s="86">
        <f>((C60+D60)*E60/360*B60)+((C59+D59)*E60/360*B59)</f>
        <v>1327011.0600694444</v>
      </c>
      <c r="G60" s="151"/>
      <c r="H60" s="151"/>
      <c r="I60" s="152"/>
      <c r="K60" s="322"/>
      <c r="L60" s="332"/>
    </row>
    <row r="61" spans="1:12" ht="12.75">
      <c r="A61" s="90">
        <v>39353</v>
      </c>
      <c r="B61" s="91">
        <f t="shared" si="0"/>
        <v>90</v>
      </c>
      <c r="C61" s="41">
        <f t="shared" si="1"/>
        <v>126803750</v>
      </c>
      <c r="D61" s="141">
        <v>2078750</v>
      </c>
      <c r="E61" s="179"/>
      <c r="F61" s="41"/>
      <c r="G61" s="158"/>
      <c r="H61" s="158"/>
      <c r="I61" s="159"/>
      <c r="K61" s="325"/>
      <c r="L61" s="96"/>
    </row>
    <row r="62" spans="1:12" ht="12.75">
      <c r="A62" s="90">
        <v>39355</v>
      </c>
      <c r="B62" s="91">
        <f t="shared" si="0"/>
        <v>2</v>
      </c>
      <c r="C62" s="41">
        <f t="shared" si="1"/>
        <v>126803750</v>
      </c>
      <c r="D62" s="141"/>
      <c r="E62" s="179">
        <f>E60</f>
        <v>0.0401</v>
      </c>
      <c r="F62" s="41">
        <f>((C62+D62)*E62/360*B62)+((C61+D61)*E62/360*B61)</f>
        <v>1320296.120138889</v>
      </c>
      <c r="G62" s="158"/>
      <c r="H62" s="158"/>
      <c r="I62" s="159"/>
      <c r="K62" s="325"/>
      <c r="L62" s="96"/>
    </row>
    <row r="63" spans="1:12" ht="12.75">
      <c r="A63" s="84">
        <v>39444</v>
      </c>
      <c r="B63" s="91">
        <f t="shared" si="0"/>
        <v>89</v>
      </c>
      <c r="C63" s="86">
        <f t="shared" si="1"/>
        <v>124725000</v>
      </c>
      <c r="D63" s="141">
        <v>2078750</v>
      </c>
      <c r="E63" s="173"/>
      <c r="F63" s="41"/>
      <c r="G63" s="151"/>
      <c r="H63" s="151"/>
      <c r="I63" s="152"/>
      <c r="K63" s="325"/>
      <c r="L63" s="96"/>
    </row>
    <row r="64" spans="1:12" ht="12.75">
      <c r="A64" s="97">
        <v>39447</v>
      </c>
      <c r="B64" s="98">
        <f t="shared" si="0"/>
        <v>3</v>
      </c>
      <c r="C64" s="99">
        <f t="shared" si="1"/>
        <v>124725000</v>
      </c>
      <c r="D64" s="146"/>
      <c r="E64" s="180">
        <f>E62</f>
        <v>0.0401</v>
      </c>
      <c r="F64" s="99">
        <f>((C64+D64)*E64/360*B64)+((C63+D63)*E64/360*B63)</f>
        <v>1298762.0024305554</v>
      </c>
      <c r="G64" s="148">
        <f>SUM(F57:F64)</f>
        <v>5325073.244791667</v>
      </c>
      <c r="H64" s="148">
        <f>SUM(D57:D64)</f>
        <v>8315000</v>
      </c>
      <c r="I64" s="149">
        <f>SUM(G64:H64)</f>
        <v>13640073.244791668</v>
      </c>
      <c r="K64" s="320"/>
      <c r="L64" s="324"/>
    </row>
    <row r="65" spans="1:12" ht="12.75">
      <c r="A65" s="103">
        <v>39535</v>
      </c>
      <c r="B65" s="104">
        <f t="shared" si="0"/>
        <v>88</v>
      </c>
      <c r="C65" s="142">
        <f t="shared" si="1"/>
        <v>122646250</v>
      </c>
      <c r="D65" s="141">
        <v>2078750</v>
      </c>
      <c r="E65" s="177"/>
      <c r="F65" s="42"/>
      <c r="G65" s="143"/>
      <c r="H65" s="143"/>
      <c r="I65" s="144"/>
      <c r="K65" s="318"/>
      <c r="L65" s="106"/>
    </row>
    <row r="66" spans="1:12" ht="12.75">
      <c r="A66" s="84">
        <v>39538</v>
      </c>
      <c r="B66" s="91">
        <f t="shared" si="0"/>
        <v>3</v>
      </c>
      <c r="C66" s="141">
        <f t="shared" si="1"/>
        <v>122646250</v>
      </c>
      <c r="D66" s="141"/>
      <c r="E66" s="173">
        <f>E64</f>
        <v>0.0401</v>
      </c>
      <c r="F66" s="86">
        <f>((C66+D66)*E66/360*B66)+((C65+D65)*E66/360*B65)</f>
        <v>1263566.4552083332</v>
      </c>
      <c r="G66" s="151"/>
      <c r="H66" s="151"/>
      <c r="I66" s="152"/>
      <c r="K66" s="322"/>
      <c r="L66" s="332"/>
    </row>
    <row r="67" spans="1:12" ht="12.75">
      <c r="A67" s="232">
        <v>39627</v>
      </c>
      <c r="B67" s="108">
        <f t="shared" si="0"/>
        <v>89</v>
      </c>
      <c r="C67" s="174">
        <f t="shared" si="1"/>
        <v>120567500</v>
      </c>
      <c r="D67" s="141">
        <v>2078750</v>
      </c>
      <c r="E67" s="241"/>
      <c r="F67" s="107"/>
      <c r="G67" s="235"/>
      <c r="H67" s="235"/>
      <c r="I67" s="236"/>
      <c r="K67" s="351"/>
      <c r="L67" s="109"/>
    </row>
    <row r="68" spans="1:12" ht="12.75">
      <c r="A68" s="90">
        <v>39629</v>
      </c>
      <c r="B68" s="91">
        <f t="shared" si="0"/>
        <v>2</v>
      </c>
      <c r="C68" s="41">
        <f t="shared" si="1"/>
        <v>120567500</v>
      </c>
      <c r="D68" s="141"/>
      <c r="E68" s="95">
        <f>E66</f>
        <v>0.0401</v>
      </c>
      <c r="F68" s="41">
        <f>((C68+D68)*E68/360*B68)+((C67+D67)*E68/360*B67)</f>
        <v>1242726.9864583332</v>
      </c>
      <c r="G68" s="93"/>
      <c r="H68" s="93"/>
      <c r="I68" s="94"/>
      <c r="K68" s="325"/>
      <c r="L68" s="96"/>
    </row>
    <row r="69" spans="1:12" ht="12.75">
      <c r="A69" s="90">
        <v>39719</v>
      </c>
      <c r="B69" s="91">
        <f t="shared" si="0"/>
        <v>90</v>
      </c>
      <c r="C69" s="41">
        <f t="shared" si="1"/>
        <v>118488750</v>
      </c>
      <c r="D69" s="141">
        <v>2078750</v>
      </c>
      <c r="E69" s="95"/>
      <c r="F69" s="41"/>
      <c r="G69" s="93"/>
      <c r="H69" s="93"/>
      <c r="I69" s="94"/>
      <c r="K69" s="325"/>
      <c r="L69" s="96"/>
    </row>
    <row r="70" spans="1:12" ht="12.75">
      <c r="A70" s="84">
        <v>39721</v>
      </c>
      <c r="B70" s="85">
        <f t="shared" si="0"/>
        <v>2</v>
      </c>
      <c r="C70" s="86">
        <f>C69-D70</f>
        <v>118488750</v>
      </c>
      <c r="D70" s="141"/>
      <c r="E70" s="110">
        <f>E68</f>
        <v>0.0401</v>
      </c>
      <c r="F70" s="86">
        <f>((C70+D70)*E70/360*B70)+((C69+D69)*E70/360*B69)</f>
        <v>1235085.8479166667</v>
      </c>
      <c r="G70" s="88"/>
      <c r="H70" s="88"/>
      <c r="I70" s="89"/>
      <c r="K70" s="322"/>
      <c r="L70" s="332"/>
    </row>
    <row r="71" spans="1:12" ht="12.75">
      <c r="A71" s="90">
        <v>39810</v>
      </c>
      <c r="B71" s="91">
        <f t="shared" si="0"/>
        <v>89</v>
      </c>
      <c r="C71" s="41">
        <f t="shared" si="1"/>
        <v>116410000</v>
      </c>
      <c r="D71" s="141">
        <v>2078750</v>
      </c>
      <c r="E71" s="95"/>
      <c r="F71" s="41"/>
      <c r="G71" s="93"/>
      <c r="H71" s="93"/>
      <c r="I71" s="94"/>
      <c r="K71" s="325"/>
      <c r="L71" s="96"/>
    </row>
    <row r="72" spans="1:12" ht="12.75">
      <c r="A72" s="97">
        <v>39813</v>
      </c>
      <c r="B72" s="98">
        <f t="shared" si="0"/>
        <v>3</v>
      </c>
      <c r="C72" s="147">
        <f t="shared" si="1"/>
        <v>116410000</v>
      </c>
      <c r="D72" s="147"/>
      <c r="E72" s="180">
        <f>E70</f>
        <v>0.0401</v>
      </c>
      <c r="F72" s="99">
        <f>((C72+D72)*E72/360*B72)+((C71+D71)*E72/360*B71)</f>
        <v>1213551.730208333</v>
      </c>
      <c r="G72" s="148">
        <f>SUM(F65:F72)</f>
        <v>4954931.019791666</v>
      </c>
      <c r="H72" s="148">
        <f>SUM(D65:D72)</f>
        <v>8315000</v>
      </c>
      <c r="I72" s="149">
        <f>SUM(G72:H72)</f>
        <v>13269931.019791666</v>
      </c>
      <c r="K72" s="320"/>
      <c r="L72" s="324"/>
    </row>
    <row r="73" spans="1:12" ht="12.75">
      <c r="A73" s="103">
        <v>39900</v>
      </c>
      <c r="B73" s="104">
        <f t="shared" si="0"/>
        <v>87</v>
      </c>
      <c r="C73" s="42">
        <f t="shared" si="1"/>
        <v>114331250</v>
      </c>
      <c r="D73" s="142">
        <v>2078750</v>
      </c>
      <c r="E73" s="177"/>
      <c r="F73" s="42"/>
      <c r="G73" s="143"/>
      <c r="H73" s="143"/>
      <c r="I73" s="144"/>
      <c r="K73" s="318"/>
      <c r="L73" s="106"/>
    </row>
    <row r="74" spans="1:12" ht="12.75">
      <c r="A74" s="84">
        <v>39903</v>
      </c>
      <c r="B74" s="91">
        <f t="shared" si="0"/>
        <v>3</v>
      </c>
      <c r="C74" s="86">
        <f t="shared" si="1"/>
        <v>114331250</v>
      </c>
      <c r="D74" s="141"/>
      <c r="E74" s="173">
        <f>E72</f>
        <v>0.0401</v>
      </c>
      <c r="F74" s="86">
        <f>((C74+D74)*E74/360*B74)+((C73+D73)*E74/360*B73)</f>
        <v>1166315.6010416665</v>
      </c>
      <c r="G74" s="151"/>
      <c r="H74" s="151"/>
      <c r="I74" s="152"/>
      <c r="K74" s="322"/>
      <c r="L74" s="332"/>
    </row>
    <row r="75" spans="1:12" ht="12.75">
      <c r="A75" s="84">
        <v>39992</v>
      </c>
      <c r="B75" s="91">
        <f t="shared" si="0"/>
        <v>89</v>
      </c>
      <c r="C75" s="86">
        <f t="shared" si="1"/>
        <v>112252500</v>
      </c>
      <c r="D75" s="141">
        <v>2078750</v>
      </c>
      <c r="E75" s="173"/>
      <c r="F75" s="41"/>
      <c r="G75" s="151"/>
      <c r="H75" s="151"/>
      <c r="I75" s="152"/>
      <c r="K75" s="325"/>
      <c r="L75" s="96"/>
    </row>
    <row r="76" spans="1:12" ht="12.75">
      <c r="A76" s="84">
        <v>39994</v>
      </c>
      <c r="B76" s="91">
        <f t="shared" si="0"/>
        <v>2</v>
      </c>
      <c r="C76" s="86">
        <f t="shared" si="1"/>
        <v>112252500</v>
      </c>
      <c r="D76" s="141"/>
      <c r="E76" s="173">
        <f>E74</f>
        <v>0.0401</v>
      </c>
      <c r="F76" s="86">
        <f>((C76+D76)*E76/360*B76)+((C75+D75)*E76/360*B75)</f>
        <v>1158442.9128472223</v>
      </c>
      <c r="G76" s="151"/>
      <c r="H76" s="151"/>
      <c r="I76" s="152"/>
      <c r="K76" s="322"/>
      <c r="L76" s="332"/>
    </row>
    <row r="77" spans="1:12" ht="12.75">
      <c r="A77" s="84">
        <v>40084</v>
      </c>
      <c r="B77" s="91">
        <f t="shared" si="0"/>
        <v>90</v>
      </c>
      <c r="C77" s="86">
        <f t="shared" si="1"/>
        <v>110173750</v>
      </c>
      <c r="D77" s="141">
        <v>2078750</v>
      </c>
      <c r="E77" s="173"/>
      <c r="F77" s="41"/>
      <c r="G77" s="151"/>
      <c r="H77" s="151"/>
      <c r="I77" s="152"/>
      <c r="K77" s="325"/>
      <c r="L77" s="96"/>
    </row>
    <row r="78" spans="1:12" ht="12.75">
      <c r="A78" s="84">
        <v>40086</v>
      </c>
      <c r="B78" s="91">
        <f t="shared" si="0"/>
        <v>2</v>
      </c>
      <c r="C78" s="86">
        <f t="shared" si="1"/>
        <v>110173750</v>
      </c>
      <c r="D78" s="141"/>
      <c r="E78" s="173">
        <f>E76</f>
        <v>0.0401</v>
      </c>
      <c r="F78" s="86">
        <f>((C78+D78)*E78/360*B78)+((C77+D77)*E78/360*B77)</f>
        <v>1149875.5756944444</v>
      </c>
      <c r="G78" s="151"/>
      <c r="H78" s="151"/>
      <c r="I78" s="152"/>
      <c r="K78" s="322"/>
      <c r="L78" s="332"/>
    </row>
    <row r="79" spans="1:12" ht="12.75">
      <c r="A79" s="84">
        <v>40175</v>
      </c>
      <c r="B79" s="91">
        <f t="shared" si="0"/>
        <v>89</v>
      </c>
      <c r="C79" s="86">
        <f t="shared" si="1"/>
        <v>108095000</v>
      </c>
      <c r="D79" s="141">
        <v>2078750</v>
      </c>
      <c r="E79" s="173"/>
      <c r="F79" s="41"/>
      <c r="G79" s="151"/>
      <c r="H79" s="151"/>
      <c r="I79" s="152"/>
      <c r="K79" s="325"/>
      <c r="L79" s="96"/>
    </row>
    <row r="80" spans="1:12" ht="12.75">
      <c r="A80" s="145">
        <v>40178</v>
      </c>
      <c r="B80" s="98">
        <f t="shared" si="0"/>
        <v>3</v>
      </c>
      <c r="C80" s="178">
        <f t="shared" si="1"/>
        <v>108095000</v>
      </c>
      <c r="D80" s="146"/>
      <c r="E80" s="175">
        <f>E78</f>
        <v>0.0401</v>
      </c>
      <c r="F80" s="86">
        <f>((C80+D80)*E80/360*B80)+((C79+D79)*E80/360*B79)</f>
        <v>1128341.457986111</v>
      </c>
      <c r="G80" s="153">
        <f>SUM(F73:F80)</f>
        <v>4602975.547569444</v>
      </c>
      <c r="H80" s="153">
        <f>SUM(D73:D80)</f>
        <v>8315000</v>
      </c>
      <c r="I80" s="154">
        <f>SUM(G80:H80)</f>
        <v>12917975.547569444</v>
      </c>
      <c r="K80" s="322"/>
      <c r="L80" s="332"/>
    </row>
    <row r="81" spans="1:12" ht="12.75">
      <c r="A81" s="103">
        <v>40265</v>
      </c>
      <c r="B81" s="85">
        <f t="shared" si="0"/>
        <v>87</v>
      </c>
      <c r="C81" s="141">
        <f t="shared" si="1"/>
        <v>106016250</v>
      </c>
      <c r="D81" s="141">
        <v>2078750</v>
      </c>
      <c r="E81" s="173"/>
      <c r="F81" s="42"/>
      <c r="G81" s="143"/>
      <c r="H81" s="143"/>
      <c r="I81" s="144"/>
      <c r="K81" s="318"/>
      <c r="L81" s="106"/>
    </row>
    <row r="82" spans="1:12" ht="12.75">
      <c r="A82" s="84">
        <v>40268</v>
      </c>
      <c r="B82" s="91">
        <f t="shared" si="0"/>
        <v>3</v>
      </c>
      <c r="C82" s="141">
        <f t="shared" si="1"/>
        <v>106016250</v>
      </c>
      <c r="D82" s="141"/>
      <c r="E82" s="173">
        <f>E80</f>
        <v>0.0401</v>
      </c>
      <c r="F82" s="86">
        <f>((C82+D82)*E82/360*B82)+((C81+D81)*E82/360*B81)</f>
        <v>1082957.7260416667</v>
      </c>
      <c r="G82" s="151"/>
      <c r="H82" s="151"/>
      <c r="I82" s="152"/>
      <c r="K82" s="322"/>
      <c r="L82" s="332"/>
    </row>
    <row r="83" spans="1:12" ht="12.75">
      <c r="A83" s="84">
        <v>40357</v>
      </c>
      <c r="B83" s="91">
        <f aca="true" t="shared" si="3" ref="B83:B146">A83-A82</f>
        <v>89</v>
      </c>
      <c r="C83" s="141">
        <f t="shared" si="1"/>
        <v>103937500</v>
      </c>
      <c r="D83" s="141">
        <v>2078750</v>
      </c>
      <c r="E83" s="173"/>
      <c r="F83" s="41"/>
      <c r="G83" s="151"/>
      <c r="H83" s="151"/>
      <c r="I83" s="152"/>
      <c r="K83" s="325"/>
      <c r="L83" s="96"/>
    </row>
    <row r="84" spans="1:12" ht="12.75">
      <c r="A84" s="84">
        <v>40359</v>
      </c>
      <c r="B84" s="91">
        <f t="shared" si="3"/>
        <v>2</v>
      </c>
      <c r="C84" s="141">
        <f t="shared" si="1"/>
        <v>103937500</v>
      </c>
      <c r="D84" s="141"/>
      <c r="E84" s="173">
        <f>E82</f>
        <v>0.0401</v>
      </c>
      <c r="F84" s="86">
        <f>((C84+D84)*E84/360*B84)+((C83+D83)*E84/360*B83)</f>
        <v>1074158.8392361111</v>
      </c>
      <c r="G84" s="151"/>
      <c r="H84" s="151"/>
      <c r="I84" s="152"/>
      <c r="K84" s="322"/>
      <c r="L84" s="332"/>
    </row>
    <row r="85" spans="1:12" ht="12.75">
      <c r="A85" s="84">
        <v>40449</v>
      </c>
      <c r="B85" s="91">
        <f t="shared" si="3"/>
        <v>90</v>
      </c>
      <c r="C85" s="141">
        <f t="shared" si="1"/>
        <v>101858750</v>
      </c>
      <c r="D85" s="141">
        <v>2078750</v>
      </c>
      <c r="E85" s="173"/>
      <c r="F85" s="41"/>
      <c r="G85" s="151"/>
      <c r="H85" s="151"/>
      <c r="I85" s="152"/>
      <c r="K85" s="325"/>
      <c r="L85" s="96"/>
    </row>
    <row r="86" spans="1:12" ht="12.75">
      <c r="A86" s="84">
        <v>40451</v>
      </c>
      <c r="B86" s="91">
        <f t="shared" si="3"/>
        <v>2</v>
      </c>
      <c r="C86" s="141">
        <f>C85-D86</f>
        <v>101858750</v>
      </c>
      <c r="D86" s="141"/>
      <c r="E86" s="173">
        <f>E84</f>
        <v>0.0401</v>
      </c>
      <c r="F86" s="86">
        <f>((C86+D86)*E86/360*B86)+((C85+D85)*E86/360*B85)</f>
        <v>1064665.303472222</v>
      </c>
      <c r="G86" s="151"/>
      <c r="H86" s="151"/>
      <c r="I86" s="152"/>
      <c r="K86" s="322"/>
      <c r="L86" s="332"/>
    </row>
    <row r="87" spans="1:12" ht="12.75">
      <c r="A87" s="84">
        <v>40540</v>
      </c>
      <c r="B87" s="91">
        <f t="shared" si="3"/>
        <v>89</v>
      </c>
      <c r="C87" s="141">
        <f t="shared" si="1"/>
        <v>99780000</v>
      </c>
      <c r="D87" s="141">
        <v>2078750</v>
      </c>
      <c r="E87" s="173"/>
      <c r="F87" s="41"/>
      <c r="G87" s="151"/>
      <c r="H87" s="151"/>
      <c r="I87" s="152"/>
      <c r="K87" s="325"/>
      <c r="L87" s="96"/>
    </row>
    <row r="88" spans="1:12" ht="12.75">
      <c r="A88" s="145">
        <v>40543</v>
      </c>
      <c r="B88" s="108">
        <f t="shared" si="3"/>
        <v>3</v>
      </c>
      <c r="C88" s="174">
        <f t="shared" si="1"/>
        <v>99780000</v>
      </c>
      <c r="D88" s="146"/>
      <c r="E88" s="175">
        <f>E86</f>
        <v>0.0401</v>
      </c>
      <c r="F88" s="86">
        <f>((C88+D88)*E88/360*B88)+((C87+D87)*E88/360*B87)</f>
        <v>1043131.1857638888</v>
      </c>
      <c r="G88" s="153">
        <f>SUM(F81:F88)</f>
        <v>4264913.054513888</v>
      </c>
      <c r="H88" s="153">
        <f>SUM(D81:D88)</f>
        <v>8315000</v>
      </c>
      <c r="I88" s="154">
        <f>SUM(G88:H88)</f>
        <v>12579913.054513888</v>
      </c>
      <c r="K88" s="322"/>
      <c r="L88" s="332"/>
    </row>
    <row r="89" spans="1:12" ht="12.75">
      <c r="A89" s="103">
        <v>40630</v>
      </c>
      <c r="B89" s="104">
        <f t="shared" si="3"/>
        <v>87</v>
      </c>
      <c r="C89" s="42">
        <f t="shared" si="1"/>
        <v>97701250</v>
      </c>
      <c r="D89" s="141">
        <v>2078750</v>
      </c>
      <c r="E89" s="173"/>
      <c r="F89" s="42"/>
      <c r="G89" s="143"/>
      <c r="H89" s="143"/>
      <c r="I89" s="144"/>
      <c r="K89" s="318"/>
      <c r="L89" s="106"/>
    </row>
    <row r="90" spans="1:12" ht="12.75">
      <c r="A90" s="84">
        <v>40633</v>
      </c>
      <c r="B90" s="91">
        <f t="shared" si="3"/>
        <v>3</v>
      </c>
      <c r="C90" s="86">
        <f t="shared" si="1"/>
        <v>97701250</v>
      </c>
      <c r="D90" s="141"/>
      <c r="E90" s="173">
        <f>E88</f>
        <v>0.0401</v>
      </c>
      <c r="F90" s="86">
        <f>((C90+D90)*E90/360*B90)+((C89+D89)*E90/360*B89)</f>
        <v>999599.8510416665</v>
      </c>
      <c r="G90" s="151"/>
      <c r="H90" s="151"/>
      <c r="I90" s="152"/>
      <c r="K90" s="322"/>
      <c r="L90" s="332"/>
    </row>
    <row r="91" spans="1:12" ht="12.75">
      <c r="A91" s="84">
        <v>40722</v>
      </c>
      <c r="B91" s="91">
        <f t="shared" si="3"/>
        <v>89</v>
      </c>
      <c r="C91" s="86">
        <f t="shared" si="1"/>
        <v>95622500</v>
      </c>
      <c r="D91" s="141">
        <v>2078750</v>
      </c>
      <c r="E91" s="173"/>
      <c r="F91" s="41"/>
      <c r="G91" s="151"/>
      <c r="H91" s="151"/>
      <c r="I91" s="152"/>
      <c r="K91" s="325"/>
      <c r="L91" s="96"/>
    </row>
    <row r="92" spans="1:12" ht="12.75">
      <c r="A92" s="84">
        <v>40724</v>
      </c>
      <c r="B92" s="91">
        <f t="shared" si="3"/>
        <v>2</v>
      </c>
      <c r="C92" s="86">
        <f t="shared" si="1"/>
        <v>95622500</v>
      </c>
      <c r="D92" s="141"/>
      <c r="E92" s="173">
        <f>E90</f>
        <v>0.0401</v>
      </c>
      <c r="F92" s="86">
        <f>((C92+D92)*E92/360*B92)+((C91+D91)*E92/360*B91)</f>
        <v>989874.7656249999</v>
      </c>
      <c r="G92" s="151"/>
      <c r="H92" s="151"/>
      <c r="I92" s="152"/>
      <c r="K92" s="322"/>
      <c r="L92" s="332"/>
    </row>
    <row r="93" spans="1:12" ht="12.75">
      <c r="A93" s="84">
        <v>40814</v>
      </c>
      <c r="B93" s="91">
        <f t="shared" si="3"/>
        <v>90</v>
      </c>
      <c r="C93" s="86">
        <f t="shared" si="1"/>
        <v>93543750</v>
      </c>
      <c r="D93" s="141">
        <v>2078750</v>
      </c>
      <c r="E93" s="173"/>
      <c r="F93" s="41"/>
      <c r="G93" s="151"/>
      <c r="H93" s="151"/>
      <c r="I93" s="152"/>
      <c r="K93" s="325"/>
      <c r="L93" s="96"/>
    </row>
    <row r="94" spans="1:12" ht="12.75">
      <c r="A94" s="84">
        <v>40816</v>
      </c>
      <c r="B94" s="91">
        <f t="shared" si="3"/>
        <v>2</v>
      </c>
      <c r="C94" s="86">
        <f t="shared" si="1"/>
        <v>93543750</v>
      </c>
      <c r="D94" s="141"/>
      <c r="E94" s="173">
        <f>E92</f>
        <v>0.0401</v>
      </c>
      <c r="F94" s="86">
        <f>((C94+D94)*E94/360*B94)+((C93+D93)*E94/360*B93)</f>
        <v>979455.0312499999</v>
      </c>
      <c r="G94" s="151"/>
      <c r="H94" s="151"/>
      <c r="I94" s="152"/>
      <c r="K94" s="322"/>
      <c r="L94" s="332"/>
    </row>
    <row r="95" spans="1:12" ht="12.75">
      <c r="A95" s="84">
        <v>40905</v>
      </c>
      <c r="B95" s="91">
        <f t="shared" si="3"/>
        <v>89</v>
      </c>
      <c r="C95" s="86">
        <f t="shared" si="1"/>
        <v>91465000</v>
      </c>
      <c r="D95" s="141">
        <v>2078750</v>
      </c>
      <c r="E95" s="173"/>
      <c r="F95" s="41"/>
      <c r="G95" s="151"/>
      <c r="H95" s="151"/>
      <c r="I95" s="152"/>
      <c r="K95" s="325"/>
      <c r="L95" s="96"/>
    </row>
    <row r="96" spans="1:12" ht="12.75">
      <c r="A96" s="145">
        <v>40908</v>
      </c>
      <c r="B96" s="98">
        <f t="shared" si="3"/>
        <v>3</v>
      </c>
      <c r="C96" s="178">
        <f aca="true" t="shared" si="4" ref="C96:C103">C95-D96</f>
        <v>91465000</v>
      </c>
      <c r="D96" s="146"/>
      <c r="E96" s="175">
        <f>E94</f>
        <v>0.0401</v>
      </c>
      <c r="F96" s="86">
        <f>((C96+D96)*E96/360*B96)+((C95+D95)*E96/360*B95)</f>
        <v>957920.9135416666</v>
      </c>
      <c r="G96" s="153">
        <f>SUM(F89:F96)</f>
        <v>3926850.561458333</v>
      </c>
      <c r="H96" s="153">
        <f>SUM(D89:D96)</f>
        <v>8315000</v>
      </c>
      <c r="I96" s="154">
        <f>SUM(G96:H96)</f>
        <v>12241850.561458332</v>
      </c>
      <c r="K96" s="322"/>
      <c r="L96" s="332"/>
    </row>
    <row r="97" spans="1:12" ht="12.75">
      <c r="A97" s="103">
        <v>40996</v>
      </c>
      <c r="B97" s="85">
        <f t="shared" si="3"/>
        <v>88</v>
      </c>
      <c r="C97" s="141">
        <f t="shared" si="4"/>
        <v>89386250</v>
      </c>
      <c r="D97" s="141">
        <v>2078750</v>
      </c>
      <c r="E97" s="173"/>
      <c r="F97" s="42"/>
      <c r="G97" s="143"/>
      <c r="H97" s="143"/>
      <c r="I97" s="144"/>
      <c r="K97" s="318"/>
      <c r="L97" s="106"/>
    </row>
    <row r="98" spans="1:12" ht="12.75">
      <c r="A98" s="84">
        <v>40999</v>
      </c>
      <c r="B98" s="91">
        <f t="shared" si="3"/>
        <v>3</v>
      </c>
      <c r="C98" s="141">
        <f t="shared" si="4"/>
        <v>89386250</v>
      </c>
      <c r="D98" s="141"/>
      <c r="E98" s="173">
        <f>E96</f>
        <v>0.0401</v>
      </c>
      <c r="F98" s="86">
        <f>((C98+D98)*E98/360*B98)+((C97+D97)*E98/360*B97)</f>
        <v>926430.1607638887</v>
      </c>
      <c r="G98" s="151"/>
      <c r="H98" s="151"/>
      <c r="I98" s="152"/>
      <c r="K98" s="322"/>
      <c r="L98" s="332"/>
    </row>
    <row r="99" spans="1:12" ht="12.75">
      <c r="A99" s="84">
        <v>41088</v>
      </c>
      <c r="B99" s="91">
        <f t="shared" si="3"/>
        <v>89</v>
      </c>
      <c r="C99" s="141">
        <f t="shared" si="4"/>
        <v>87307500</v>
      </c>
      <c r="D99" s="141">
        <v>2078750</v>
      </c>
      <c r="E99" s="173"/>
      <c r="F99" s="41"/>
      <c r="G99" s="151"/>
      <c r="H99" s="151"/>
      <c r="I99" s="152"/>
      <c r="K99" s="325"/>
      <c r="L99" s="96"/>
    </row>
    <row r="100" spans="1:12" ht="12.75">
      <c r="A100" s="84">
        <v>41090</v>
      </c>
      <c r="B100" s="91">
        <f t="shared" si="3"/>
        <v>2</v>
      </c>
      <c r="C100" s="141">
        <f t="shared" si="4"/>
        <v>87307500</v>
      </c>
      <c r="D100" s="141"/>
      <c r="E100" s="173">
        <f>E98</f>
        <v>0.0401</v>
      </c>
      <c r="F100" s="86">
        <f>((C100+D100)*E100/360*B100)+((C99+D99)*E100/360*B99)</f>
        <v>905590.6920138887</v>
      </c>
      <c r="G100" s="151"/>
      <c r="H100" s="151"/>
      <c r="I100" s="152"/>
      <c r="K100" s="322"/>
      <c r="L100" s="332"/>
    </row>
    <row r="101" spans="1:12" ht="12.75">
      <c r="A101" s="84">
        <v>41180</v>
      </c>
      <c r="B101" s="91">
        <f t="shared" si="3"/>
        <v>90</v>
      </c>
      <c r="C101" s="141">
        <f t="shared" si="4"/>
        <v>85228750</v>
      </c>
      <c r="D101" s="141">
        <v>2078750</v>
      </c>
      <c r="E101" s="173"/>
      <c r="F101" s="41"/>
      <c r="G101" s="151"/>
      <c r="H101" s="151"/>
      <c r="I101" s="152"/>
      <c r="K101" s="325"/>
      <c r="L101" s="96"/>
    </row>
    <row r="102" spans="1:12" ht="12.75">
      <c r="A102" s="84">
        <v>41182</v>
      </c>
      <c r="B102" s="91">
        <f t="shared" si="3"/>
        <v>2</v>
      </c>
      <c r="C102" s="141">
        <f t="shared" si="4"/>
        <v>85228750</v>
      </c>
      <c r="D102" s="141"/>
      <c r="E102" s="173">
        <f>E100</f>
        <v>0.0401</v>
      </c>
      <c r="F102" s="86">
        <f>((C102+D102)*E102/360*B102)+((C101+D101)*E102/360*B101)</f>
        <v>894244.7590277777</v>
      </c>
      <c r="G102" s="151"/>
      <c r="H102" s="151"/>
      <c r="I102" s="152"/>
      <c r="K102" s="322"/>
      <c r="L102" s="332"/>
    </row>
    <row r="103" spans="1:12" ht="12.75">
      <c r="A103" s="84">
        <v>41271</v>
      </c>
      <c r="B103" s="91">
        <f t="shared" si="3"/>
        <v>89</v>
      </c>
      <c r="C103" s="141">
        <f t="shared" si="4"/>
        <v>83150000</v>
      </c>
      <c r="D103" s="141">
        <v>2078750</v>
      </c>
      <c r="E103" s="173"/>
      <c r="F103" s="41"/>
      <c r="G103" s="151"/>
      <c r="H103" s="151"/>
      <c r="I103" s="152"/>
      <c r="K103" s="325"/>
      <c r="L103" s="96"/>
    </row>
    <row r="104" spans="1:12" ht="12.75">
      <c r="A104" s="145">
        <v>41274</v>
      </c>
      <c r="B104" s="108">
        <f t="shared" si="3"/>
        <v>3</v>
      </c>
      <c r="C104" s="174">
        <f>C103-D104</f>
        <v>83150000</v>
      </c>
      <c r="D104" s="146"/>
      <c r="E104" s="175">
        <f>E102</f>
        <v>0.0401</v>
      </c>
      <c r="F104" s="86">
        <f>((C104+D104)*E104/360*B104)+((C103+D103)*E104/360*B103)</f>
        <v>872710.6413194443</v>
      </c>
      <c r="G104" s="153">
        <f>SUM(F97:F104)</f>
        <v>3598976.253125</v>
      </c>
      <c r="H104" s="153">
        <f>SUM(D97:D104)</f>
        <v>8315000</v>
      </c>
      <c r="I104" s="154">
        <f>SUM(G104:H104)</f>
        <v>11913976.253125</v>
      </c>
      <c r="K104" s="322"/>
      <c r="L104" s="332"/>
    </row>
    <row r="105" spans="1:12" ht="12.75">
      <c r="A105" s="103">
        <v>41361</v>
      </c>
      <c r="B105" s="104">
        <f t="shared" si="3"/>
        <v>87</v>
      </c>
      <c r="C105" s="42">
        <f aca="true" t="shared" si="5" ref="C105:C121">C104-D105</f>
        <v>81071250</v>
      </c>
      <c r="D105" s="141">
        <v>2078750</v>
      </c>
      <c r="E105" s="173"/>
      <c r="F105" s="42"/>
      <c r="G105" s="143"/>
      <c r="H105" s="143"/>
      <c r="I105" s="144"/>
      <c r="K105" s="318"/>
      <c r="L105" s="106"/>
    </row>
    <row r="106" spans="1:12" ht="12.75">
      <c r="A106" s="84">
        <v>41364</v>
      </c>
      <c r="B106" s="91">
        <f t="shared" si="3"/>
        <v>3</v>
      </c>
      <c r="C106" s="86">
        <f t="shared" si="5"/>
        <v>81071250</v>
      </c>
      <c r="D106" s="141"/>
      <c r="E106" s="173">
        <f>E104</f>
        <v>0.0401</v>
      </c>
      <c r="F106" s="86">
        <f>((C106+D106)*E106/360*B106)+((C105+D105)*E106/360*B105)</f>
        <v>832884.1010416665</v>
      </c>
      <c r="G106" s="151"/>
      <c r="H106" s="151"/>
      <c r="I106" s="152"/>
      <c r="K106" s="322"/>
      <c r="L106" s="332"/>
    </row>
    <row r="107" spans="1:12" ht="12.75">
      <c r="A107" s="84">
        <v>41453</v>
      </c>
      <c r="B107" s="91">
        <f t="shared" si="3"/>
        <v>89</v>
      </c>
      <c r="C107" s="86">
        <f t="shared" si="5"/>
        <v>78992500</v>
      </c>
      <c r="D107" s="141">
        <v>2078750</v>
      </c>
      <c r="E107" s="173"/>
      <c r="F107" s="41"/>
      <c r="G107" s="151"/>
      <c r="H107" s="151"/>
      <c r="I107" s="152"/>
      <c r="K107" s="325"/>
      <c r="L107" s="96"/>
    </row>
    <row r="108" spans="1:12" ht="12.75">
      <c r="A108" s="84">
        <v>41455</v>
      </c>
      <c r="B108" s="91">
        <f t="shared" si="3"/>
        <v>2</v>
      </c>
      <c r="C108" s="86">
        <f t="shared" si="5"/>
        <v>78992500</v>
      </c>
      <c r="D108" s="141"/>
      <c r="E108" s="173">
        <f>E106</f>
        <v>0.0401</v>
      </c>
      <c r="F108" s="86">
        <f>((C108+D108)*E108/360*B108)+((C107+D107)*E108/360*B107)</f>
        <v>821306.6184027776</v>
      </c>
      <c r="G108" s="151"/>
      <c r="H108" s="151"/>
      <c r="I108" s="152"/>
      <c r="K108" s="322"/>
      <c r="L108" s="332"/>
    </row>
    <row r="109" spans="1:12" ht="12.75">
      <c r="A109" s="90">
        <v>41545</v>
      </c>
      <c r="B109" s="91">
        <f t="shared" si="3"/>
        <v>90</v>
      </c>
      <c r="C109" s="41">
        <f t="shared" si="5"/>
        <v>76913750</v>
      </c>
      <c r="D109" s="141">
        <v>2078750</v>
      </c>
      <c r="E109" s="179"/>
      <c r="F109" s="41"/>
      <c r="G109" s="158"/>
      <c r="H109" s="158"/>
      <c r="I109" s="159"/>
      <c r="K109" s="325"/>
      <c r="L109" s="96"/>
    </row>
    <row r="110" spans="1:12" ht="12.75">
      <c r="A110" s="90">
        <v>41547</v>
      </c>
      <c r="B110" s="91">
        <f t="shared" si="3"/>
        <v>2</v>
      </c>
      <c r="C110" s="41">
        <f t="shared" si="5"/>
        <v>76913750</v>
      </c>
      <c r="D110" s="141"/>
      <c r="E110" s="179">
        <f>E108</f>
        <v>0.0401</v>
      </c>
      <c r="F110" s="41">
        <f>((C110+D110)*E110/360*B110)+((C109+D109)*E110/360*B109)</f>
        <v>809034.4868055554</v>
      </c>
      <c r="G110" s="158"/>
      <c r="H110" s="158"/>
      <c r="I110" s="159"/>
      <c r="K110" s="325"/>
      <c r="L110" s="96"/>
    </row>
    <row r="111" spans="1:12" ht="12.75">
      <c r="A111" s="84">
        <v>41636</v>
      </c>
      <c r="B111" s="91">
        <f t="shared" si="3"/>
        <v>89</v>
      </c>
      <c r="C111" s="86">
        <f t="shared" si="5"/>
        <v>74835000</v>
      </c>
      <c r="D111" s="141">
        <v>2078750</v>
      </c>
      <c r="E111" s="173"/>
      <c r="F111" s="41"/>
      <c r="G111" s="151"/>
      <c r="H111" s="151"/>
      <c r="I111" s="152"/>
      <c r="K111" s="325"/>
      <c r="L111" s="96"/>
    </row>
    <row r="112" spans="1:12" ht="12.75">
      <c r="A112" s="97">
        <v>41639</v>
      </c>
      <c r="B112" s="98">
        <f t="shared" si="3"/>
        <v>3</v>
      </c>
      <c r="C112" s="99">
        <f t="shared" si="5"/>
        <v>74835000</v>
      </c>
      <c r="D112" s="146"/>
      <c r="E112" s="191">
        <f>E110</f>
        <v>0.0401</v>
      </c>
      <c r="F112" s="99">
        <f>((C112+D112)*E112/360*B112)+((C111+D111)*E112/360*B111)</f>
        <v>787500.3690972221</v>
      </c>
      <c r="G112" s="101">
        <f>SUM(F105:F112)</f>
        <v>3250725.5753472215</v>
      </c>
      <c r="H112" s="101">
        <f>SUM(D105:D112)</f>
        <v>8315000</v>
      </c>
      <c r="I112" s="102">
        <f>SUM(G112:H112)</f>
        <v>11565725.575347222</v>
      </c>
      <c r="K112" s="320"/>
      <c r="L112" s="324"/>
    </row>
    <row r="113" spans="1:12" ht="12.75">
      <c r="A113" s="103">
        <v>41726</v>
      </c>
      <c r="B113" s="104">
        <f t="shared" si="3"/>
        <v>87</v>
      </c>
      <c r="C113" s="42">
        <f t="shared" si="5"/>
        <v>72756250</v>
      </c>
      <c r="D113" s="141">
        <v>2078750</v>
      </c>
      <c r="E113" s="105"/>
      <c r="F113" s="42"/>
      <c r="G113" s="155"/>
      <c r="H113" s="155"/>
      <c r="I113" s="156"/>
      <c r="K113" s="318"/>
      <c r="L113" s="106"/>
    </row>
    <row r="114" spans="1:12" ht="12.75">
      <c r="A114" s="84">
        <v>41729</v>
      </c>
      <c r="B114" s="85">
        <f t="shared" si="3"/>
        <v>3</v>
      </c>
      <c r="C114" s="141">
        <f t="shared" si="5"/>
        <v>72756250</v>
      </c>
      <c r="D114" s="141"/>
      <c r="E114" s="173">
        <f>E112</f>
        <v>0.0401</v>
      </c>
      <c r="F114" s="86">
        <f>((C114+D114)*E114/360*B114)+((C113+D113)*E114/360*B113)</f>
        <v>749526.2260416665</v>
      </c>
      <c r="G114" s="151"/>
      <c r="H114" s="151"/>
      <c r="I114" s="152"/>
      <c r="K114" s="322"/>
      <c r="L114" s="332"/>
    </row>
    <row r="115" spans="1:12" ht="12.75">
      <c r="A115" s="84">
        <v>41818</v>
      </c>
      <c r="B115" s="91">
        <f t="shared" si="3"/>
        <v>89</v>
      </c>
      <c r="C115" s="141">
        <f t="shared" si="5"/>
        <v>70677500</v>
      </c>
      <c r="D115" s="141">
        <v>2078750</v>
      </c>
      <c r="E115" s="173"/>
      <c r="F115" s="41"/>
      <c r="G115" s="151"/>
      <c r="H115" s="151"/>
      <c r="I115" s="152"/>
      <c r="K115" s="325"/>
      <c r="L115" s="96"/>
    </row>
    <row r="116" spans="1:12" ht="12.75">
      <c r="A116" s="90">
        <v>41820</v>
      </c>
      <c r="B116" s="91">
        <f t="shared" si="3"/>
        <v>2</v>
      </c>
      <c r="C116" s="41">
        <f t="shared" si="5"/>
        <v>70677500</v>
      </c>
      <c r="D116" s="141"/>
      <c r="E116" s="95">
        <f>E114</f>
        <v>0.0401</v>
      </c>
      <c r="F116" s="86">
        <f>((C116+D116)*E116/360*B116)+((C115+D115)*E116/360*B115)</f>
        <v>737022.5447916666</v>
      </c>
      <c r="G116" s="93"/>
      <c r="H116" s="93"/>
      <c r="I116" s="94"/>
      <c r="K116" s="322"/>
      <c r="L116" s="332"/>
    </row>
    <row r="117" spans="1:12" ht="12.75">
      <c r="A117" s="90">
        <v>41910</v>
      </c>
      <c r="B117" s="91">
        <f t="shared" si="3"/>
        <v>90</v>
      </c>
      <c r="C117" s="41">
        <f t="shared" si="5"/>
        <v>68598750</v>
      </c>
      <c r="D117" s="141">
        <v>2078750</v>
      </c>
      <c r="E117" s="95"/>
      <c r="F117" s="86"/>
      <c r="G117" s="93"/>
      <c r="H117" s="93"/>
      <c r="I117" s="94"/>
      <c r="K117" s="322"/>
      <c r="L117" s="332"/>
    </row>
    <row r="118" spans="1:12" ht="12.75">
      <c r="A118" s="84">
        <v>41912</v>
      </c>
      <c r="B118" s="91">
        <f t="shared" si="3"/>
        <v>2</v>
      </c>
      <c r="C118" s="141">
        <f t="shared" si="5"/>
        <v>68598750</v>
      </c>
      <c r="D118" s="141"/>
      <c r="E118" s="173">
        <f>E116</f>
        <v>0.0401</v>
      </c>
      <c r="F118" s="86">
        <f>((C118+D118)*E118/360*B118)+((C117+D117)*E118/360*B117)</f>
        <v>723824.2145833333</v>
      </c>
      <c r="G118" s="151"/>
      <c r="H118" s="151"/>
      <c r="I118" s="152"/>
      <c r="K118" s="322"/>
      <c r="L118" s="332"/>
    </row>
    <row r="119" spans="1:12" ht="12.75">
      <c r="A119" s="84">
        <v>42001</v>
      </c>
      <c r="B119" s="91">
        <f t="shared" si="3"/>
        <v>89</v>
      </c>
      <c r="C119" s="141">
        <f t="shared" si="5"/>
        <v>66520000</v>
      </c>
      <c r="D119" s="141">
        <v>2078750</v>
      </c>
      <c r="E119" s="173"/>
      <c r="F119" s="41"/>
      <c r="G119" s="151"/>
      <c r="H119" s="151"/>
      <c r="I119" s="152"/>
      <c r="K119" s="325"/>
      <c r="L119" s="96"/>
    </row>
    <row r="120" spans="1:12" ht="12.75">
      <c r="A120" s="145">
        <v>42004</v>
      </c>
      <c r="B120" s="108">
        <f t="shared" si="3"/>
        <v>3</v>
      </c>
      <c r="C120" s="174">
        <f t="shared" si="5"/>
        <v>66520000</v>
      </c>
      <c r="D120" s="146"/>
      <c r="E120" s="175">
        <f>E118</f>
        <v>0.0401</v>
      </c>
      <c r="F120" s="86">
        <f>((C120+D120)*E120/360*B120)+((C119+D119)*E120/360*B119)</f>
        <v>702290.096875</v>
      </c>
      <c r="G120" s="153">
        <f>SUM(F113:F120)</f>
        <v>2912663.0822916664</v>
      </c>
      <c r="H120" s="153">
        <f>SUM(D113:D120)</f>
        <v>8315000</v>
      </c>
      <c r="I120" s="154">
        <f>SUM(G120:H120)</f>
        <v>11227663.082291666</v>
      </c>
      <c r="K120" s="322"/>
      <c r="L120" s="332"/>
    </row>
    <row r="121" spans="1:12" ht="12.75">
      <c r="A121" s="103">
        <v>42091</v>
      </c>
      <c r="B121" s="104">
        <f t="shared" si="3"/>
        <v>87</v>
      </c>
      <c r="C121" s="42">
        <f t="shared" si="5"/>
        <v>64441250</v>
      </c>
      <c r="D121" s="141">
        <v>2078750</v>
      </c>
      <c r="E121" s="173"/>
      <c r="F121" s="42"/>
      <c r="G121" s="143"/>
      <c r="H121" s="143"/>
      <c r="I121" s="144"/>
      <c r="K121" s="318"/>
      <c r="L121" s="106"/>
    </row>
    <row r="122" spans="1:12" ht="12.75">
      <c r="A122" s="84">
        <v>42094</v>
      </c>
      <c r="B122" s="91">
        <f t="shared" si="3"/>
        <v>3</v>
      </c>
      <c r="C122" s="86">
        <f>C121-D122</f>
        <v>64441250</v>
      </c>
      <c r="D122" s="141"/>
      <c r="E122" s="173">
        <f>E120</f>
        <v>0.0401</v>
      </c>
      <c r="F122" s="86">
        <f>((C122+D122)*E122/360*B122)+((C121+D121)*E122/360*B121)</f>
        <v>666168.3510416666</v>
      </c>
      <c r="G122" s="151"/>
      <c r="H122" s="151"/>
      <c r="I122" s="152"/>
      <c r="K122" s="322"/>
      <c r="L122" s="332"/>
    </row>
    <row r="123" spans="1:12" ht="12.75">
      <c r="A123" s="90">
        <v>42183</v>
      </c>
      <c r="B123" s="91">
        <f t="shared" si="3"/>
        <v>89</v>
      </c>
      <c r="C123" s="41">
        <f aca="true" t="shared" si="6" ref="C123:C140">C122-D123</f>
        <v>62362500</v>
      </c>
      <c r="D123" s="141">
        <v>2078750</v>
      </c>
      <c r="E123" s="95"/>
      <c r="F123" s="41"/>
      <c r="G123" s="93"/>
      <c r="H123" s="93"/>
      <c r="I123" s="94"/>
      <c r="K123" s="325"/>
      <c r="L123" s="96"/>
    </row>
    <row r="124" spans="1:12" ht="12.75">
      <c r="A124" s="90">
        <v>42185</v>
      </c>
      <c r="B124" s="91">
        <f t="shared" si="3"/>
        <v>2</v>
      </c>
      <c r="C124" s="41">
        <f t="shared" si="6"/>
        <v>62362500</v>
      </c>
      <c r="D124" s="141"/>
      <c r="E124" s="95">
        <f>E122</f>
        <v>0.0401</v>
      </c>
      <c r="F124" s="86">
        <f>((C124+D124)*E124/360*B124)+((C123+D123)*E124/360*B123)</f>
        <v>652738.4711805555</v>
      </c>
      <c r="G124" s="93"/>
      <c r="H124" s="93"/>
      <c r="I124" s="94"/>
      <c r="K124" s="322"/>
      <c r="L124" s="332"/>
    </row>
    <row r="125" spans="1:12" ht="12.75">
      <c r="A125" s="90">
        <v>42275</v>
      </c>
      <c r="B125" s="91">
        <f t="shared" si="3"/>
        <v>90</v>
      </c>
      <c r="C125" s="41">
        <f t="shared" si="6"/>
        <v>60283750</v>
      </c>
      <c r="D125" s="141">
        <v>2078750</v>
      </c>
      <c r="E125" s="179"/>
      <c r="F125" s="41"/>
      <c r="G125" s="158"/>
      <c r="H125" s="158"/>
      <c r="I125" s="159"/>
      <c r="K125" s="325"/>
      <c r="L125" s="96"/>
    </row>
    <row r="126" spans="1:12" ht="12.75">
      <c r="A126" s="90">
        <v>42277</v>
      </c>
      <c r="B126" s="91">
        <f t="shared" si="3"/>
        <v>2</v>
      </c>
      <c r="C126" s="41">
        <f t="shared" si="6"/>
        <v>60283750</v>
      </c>
      <c r="D126" s="141"/>
      <c r="E126" s="179">
        <f>E124</f>
        <v>0.0401</v>
      </c>
      <c r="F126" s="86">
        <f>((C126+D126)*E126/360*B126)+((C125+D125)*E126/360*B125)</f>
        <v>638613.942361111</v>
      </c>
      <c r="G126" s="158"/>
      <c r="H126" s="158"/>
      <c r="I126" s="159"/>
      <c r="K126" s="322"/>
      <c r="L126" s="332"/>
    </row>
    <row r="127" spans="1:12" ht="12.75">
      <c r="A127" s="84">
        <v>42366</v>
      </c>
      <c r="B127" s="91">
        <f t="shared" si="3"/>
        <v>89</v>
      </c>
      <c r="C127" s="86">
        <f t="shared" si="6"/>
        <v>58205000</v>
      </c>
      <c r="D127" s="141">
        <v>2078750</v>
      </c>
      <c r="E127" s="173"/>
      <c r="F127" s="41"/>
      <c r="G127" s="151"/>
      <c r="H127" s="151"/>
      <c r="I127" s="152"/>
      <c r="K127" s="325"/>
      <c r="L127" s="96"/>
    </row>
    <row r="128" spans="1:12" ht="12.75">
      <c r="A128" s="145">
        <v>42369</v>
      </c>
      <c r="B128" s="98">
        <f t="shared" si="3"/>
        <v>3</v>
      </c>
      <c r="C128" s="178">
        <f t="shared" si="6"/>
        <v>58205000</v>
      </c>
      <c r="D128" s="146"/>
      <c r="E128" s="175">
        <f>E126</f>
        <v>0.0401</v>
      </c>
      <c r="F128" s="86">
        <f>((C128+D128)*E128/360*B128)+((C127+D127)*E128/360*B127)</f>
        <v>617079.8246527778</v>
      </c>
      <c r="G128" s="153">
        <f>SUM(F121:F128)</f>
        <v>2574600.589236111</v>
      </c>
      <c r="H128" s="153">
        <f>SUM(D121:D128)</f>
        <v>8315000</v>
      </c>
      <c r="I128" s="154">
        <f>SUM(G128:H128)</f>
        <v>10889600.58923611</v>
      </c>
      <c r="K128" s="322"/>
      <c r="L128" s="332"/>
    </row>
    <row r="129" spans="1:12" ht="12.75">
      <c r="A129" s="103">
        <v>42457</v>
      </c>
      <c r="B129" s="85">
        <f t="shared" si="3"/>
        <v>88</v>
      </c>
      <c r="C129" s="141">
        <f t="shared" si="6"/>
        <v>56126250</v>
      </c>
      <c r="D129" s="141">
        <v>2078750</v>
      </c>
      <c r="E129" s="173"/>
      <c r="F129" s="42"/>
      <c r="G129" s="143"/>
      <c r="H129" s="143"/>
      <c r="I129" s="144"/>
      <c r="K129" s="318"/>
      <c r="L129" s="106"/>
    </row>
    <row r="130" spans="1:12" ht="12.75">
      <c r="A130" s="84">
        <v>42460</v>
      </c>
      <c r="B130" s="91">
        <f t="shared" si="3"/>
        <v>3</v>
      </c>
      <c r="C130" s="141">
        <f t="shared" si="6"/>
        <v>56126250</v>
      </c>
      <c r="D130" s="141"/>
      <c r="E130" s="173">
        <f>E128</f>
        <v>0.0401</v>
      </c>
      <c r="F130" s="86">
        <f>((C130+D130)*E130/360*B130)+((C129+D129)*E130/360*B129)</f>
        <v>589293.8663194444</v>
      </c>
      <c r="G130" s="151"/>
      <c r="H130" s="151"/>
      <c r="I130" s="152"/>
      <c r="K130" s="322"/>
      <c r="L130" s="332"/>
    </row>
    <row r="131" spans="1:12" ht="12.75">
      <c r="A131" s="84">
        <v>42549</v>
      </c>
      <c r="B131" s="91">
        <f t="shared" si="3"/>
        <v>89</v>
      </c>
      <c r="C131" s="141">
        <f t="shared" si="6"/>
        <v>54047500</v>
      </c>
      <c r="D131" s="141">
        <v>2078750</v>
      </c>
      <c r="E131" s="173"/>
      <c r="F131" s="41"/>
      <c r="G131" s="151"/>
      <c r="H131" s="151"/>
      <c r="I131" s="152"/>
      <c r="K131" s="325"/>
      <c r="L131" s="96"/>
    </row>
    <row r="132" spans="1:12" ht="12.75">
      <c r="A132" s="84">
        <v>42551</v>
      </c>
      <c r="B132" s="91">
        <f t="shared" si="3"/>
        <v>2</v>
      </c>
      <c r="C132" s="141">
        <f t="shared" si="6"/>
        <v>54047500</v>
      </c>
      <c r="D132" s="141"/>
      <c r="E132" s="173">
        <f>E130</f>
        <v>0.0401</v>
      </c>
      <c r="F132" s="86">
        <f>((C132+D132)*E132/360*B132)+((C131+D131)*E132/360*B131)</f>
        <v>568454.3975694444</v>
      </c>
      <c r="G132" s="151"/>
      <c r="H132" s="151"/>
      <c r="I132" s="152"/>
      <c r="K132" s="322"/>
      <c r="L132" s="332"/>
    </row>
    <row r="133" spans="1:12" ht="12.75">
      <c r="A133" s="84">
        <v>42641</v>
      </c>
      <c r="B133" s="91">
        <f t="shared" si="3"/>
        <v>90</v>
      </c>
      <c r="C133" s="141">
        <f t="shared" si="6"/>
        <v>51968750</v>
      </c>
      <c r="D133" s="141">
        <v>2078750</v>
      </c>
      <c r="E133" s="173"/>
      <c r="F133" s="41"/>
      <c r="G133" s="151"/>
      <c r="H133" s="151"/>
      <c r="I133" s="152"/>
      <c r="K133" s="325"/>
      <c r="L133" s="96"/>
    </row>
    <row r="134" spans="1:12" ht="12.75">
      <c r="A134" s="84">
        <v>42643</v>
      </c>
      <c r="B134" s="91">
        <f t="shared" si="3"/>
        <v>2</v>
      </c>
      <c r="C134" s="141">
        <f t="shared" si="6"/>
        <v>51968750</v>
      </c>
      <c r="D134" s="141"/>
      <c r="E134" s="173">
        <f>E132</f>
        <v>0.0401</v>
      </c>
      <c r="F134" s="86">
        <f>((C134+D134)*E134/360*B134)+((C133+D133)*E134/360*B133)</f>
        <v>553403.6701388889</v>
      </c>
      <c r="G134" s="151"/>
      <c r="H134" s="151"/>
      <c r="I134" s="152"/>
      <c r="K134" s="322"/>
      <c r="L134" s="332"/>
    </row>
    <row r="135" spans="1:12" ht="12.75">
      <c r="A135" s="84">
        <v>42732</v>
      </c>
      <c r="B135" s="91">
        <f t="shared" si="3"/>
        <v>89</v>
      </c>
      <c r="C135" s="141">
        <f t="shared" si="6"/>
        <v>49890000</v>
      </c>
      <c r="D135" s="141">
        <v>2078750</v>
      </c>
      <c r="E135" s="173"/>
      <c r="F135" s="41"/>
      <c r="G135" s="151"/>
      <c r="H135" s="151"/>
      <c r="I135" s="152"/>
      <c r="K135" s="325"/>
      <c r="L135" s="96"/>
    </row>
    <row r="136" spans="1:12" ht="12.75">
      <c r="A136" s="97">
        <v>42735</v>
      </c>
      <c r="B136" s="98">
        <f t="shared" si="3"/>
        <v>3</v>
      </c>
      <c r="C136" s="147">
        <f t="shared" si="6"/>
        <v>49890000</v>
      </c>
      <c r="D136" s="147"/>
      <c r="E136" s="180">
        <f>E134</f>
        <v>0.0401</v>
      </c>
      <c r="F136" s="99">
        <f>((C136+D136)*E136/360*B136)+((C135+D135)*E136/360*B135)</f>
        <v>531869.5524305555</v>
      </c>
      <c r="G136" s="148">
        <f>SUM(F129:F136)</f>
        <v>2243021.486458333</v>
      </c>
      <c r="H136" s="148">
        <f>SUM(D129:D136)</f>
        <v>8315000</v>
      </c>
      <c r="I136" s="149">
        <f>SUM(G136:H136)</f>
        <v>10558021.486458333</v>
      </c>
      <c r="K136" s="320"/>
      <c r="L136" s="324"/>
    </row>
    <row r="137" spans="1:12" ht="12.75">
      <c r="A137" s="103">
        <v>42822</v>
      </c>
      <c r="B137" s="104">
        <f t="shared" si="3"/>
        <v>87</v>
      </c>
      <c r="C137" s="42">
        <f t="shared" si="6"/>
        <v>47811250</v>
      </c>
      <c r="D137" s="142">
        <v>2078750</v>
      </c>
      <c r="E137" s="177"/>
      <c r="F137" s="42"/>
      <c r="G137" s="143"/>
      <c r="H137" s="143"/>
      <c r="I137" s="144"/>
      <c r="K137" s="318"/>
      <c r="L137" s="106"/>
    </row>
    <row r="138" spans="1:12" ht="12.75">
      <c r="A138" s="84">
        <v>42825</v>
      </c>
      <c r="B138" s="91">
        <f t="shared" si="3"/>
        <v>3</v>
      </c>
      <c r="C138" s="86">
        <f t="shared" si="6"/>
        <v>47811250</v>
      </c>
      <c r="D138" s="141"/>
      <c r="E138" s="173">
        <f>E136</f>
        <v>0.0401</v>
      </c>
      <c r="F138" s="86">
        <f>((C138+D138)*E138/360*B138)+((C137+D137)*E138/360*B137)</f>
        <v>499452.6010416666</v>
      </c>
      <c r="G138" s="151"/>
      <c r="H138" s="151"/>
      <c r="I138" s="152"/>
      <c r="K138" s="322"/>
      <c r="L138" s="332"/>
    </row>
    <row r="139" spans="1:12" ht="12.75">
      <c r="A139" s="84">
        <v>42914</v>
      </c>
      <c r="B139" s="91">
        <f t="shared" si="3"/>
        <v>89</v>
      </c>
      <c r="C139" s="86">
        <f t="shared" si="6"/>
        <v>45732500</v>
      </c>
      <c r="D139" s="141">
        <v>2078750</v>
      </c>
      <c r="E139" s="173"/>
      <c r="F139" s="41"/>
      <c r="G139" s="151"/>
      <c r="H139" s="151"/>
      <c r="I139" s="152"/>
      <c r="K139" s="325"/>
      <c r="L139" s="96"/>
    </row>
    <row r="140" spans="1:12" ht="12.75">
      <c r="A140" s="84">
        <v>42916</v>
      </c>
      <c r="B140" s="91">
        <f t="shared" si="3"/>
        <v>2</v>
      </c>
      <c r="C140" s="86">
        <f t="shared" si="6"/>
        <v>45732500</v>
      </c>
      <c r="D140" s="141"/>
      <c r="E140" s="173">
        <f>E138</f>
        <v>0.0401</v>
      </c>
      <c r="F140" s="86">
        <f>((C140+D140)*E140/360*B140)+((C139+D139)*E140/360*B139)</f>
        <v>484170.32395833323</v>
      </c>
      <c r="G140" s="151"/>
      <c r="H140" s="151"/>
      <c r="I140" s="152"/>
      <c r="K140" s="322"/>
      <c r="L140" s="332"/>
    </row>
    <row r="141" spans="1:12" ht="12.75">
      <c r="A141" s="84">
        <v>43006</v>
      </c>
      <c r="B141" s="91">
        <f t="shared" si="3"/>
        <v>90</v>
      </c>
      <c r="C141" s="86">
        <f>C140-D141</f>
        <v>43653750</v>
      </c>
      <c r="D141" s="141">
        <v>2078750</v>
      </c>
      <c r="E141" s="173"/>
      <c r="F141" s="41"/>
      <c r="G141" s="151"/>
      <c r="H141" s="151"/>
      <c r="I141" s="152"/>
      <c r="K141" s="325"/>
      <c r="L141" s="96"/>
    </row>
    <row r="142" spans="1:12" ht="12.75">
      <c r="A142" s="84">
        <v>43008</v>
      </c>
      <c r="B142" s="91">
        <f t="shared" si="3"/>
        <v>2</v>
      </c>
      <c r="C142" s="86">
        <f aca="true" t="shared" si="7" ref="C142:C156">C141-D142</f>
        <v>43653750</v>
      </c>
      <c r="D142" s="141"/>
      <c r="E142" s="173">
        <f>E140</f>
        <v>0.0401</v>
      </c>
      <c r="F142" s="86">
        <f>((C142+D142)*E142/360*B142)+((C141+D141)*E142/360*B141)</f>
        <v>468193.3979166666</v>
      </c>
      <c r="G142" s="151"/>
      <c r="H142" s="151"/>
      <c r="I142" s="152"/>
      <c r="K142" s="322"/>
      <c r="L142" s="332"/>
    </row>
    <row r="143" spans="1:12" ht="12.75">
      <c r="A143" s="84">
        <v>43097</v>
      </c>
      <c r="B143" s="91">
        <f t="shared" si="3"/>
        <v>89</v>
      </c>
      <c r="C143" s="86">
        <f t="shared" si="7"/>
        <v>41575000</v>
      </c>
      <c r="D143" s="141">
        <v>2078750</v>
      </c>
      <c r="E143" s="173"/>
      <c r="F143" s="41"/>
      <c r="G143" s="151"/>
      <c r="H143" s="151"/>
      <c r="I143" s="152"/>
      <c r="K143" s="325"/>
      <c r="L143" s="96"/>
    </row>
    <row r="144" spans="1:12" ht="12.75">
      <c r="A144" s="145">
        <v>43100</v>
      </c>
      <c r="B144" s="98">
        <f t="shared" si="3"/>
        <v>3</v>
      </c>
      <c r="C144" s="178">
        <f t="shared" si="7"/>
        <v>41575000</v>
      </c>
      <c r="D144" s="146"/>
      <c r="E144" s="175">
        <f>E142</f>
        <v>0.0401</v>
      </c>
      <c r="F144" s="86">
        <f>((C144+D144)*E144/360*B144)+((C143+D143)*E144/360*B143)</f>
        <v>446659.2802083333</v>
      </c>
      <c r="G144" s="153">
        <f>SUM(F137:F144)</f>
        <v>1898475.603125</v>
      </c>
      <c r="H144" s="153">
        <f>SUM(D137:D144)</f>
        <v>8315000</v>
      </c>
      <c r="I144" s="154">
        <f>SUM(G144:H144)</f>
        <v>10213475.603125</v>
      </c>
      <c r="K144" s="322"/>
      <c r="L144" s="332"/>
    </row>
    <row r="145" spans="1:12" ht="12.75">
      <c r="A145" s="103">
        <v>43187</v>
      </c>
      <c r="B145" s="85">
        <f t="shared" si="3"/>
        <v>87</v>
      </c>
      <c r="C145" s="141">
        <f t="shared" si="7"/>
        <v>39496250</v>
      </c>
      <c r="D145" s="141">
        <v>2078750</v>
      </c>
      <c r="E145" s="173"/>
      <c r="F145" s="42"/>
      <c r="G145" s="143"/>
      <c r="H145" s="143"/>
      <c r="I145" s="144"/>
      <c r="K145" s="318"/>
      <c r="L145" s="106"/>
    </row>
    <row r="146" spans="1:12" ht="12.75">
      <c r="A146" s="84">
        <v>43190</v>
      </c>
      <c r="B146" s="91">
        <f t="shared" si="3"/>
        <v>3</v>
      </c>
      <c r="C146" s="141">
        <f t="shared" si="7"/>
        <v>39496250</v>
      </c>
      <c r="D146" s="141"/>
      <c r="E146" s="173">
        <f>E144</f>
        <v>0.0401</v>
      </c>
      <c r="F146" s="86">
        <f>((C146+D146)*E146/360*B146)+((C145+D145)*E146/360*B145)</f>
        <v>416094.7260416666</v>
      </c>
      <c r="G146" s="151"/>
      <c r="H146" s="151"/>
      <c r="I146" s="152"/>
      <c r="K146" s="322"/>
      <c r="L146" s="332"/>
    </row>
    <row r="147" spans="1:12" ht="12.75">
      <c r="A147" s="84">
        <v>43279</v>
      </c>
      <c r="B147" s="91">
        <f aca="true" t="shared" si="8" ref="B147:B183">A147-A146</f>
        <v>89</v>
      </c>
      <c r="C147" s="141">
        <f t="shared" si="7"/>
        <v>37417500</v>
      </c>
      <c r="D147" s="141">
        <v>2078750</v>
      </c>
      <c r="E147" s="173"/>
      <c r="F147" s="41"/>
      <c r="G147" s="151"/>
      <c r="H147" s="151"/>
      <c r="I147" s="152"/>
      <c r="K147" s="325"/>
      <c r="L147" s="96"/>
    </row>
    <row r="148" spans="1:12" ht="12.75">
      <c r="A148" s="84">
        <v>43281</v>
      </c>
      <c r="B148" s="91">
        <f t="shared" si="8"/>
        <v>2</v>
      </c>
      <c r="C148" s="141">
        <f t="shared" si="7"/>
        <v>37417500</v>
      </c>
      <c r="D148" s="141"/>
      <c r="E148" s="173">
        <f>E146</f>
        <v>0.0401</v>
      </c>
      <c r="F148" s="86">
        <f>((C148+D148)*E148/360*B148)+((C147+D147)*E148/360*B147)</f>
        <v>399886.25034722214</v>
      </c>
      <c r="G148" s="151"/>
      <c r="H148" s="151"/>
      <c r="I148" s="152"/>
      <c r="K148" s="322"/>
      <c r="L148" s="332"/>
    </row>
    <row r="149" spans="1:12" ht="12.75">
      <c r="A149" s="84">
        <v>43371</v>
      </c>
      <c r="B149" s="91">
        <f t="shared" si="8"/>
        <v>90</v>
      </c>
      <c r="C149" s="141">
        <f t="shared" si="7"/>
        <v>35338750</v>
      </c>
      <c r="D149" s="141">
        <v>2078750</v>
      </c>
      <c r="E149" s="173"/>
      <c r="F149" s="41"/>
      <c r="G149" s="151"/>
      <c r="H149" s="151"/>
      <c r="I149" s="152"/>
      <c r="K149" s="325"/>
      <c r="L149" s="96"/>
    </row>
    <row r="150" spans="1:12" ht="12.75">
      <c r="A150" s="84">
        <v>43373</v>
      </c>
      <c r="B150" s="91">
        <f t="shared" si="8"/>
        <v>2</v>
      </c>
      <c r="C150" s="141">
        <f t="shared" si="7"/>
        <v>35338750</v>
      </c>
      <c r="D150" s="141"/>
      <c r="E150" s="173">
        <f>E148</f>
        <v>0.0401</v>
      </c>
      <c r="F150" s="86">
        <f>((C150+D150)*E150/360*B150)+((C149+D149)*E150/360*B149)</f>
        <v>382983.1256944444</v>
      </c>
      <c r="G150" s="151"/>
      <c r="H150" s="151"/>
      <c r="I150" s="152"/>
      <c r="K150" s="322"/>
      <c r="L150" s="332"/>
    </row>
    <row r="151" spans="1:12" ht="12.75">
      <c r="A151" s="84">
        <v>43462</v>
      </c>
      <c r="B151" s="91">
        <f t="shared" si="8"/>
        <v>89</v>
      </c>
      <c r="C151" s="141">
        <f t="shared" si="7"/>
        <v>33260000</v>
      </c>
      <c r="D151" s="141">
        <v>2078750</v>
      </c>
      <c r="E151" s="173"/>
      <c r="F151" s="41"/>
      <c r="G151" s="151"/>
      <c r="H151" s="151"/>
      <c r="I151" s="152"/>
      <c r="K151" s="325"/>
      <c r="L151" s="96"/>
    </row>
    <row r="152" spans="1:12" ht="12.75">
      <c r="A152" s="145">
        <v>43465</v>
      </c>
      <c r="B152" s="108">
        <f t="shared" si="8"/>
        <v>3</v>
      </c>
      <c r="C152" s="174">
        <f t="shared" si="7"/>
        <v>33260000</v>
      </c>
      <c r="D152" s="146"/>
      <c r="E152" s="175">
        <f>E150</f>
        <v>0.0401</v>
      </c>
      <c r="F152" s="86">
        <f>((C152+D152)*E152/360*B152)+((C151+D151)*E152/360*B151)</f>
        <v>361449.00798611116</v>
      </c>
      <c r="G152" s="153">
        <f>SUM(F145:F152)</f>
        <v>1560413.1100694442</v>
      </c>
      <c r="H152" s="153">
        <f>SUM(D145:D152)</f>
        <v>8315000</v>
      </c>
      <c r="I152" s="154">
        <f>SUM(G152:H152)</f>
        <v>9875413.110069444</v>
      </c>
      <c r="K152" s="322"/>
      <c r="L152" s="332"/>
    </row>
    <row r="153" spans="1:12" ht="12.75">
      <c r="A153" s="103">
        <v>43552</v>
      </c>
      <c r="B153" s="104">
        <f t="shared" si="8"/>
        <v>87</v>
      </c>
      <c r="C153" s="42">
        <f t="shared" si="7"/>
        <v>31181250</v>
      </c>
      <c r="D153" s="141">
        <v>2078750</v>
      </c>
      <c r="E153" s="173"/>
      <c r="F153" s="42"/>
      <c r="G153" s="143"/>
      <c r="H153" s="143"/>
      <c r="I153" s="144"/>
      <c r="K153" s="318"/>
      <c r="L153" s="106"/>
    </row>
    <row r="154" spans="1:12" ht="12.75">
      <c r="A154" s="84">
        <v>43555</v>
      </c>
      <c r="B154" s="91">
        <f t="shared" si="8"/>
        <v>3</v>
      </c>
      <c r="C154" s="86">
        <f t="shared" si="7"/>
        <v>31181250</v>
      </c>
      <c r="D154" s="141"/>
      <c r="E154" s="173">
        <f>E152</f>
        <v>0.0401</v>
      </c>
      <c r="F154" s="86">
        <f>((C154+D154)*E154/360*B154)+((C153+D153)*E154/360*B153)</f>
        <v>332736.85104166664</v>
      </c>
      <c r="G154" s="151"/>
      <c r="H154" s="151"/>
      <c r="I154" s="152"/>
      <c r="K154" s="322"/>
      <c r="L154" s="332"/>
    </row>
    <row r="155" spans="1:12" ht="12.75">
      <c r="A155" s="84">
        <v>43644</v>
      </c>
      <c r="B155" s="91">
        <f t="shared" si="8"/>
        <v>89</v>
      </c>
      <c r="C155" s="86">
        <f t="shared" si="7"/>
        <v>29102500</v>
      </c>
      <c r="D155" s="141">
        <v>2078750</v>
      </c>
      <c r="E155" s="173"/>
      <c r="F155" s="41"/>
      <c r="G155" s="151"/>
      <c r="H155" s="151"/>
      <c r="I155" s="152"/>
      <c r="K155" s="325"/>
      <c r="L155" s="96"/>
    </row>
    <row r="156" spans="1:12" ht="12.75">
      <c r="A156" s="90">
        <v>43646</v>
      </c>
      <c r="B156" s="91">
        <f t="shared" si="8"/>
        <v>2</v>
      </c>
      <c r="C156" s="41">
        <f t="shared" si="7"/>
        <v>29102500</v>
      </c>
      <c r="D156" s="141"/>
      <c r="E156" s="95">
        <f>E154</f>
        <v>0.0401</v>
      </c>
      <c r="F156" s="41">
        <f>((C156+D156)*E156/360*B156)+((C155+D155)*E156/360*B155)</f>
        <v>315602.1767361111</v>
      </c>
      <c r="G156" s="93"/>
      <c r="H156" s="93"/>
      <c r="I156" s="94"/>
      <c r="K156" s="325"/>
      <c r="L156" s="96"/>
    </row>
    <row r="157" spans="1:12" ht="12.75">
      <c r="A157" s="90">
        <v>43736</v>
      </c>
      <c r="B157" s="91">
        <f t="shared" si="8"/>
        <v>90</v>
      </c>
      <c r="C157" s="41">
        <f>C156-D157</f>
        <v>27023750</v>
      </c>
      <c r="D157" s="41">
        <v>2078750</v>
      </c>
      <c r="E157" s="95"/>
      <c r="F157" s="41"/>
      <c r="G157" s="93"/>
      <c r="H157" s="93"/>
      <c r="I157" s="94"/>
      <c r="K157" s="325"/>
      <c r="L157" s="96"/>
    </row>
    <row r="158" spans="1:12" ht="12.75">
      <c r="A158" s="90">
        <v>43738</v>
      </c>
      <c r="B158" s="91">
        <f t="shared" si="8"/>
        <v>2</v>
      </c>
      <c r="C158" s="41">
        <f aca="true" t="shared" si="9" ref="C158:C171">C157-D158</f>
        <v>27023750</v>
      </c>
      <c r="D158" s="157"/>
      <c r="E158" s="179">
        <f>E156</f>
        <v>0.0401</v>
      </c>
      <c r="F158" s="41">
        <f>((C158+D158)*E158/360*B158)+((C157+D157)*E158/360*B157)</f>
        <v>297772.8534722222</v>
      </c>
      <c r="G158" s="158"/>
      <c r="H158" s="158"/>
      <c r="I158" s="159"/>
      <c r="K158" s="325"/>
      <c r="L158" s="96"/>
    </row>
    <row r="159" spans="1:12" ht="12.75">
      <c r="A159" s="84">
        <v>43827</v>
      </c>
      <c r="B159" s="91">
        <f t="shared" si="8"/>
        <v>89</v>
      </c>
      <c r="C159" s="86">
        <f t="shared" si="9"/>
        <v>24945000</v>
      </c>
      <c r="D159" s="141">
        <v>2078750</v>
      </c>
      <c r="E159" s="173"/>
      <c r="F159" s="41"/>
      <c r="G159" s="151"/>
      <c r="H159" s="151"/>
      <c r="I159" s="152"/>
      <c r="K159" s="325"/>
      <c r="L159" s="96"/>
    </row>
    <row r="160" spans="1:12" ht="12.75">
      <c r="A160" s="145">
        <v>43830</v>
      </c>
      <c r="B160" s="98">
        <f t="shared" si="8"/>
        <v>3</v>
      </c>
      <c r="C160" s="178">
        <f t="shared" si="9"/>
        <v>24945000</v>
      </c>
      <c r="D160" s="146"/>
      <c r="E160" s="175">
        <f>E158</f>
        <v>0.0401</v>
      </c>
      <c r="F160" s="99">
        <f>((C160+D160)*E160/360*B160)+((C159+D159)*E160/360*B159)</f>
        <v>276238.73576388886</v>
      </c>
      <c r="G160" s="153">
        <f>SUM(F153:F160)</f>
        <v>1222350.617013889</v>
      </c>
      <c r="H160" s="153">
        <f>SUM(D153:D160)</f>
        <v>8315000</v>
      </c>
      <c r="I160" s="154">
        <f>SUM(G160:H160)</f>
        <v>9537350.617013888</v>
      </c>
      <c r="K160" s="320"/>
      <c r="L160" s="324"/>
    </row>
    <row r="161" spans="1:12" ht="12.75">
      <c r="A161" s="103">
        <v>43918</v>
      </c>
      <c r="B161" s="85">
        <f t="shared" si="8"/>
        <v>88</v>
      </c>
      <c r="C161" s="141">
        <f t="shared" si="9"/>
        <v>22866250</v>
      </c>
      <c r="D161" s="141">
        <v>2078750</v>
      </c>
      <c r="E161" s="173"/>
      <c r="F161" s="86"/>
      <c r="G161" s="143"/>
      <c r="H161" s="143"/>
      <c r="I161" s="144"/>
      <c r="K161" s="322"/>
      <c r="L161" s="332"/>
    </row>
    <row r="162" spans="1:12" ht="12.75">
      <c r="A162" s="84">
        <v>43921</v>
      </c>
      <c r="B162" s="91">
        <f t="shared" si="8"/>
        <v>3</v>
      </c>
      <c r="C162" s="141">
        <f t="shared" si="9"/>
        <v>22866250</v>
      </c>
      <c r="D162" s="141"/>
      <c r="E162" s="173">
        <f>E160</f>
        <v>0.0401</v>
      </c>
      <c r="F162" s="86">
        <f>((C162+D162)*E162/360*B162)+((C161+D161)*E162/360*B161)</f>
        <v>252157.57187499997</v>
      </c>
      <c r="G162" s="151"/>
      <c r="H162" s="151"/>
      <c r="I162" s="152"/>
      <c r="K162" s="322"/>
      <c r="L162" s="332"/>
    </row>
    <row r="163" spans="1:12" ht="12.75">
      <c r="A163" s="90">
        <v>44010</v>
      </c>
      <c r="B163" s="91">
        <f t="shared" si="8"/>
        <v>89</v>
      </c>
      <c r="C163" s="41">
        <f t="shared" si="9"/>
        <v>20787500</v>
      </c>
      <c r="D163" s="141">
        <v>2078750</v>
      </c>
      <c r="E163" s="95"/>
      <c r="F163" s="41"/>
      <c r="G163" s="93"/>
      <c r="H163" s="93"/>
      <c r="I163" s="94"/>
      <c r="K163" s="325"/>
      <c r="L163" s="96"/>
    </row>
    <row r="164" spans="1:12" ht="12.75">
      <c r="A164" s="90">
        <v>44012</v>
      </c>
      <c r="B164" s="91">
        <f t="shared" si="8"/>
        <v>2</v>
      </c>
      <c r="C164" s="41">
        <f t="shared" si="9"/>
        <v>20787500</v>
      </c>
      <c r="D164" s="141"/>
      <c r="E164" s="95">
        <f>E162</f>
        <v>0.0401</v>
      </c>
      <c r="F164" s="86">
        <f>((C164+D164)*E164/360*B164)+((C163+D163)*E164/360*B163)</f>
        <v>231318.10312499997</v>
      </c>
      <c r="G164" s="93"/>
      <c r="H164" s="93"/>
      <c r="I164" s="94"/>
      <c r="K164" s="322"/>
      <c r="L164" s="332"/>
    </row>
    <row r="165" spans="1:12" ht="12.75">
      <c r="A165" s="90">
        <v>44102</v>
      </c>
      <c r="B165" s="91">
        <f t="shared" si="8"/>
        <v>90</v>
      </c>
      <c r="C165" s="157">
        <f t="shared" si="9"/>
        <v>18708750</v>
      </c>
      <c r="D165" s="141">
        <v>2078750</v>
      </c>
      <c r="E165" s="179"/>
      <c r="F165" s="41"/>
      <c r="G165" s="158"/>
      <c r="H165" s="158"/>
      <c r="I165" s="159"/>
      <c r="K165" s="325"/>
      <c r="L165" s="96"/>
    </row>
    <row r="166" spans="1:12" ht="12.75">
      <c r="A166" s="84">
        <v>44104</v>
      </c>
      <c r="B166" s="91">
        <f t="shared" si="8"/>
        <v>2</v>
      </c>
      <c r="C166" s="141">
        <f t="shared" si="9"/>
        <v>18708750</v>
      </c>
      <c r="D166" s="141"/>
      <c r="E166" s="173">
        <f>E164</f>
        <v>0.0401</v>
      </c>
      <c r="F166" s="86">
        <f>((C166+D166)*E166/360*B166)+((C165+D165)*E166/360*B165)</f>
        <v>212562.58124999996</v>
      </c>
      <c r="G166" s="151"/>
      <c r="H166" s="151"/>
      <c r="I166" s="152"/>
      <c r="K166" s="322"/>
      <c r="L166" s="332"/>
    </row>
    <row r="167" spans="1:12" ht="12.75">
      <c r="A167" s="84">
        <v>44193</v>
      </c>
      <c r="B167" s="91">
        <f t="shared" si="8"/>
        <v>89</v>
      </c>
      <c r="C167" s="141">
        <f t="shared" si="9"/>
        <v>16630000</v>
      </c>
      <c r="D167" s="141">
        <v>2078750</v>
      </c>
      <c r="E167" s="173"/>
      <c r="F167" s="41"/>
      <c r="G167" s="151"/>
      <c r="H167" s="151"/>
      <c r="I167" s="152"/>
      <c r="K167" s="325"/>
      <c r="L167" s="96"/>
    </row>
    <row r="168" spans="1:12" ht="12.75">
      <c r="A168" s="145">
        <v>44196</v>
      </c>
      <c r="B168" s="108">
        <f t="shared" si="8"/>
        <v>3</v>
      </c>
      <c r="C168" s="174">
        <f t="shared" si="9"/>
        <v>16630000</v>
      </c>
      <c r="D168" s="146"/>
      <c r="E168" s="175">
        <f>E166</f>
        <v>0.0401</v>
      </c>
      <c r="F168" s="86">
        <f>((C168+D168)*E168/360*B168)+((C167+D167)*E168/360*B167)</f>
        <v>191028.46354166666</v>
      </c>
      <c r="G168" s="153">
        <f>SUM(F161:F168)</f>
        <v>887066.7197916665</v>
      </c>
      <c r="H168" s="153">
        <f>SUM(D161:D168)</f>
        <v>8315000</v>
      </c>
      <c r="I168" s="154">
        <f>SUM(G168:H168)</f>
        <v>9202066.719791666</v>
      </c>
      <c r="K168" s="322"/>
      <c r="L168" s="332"/>
    </row>
    <row r="169" spans="1:12" ht="12.75">
      <c r="A169" s="103">
        <v>44283</v>
      </c>
      <c r="B169" s="104">
        <f t="shared" si="8"/>
        <v>87</v>
      </c>
      <c r="C169" s="42">
        <f t="shared" si="9"/>
        <v>14551250</v>
      </c>
      <c r="D169" s="141">
        <v>2078750</v>
      </c>
      <c r="E169" s="173"/>
      <c r="F169" s="42"/>
      <c r="G169" s="143"/>
      <c r="H169" s="143"/>
      <c r="I169" s="144"/>
      <c r="K169" s="318"/>
      <c r="L169" s="106"/>
    </row>
    <row r="170" spans="1:12" ht="12.75">
      <c r="A170" s="84">
        <v>44286</v>
      </c>
      <c r="B170" s="91">
        <f t="shared" si="8"/>
        <v>3</v>
      </c>
      <c r="C170" s="86">
        <f t="shared" si="9"/>
        <v>14551250</v>
      </c>
      <c r="D170" s="141"/>
      <c r="E170" s="173">
        <f>E168</f>
        <v>0.0401</v>
      </c>
      <c r="F170" s="86">
        <f>((C170+D170)*E170/360*B170)+((C169+D169)*E170/360*B169)</f>
        <v>166021.10104166664</v>
      </c>
      <c r="G170" s="151"/>
      <c r="H170" s="151"/>
      <c r="I170" s="152"/>
      <c r="K170" s="322"/>
      <c r="L170" s="332"/>
    </row>
    <row r="171" spans="1:12" ht="12.75">
      <c r="A171" s="84">
        <v>44375</v>
      </c>
      <c r="B171" s="91">
        <f t="shared" si="8"/>
        <v>89</v>
      </c>
      <c r="C171" s="86">
        <f t="shared" si="9"/>
        <v>12472500</v>
      </c>
      <c r="D171" s="141">
        <v>2078750</v>
      </c>
      <c r="E171" s="173"/>
      <c r="F171" s="41"/>
      <c r="G171" s="151"/>
      <c r="H171" s="151"/>
      <c r="I171" s="152"/>
      <c r="K171" s="325"/>
      <c r="L171" s="96"/>
    </row>
    <row r="172" spans="1:12" ht="12.75">
      <c r="A172" s="84">
        <v>44377</v>
      </c>
      <c r="B172" s="91">
        <f t="shared" si="8"/>
        <v>2</v>
      </c>
      <c r="C172" s="86">
        <f>C171-D172</f>
        <v>12472500</v>
      </c>
      <c r="D172" s="141"/>
      <c r="E172" s="173">
        <f>E170</f>
        <v>0.0401</v>
      </c>
      <c r="F172" s="86">
        <f>((C172+D172)*E172/360*B172)+((C171+D171)*E172/360*B171)</f>
        <v>147034.02951388888</v>
      </c>
      <c r="G172" s="151"/>
      <c r="H172" s="151"/>
      <c r="I172" s="152"/>
      <c r="K172" s="322"/>
      <c r="L172" s="332"/>
    </row>
    <row r="173" spans="1:12" ht="12.75">
      <c r="A173" s="84">
        <v>44467</v>
      </c>
      <c r="B173" s="91">
        <f t="shared" si="8"/>
        <v>90</v>
      </c>
      <c r="C173" s="86">
        <f aca="true" t="shared" si="10" ref="C173:C181">C172-D173</f>
        <v>10393750</v>
      </c>
      <c r="D173" s="141">
        <v>2078750</v>
      </c>
      <c r="E173" s="173"/>
      <c r="F173" s="41"/>
      <c r="G173" s="151"/>
      <c r="H173" s="151"/>
      <c r="I173" s="152"/>
      <c r="K173" s="325"/>
      <c r="L173" s="96"/>
    </row>
    <row r="174" spans="1:12" ht="12.75">
      <c r="A174" s="84">
        <v>44469</v>
      </c>
      <c r="B174" s="91">
        <f t="shared" si="8"/>
        <v>2</v>
      </c>
      <c r="C174" s="86">
        <f t="shared" si="10"/>
        <v>10393750</v>
      </c>
      <c r="D174" s="141"/>
      <c r="E174" s="173">
        <f>E172</f>
        <v>0.0401</v>
      </c>
      <c r="F174" s="86">
        <f>((C174+D174)*E174/360*B174)+((C173+D173)*E174/360*B173)</f>
        <v>127352.30902777775</v>
      </c>
      <c r="G174" s="151"/>
      <c r="H174" s="151"/>
      <c r="I174" s="152"/>
      <c r="K174" s="322"/>
      <c r="L174" s="332"/>
    </row>
    <row r="175" spans="1:12" ht="12.75">
      <c r="A175" s="84">
        <v>44558</v>
      </c>
      <c r="B175" s="91">
        <f t="shared" si="8"/>
        <v>89</v>
      </c>
      <c r="C175" s="86">
        <f t="shared" si="10"/>
        <v>8315000</v>
      </c>
      <c r="D175" s="141">
        <v>2078750</v>
      </c>
      <c r="E175" s="173"/>
      <c r="F175" s="41"/>
      <c r="G175" s="151"/>
      <c r="H175" s="151"/>
      <c r="I175" s="152"/>
      <c r="K175" s="325"/>
      <c r="L175" s="96"/>
    </row>
    <row r="176" spans="1:12" ht="12.75">
      <c r="A176" s="97">
        <v>44561</v>
      </c>
      <c r="B176" s="98">
        <f t="shared" si="8"/>
        <v>3</v>
      </c>
      <c r="C176" s="99">
        <f t="shared" si="10"/>
        <v>8315000</v>
      </c>
      <c r="D176" s="147"/>
      <c r="E176" s="180">
        <f>E174</f>
        <v>0.0401</v>
      </c>
      <c r="F176" s="86">
        <f>((C176+D176)*E176/360*B176)+((C175+D175)*E176/360*B175)</f>
        <v>105818.19131944444</v>
      </c>
      <c r="G176" s="148">
        <f>SUM(F169:F176)</f>
        <v>546225.6309027777</v>
      </c>
      <c r="H176" s="148">
        <f>SUM(D169:D176)</f>
        <v>8315000</v>
      </c>
      <c r="I176" s="149">
        <f>SUM(G176:H176)</f>
        <v>8861225.630902778</v>
      </c>
      <c r="K176" s="322"/>
      <c r="L176" s="332"/>
    </row>
    <row r="177" spans="1:12" ht="12.75">
      <c r="A177" s="103">
        <v>44648</v>
      </c>
      <c r="B177" s="104">
        <f t="shared" si="8"/>
        <v>87</v>
      </c>
      <c r="C177" s="142">
        <f t="shared" si="10"/>
        <v>6236250</v>
      </c>
      <c r="D177" s="141">
        <v>2078750</v>
      </c>
      <c r="E177" s="177"/>
      <c r="F177" s="42"/>
      <c r="G177" s="143"/>
      <c r="H177" s="143"/>
      <c r="I177" s="144"/>
      <c r="K177" s="318"/>
      <c r="L177" s="106"/>
    </row>
    <row r="178" spans="1:12" ht="12.75">
      <c r="A178" s="90">
        <v>44651</v>
      </c>
      <c r="B178" s="91">
        <f t="shared" si="8"/>
        <v>3</v>
      </c>
      <c r="C178" s="157">
        <f t="shared" si="10"/>
        <v>6236250</v>
      </c>
      <c r="D178" s="141"/>
      <c r="E178" s="179">
        <f>E176</f>
        <v>0.0401</v>
      </c>
      <c r="F178" s="86">
        <f>((C178+D178)*E178/360*B178)+((C177+D177)*E178/360*B177)</f>
        <v>82663.22604166665</v>
      </c>
      <c r="G178" s="158"/>
      <c r="H178" s="158"/>
      <c r="I178" s="159"/>
      <c r="K178" s="322"/>
      <c r="L178" s="332"/>
    </row>
    <row r="179" spans="1:12" ht="12.75">
      <c r="A179" s="90">
        <v>44740</v>
      </c>
      <c r="B179" s="91">
        <f t="shared" si="8"/>
        <v>89</v>
      </c>
      <c r="C179" s="157">
        <f t="shared" si="10"/>
        <v>4157500</v>
      </c>
      <c r="D179" s="141">
        <v>2078750</v>
      </c>
      <c r="E179" s="179"/>
      <c r="F179" s="41"/>
      <c r="G179" s="158"/>
      <c r="H179" s="158"/>
      <c r="I179" s="159"/>
      <c r="K179" s="325"/>
      <c r="L179" s="96"/>
    </row>
    <row r="180" spans="1:12" ht="12.75">
      <c r="A180" s="84">
        <v>44742</v>
      </c>
      <c r="B180" s="91">
        <f t="shared" si="8"/>
        <v>2</v>
      </c>
      <c r="C180" s="141">
        <f t="shared" si="10"/>
        <v>4157500</v>
      </c>
      <c r="D180" s="141"/>
      <c r="E180" s="173">
        <f>E178</f>
        <v>0.0401</v>
      </c>
      <c r="F180" s="86">
        <f>((C180+D180)*E180/360*B180)+((C179+D179)*E180/360*B179)</f>
        <v>62749.955902777765</v>
      </c>
      <c r="G180" s="151"/>
      <c r="H180" s="151"/>
      <c r="I180" s="152"/>
      <c r="K180" s="322"/>
      <c r="L180" s="332"/>
    </row>
    <row r="181" spans="1:12" ht="12.75">
      <c r="A181" s="84">
        <v>44832</v>
      </c>
      <c r="B181" s="91">
        <f t="shared" si="8"/>
        <v>90</v>
      </c>
      <c r="C181" s="141">
        <f t="shared" si="10"/>
        <v>2078750</v>
      </c>
      <c r="D181" s="141">
        <v>2078750</v>
      </c>
      <c r="E181" s="95"/>
      <c r="F181" s="91"/>
      <c r="G181" s="91"/>
      <c r="H181" s="91"/>
      <c r="I181" s="242"/>
      <c r="K181" s="352"/>
      <c r="L181" s="242"/>
    </row>
    <row r="182" spans="1:12" ht="12.75">
      <c r="A182" s="84">
        <v>44834</v>
      </c>
      <c r="B182" s="91">
        <f t="shared" si="8"/>
        <v>2</v>
      </c>
      <c r="C182" s="141">
        <f>C181-D182</f>
        <v>2078750</v>
      </c>
      <c r="D182" s="141"/>
      <c r="E182" s="95">
        <f>E180</f>
        <v>0.0401</v>
      </c>
      <c r="F182" s="86">
        <f>((C182+D182)*E182/360*B182)+((C181+D181)*E182/360*B181)</f>
        <v>42142.03680555556</v>
      </c>
      <c r="G182" s="91"/>
      <c r="H182" s="91"/>
      <c r="I182" s="242"/>
      <c r="K182" s="322"/>
      <c r="L182" s="332"/>
    </row>
    <row r="183" spans="1:12" ht="13.5" thickBot="1">
      <c r="A183" s="84">
        <v>44923</v>
      </c>
      <c r="B183" s="91">
        <f t="shared" si="8"/>
        <v>89</v>
      </c>
      <c r="C183" s="141">
        <f>C182-D183</f>
        <v>0</v>
      </c>
      <c r="D183" s="141">
        <v>2078750</v>
      </c>
      <c r="E183" s="243">
        <f>E182</f>
        <v>0.0401</v>
      </c>
      <c r="F183" s="86">
        <f>((C183+D183)*E183/360*B183)</f>
        <v>20607.91909722222</v>
      </c>
      <c r="G183" s="93">
        <f>SUM(F177:F183)</f>
        <v>208163.1378472222</v>
      </c>
      <c r="H183" s="93">
        <f>SUM(D177:D183)</f>
        <v>8315000</v>
      </c>
      <c r="I183" s="94">
        <f>SUM(G183:H183)</f>
        <v>8523163.137847222</v>
      </c>
      <c r="K183" s="322"/>
      <c r="L183" s="332"/>
    </row>
    <row r="184" spans="1:12" ht="13.5" thickTop="1">
      <c r="A184" s="160" t="s">
        <v>14</v>
      </c>
      <c r="B184" s="161"/>
      <c r="C184" s="162"/>
      <c r="D184" s="163">
        <f>SUM(D8:D183)</f>
        <v>187075039</v>
      </c>
      <c r="E184" s="181"/>
      <c r="F184" s="163">
        <f>SUM(F8:F183)</f>
        <v>69489266.31283335</v>
      </c>
      <c r="G184" s="163">
        <f>SUM(G8:G183)</f>
        <v>69489266.31283332</v>
      </c>
      <c r="H184" s="163">
        <f>SUM(H8:H183)</f>
        <v>187075039</v>
      </c>
      <c r="I184" s="182">
        <f>SUM(I8:I183)</f>
        <v>256564305.31283334</v>
      </c>
      <c r="K184" s="327">
        <f>SUM(K8:K183)</f>
        <v>19859024</v>
      </c>
      <c r="L184" s="182">
        <f>SUM(L8:L183)</f>
        <v>5652817</v>
      </c>
    </row>
    <row r="186" spans="1:9" ht="12.75">
      <c r="A186" s="165" t="s">
        <v>90</v>
      </c>
      <c r="I186" s="124"/>
    </row>
    <row r="187" ht="12.75">
      <c r="I187" s="124"/>
    </row>
    <row r="188" spans="1:12" ht="12.75">
      <c r="A188" s="58" t="s">
        <v>110</v>
      </c>
      <c r="F188" s="306">
        <v>12499470</v>
      </c>
      <c r="K188" s="306"/>
      <c r="L188" s="306"/>
    </row>
    <row r="189" spans="1:12" ht="12.75">
      <c r="A189" s="58" t="s">
        <v>111</v>
      </c>
      <c r="F189" s="306">
        <v>10226303</v>
      </c>
      <c r="K189" s="306"/>
      <c r="L189" s="306"/>
    </row>
    <row r="190" spans="1:12" ht="12.75">
      <c r="A190" s="58" t="s">
        <v>112</v>
      </c>
      <c r="F190" s="306">
        <v>56942030</v>
      </c>
      <c r="K190" s="306"/>
      <c r="L190" s="306"/>
    </row>
    <row r="191" spans="1:12" ht="12.75">
      <c r="A191" s="58" t="s">
        <v>113</v>
      </c>
      <c r="F191" s="306">
        <v>22256001</v>
      </c>
      <c r="K191" s="353"/>
      <c r="L191" s="353"/>
    </row>
    <row r="192" spans="1:12" ht="12.75">
      <c r="A192" s="58" t="s">
        <v>114</v>
      </c>
      <c r="F192" s="306">
        <v>22955624</v>
      </c>
      <c r="K192" s="353"/>
      <c r="L192" s="353"/>
    </row>
    <row r="193" spans="1:12" ht="12.75">
      <c r="A193" s="58" t="s">
        <v>115</v>
      </c>
      <c r="F193" s="306">
        <v>22221280</v>
      </c>
      <c r="K193" s="353"/>
      <c r="L193" s="353"/>
    </row>
    <row r="194" spans="1:12" ht="13.5" thickBot="1">
      <c r="A194" s="304" t="s">
        <v>116</v>
      </c>
      <c r="B194" s="304"/>
      <c r="C194" s="304"/>
      <c r="D194" s="304"/>
      <c r="E194" s="305"/>
      <c r="F194" s="307">
        <v>39974331</v>
      </c>
      <c r="K194" s="353"/>
      <c r="L194" s="353"/>
    </row>
    <row r="195" spans="1:12" ht="13.5" thickTop="1">
      <c r="A195" s="165" t="s">
        <v>117</v>
      </c>
      <c r="B195" s="165"/>
      <c r="C195" s="165"/>
      <c r="D195" s="165"/>
      <c r="E195" s="167"/>
      <c r="F195" s="308">
        <f>SUM(F188:F194)</f>
        <v>187075039</v>
      </c>
      <c r="K195" s="354"/>
      <c r="L195" s="354"/>
    </row>
    <row r="196" spans="1:12" ht="13.5" thickBot="1">
      <c r="A196" s="304" t="s">
        <v>126</v>
      </c>
      <c r="B196" s="304"/>
      <c r="C196" s="304"/>
      <c r="D196" s="304"/>
      <c r="E196" s="305"/>
      <c r="F196" s="307">
        <v>-24980326</v>
      </c>
      <c r="K196" s="353"/>
      <c r="L196" s="353"/>
    </row>
    <row r="197" spans="1:12" ht="13.5" thickTop="1">
      <c r="A197" s="165" t="s">
        <v>117</v>
      </c>
      <c r="B197" s="165"/>
      <c r="C197" s="165"/>
      <c r="D197" s="165"/>
      <c r="E197" s="167"/>
      <c r="F197" s="308">
        <f>SUM(F195:F196)</f>
        <v>162094713</v>
      </c>
      <c r="K197" s="354"/>
      <c r="L197" s="354"/>
    </row>
    <row r="198" spans="11:12" ht="12.75">
      <c r="K198" s="56"/>
      <c r="L198" s="56"/>
    </row>
    <row r="199" spans="3:12" ht="12.75">
      <c r="C199" s="124"/>
      <c r="D199" s="311"/>
      <c r="F199" s="306"/>
      <c r="K199" s="353"/>
      <c r="L199" s="353"/>
    </row>
    <row r="200" spans="3:12" ht="12.75">
      <c r="C200" s="124"/>
      <c r="D200" s="311"/>
      <c r="F200" s="306"/>
      <c r="K200" s="353"/>
      <c r="L200" s="353"/>
    </row>
    <row r="201" spans="3:12" ht="12.75">
      <c r="C201" s="124"/>
      <c r="D201" s="124"/>
      <c r="E201" s="58"/>
      <c r="K201" s="56"/>
      <c r="L201" s="56"/>
    </row>
    <row r="202" spans="3:12" ht="12.75">
      <c r="C202" s="124"/>
      <c r="D202" s="124"/>
      <c r="E202" s="58"/>
      <c r="K202" s="56"/>
      <c r="L202" s="56"/>
    </row>
    <row r="203" spans="3:12" ht="12.75">
      <c r="C203" s="124"/>
      <c r="D203" s="124"/>
      <c r="E203" s="58"/>
      <c r="F203" s="124"/>
      <c r="K203" s="265"/>
      <c r="L203" s="265"/>
    </row>
    <row r="204" spans="11:12" ht="12.75">
      <c r="K204" s="56"/>
      <c r="L204" s="56"/>
    </row>
    <row r="205" spans="11:12" ht="12.75">
      <c r="K205" s="56"/>
      <c r="L205" s="56"/>
    </row>
    <row r="206" spans="11:12" ht="12.75">
      <c r="K206" s="56"/>
      <c r="L206" s="56"/>
    </row>
    <row r="207" spans="11:12" ht="12.75">
      <c r="K207" s="56"/>
      <c r="L207" s="56"/>
    </row>
    <row r="208" spans="11:12" ht="12.75">
      <c r="K208" s="56"/>
      <c r="L208" s="56"/>
    </row>
    <row r="209" spans="11:12" ht="12.75">
      <c r="K209" s="56"/>
      <c r="L209" s="56"/>
    </row>
    <row r="210" spans="11:12" ht="12.75">
      <c r="K210" s="56"/>
      <c r="L210" s="56"/>
    </row>
    <row r="211" spans="11:12" ht="12.75">
      <c r="K211" s="56"/>
      <c r="L211" s="56"/>
    </row>
    <row r="212" spans="11:12" ht="12.75">
      <c r="K212" s="56"/>
      <c r="L212" s="56"/>
    </row>
    <row r="213" spans="11:12" ht="12.75">
      <c r="K213" s="56"/>
      <c r="L213" s="56"/>
    </row>
    <row r="214" spans="11:12" ht="12.75">
      <c r="K214" s="56"/>
      <c r="L214" s="56"/>
    </row>
    <row r="215" spans="11:12" ht="12.75">
      <c r="K215" s="56"/>
      <c r="L215" s="56"/>
    </row>
    <row r="216" spans="11:12" ht="12.75">
      <c r="K216" s="56"/>
      <c r="L216" s="56"/>
    </row>
    <row r="217" spans="11:12" ht="12.75">
      <c r="K217" s="56"/>
      <c r="L217" s="56"/>
    </row>
    <row r="218" spans="11:12" ht="12.75">
      <c r="K218" s="56"/>
      <c r="L218" s="56"/>
    </row>
    <row r="219" spans="11:12" ht="12.75">
      <c r="K219" s="56"/>
      <c r="L219" s="56"/>
    </row>
    <row r="220" spans="11:12" ht="12.75">
      <c r="K220" s="56"/>
      <c r="L220" s="56"/>
    </row>
    <row r="221" spans="11:12" ht="12.75">
      <c r="K221" s="56"/>
      <c r="L221" s="56"/>
    </row>
    <row r="222" spans="11:12" ht="12.75">
      <c r="K222" s="56"/>
      <c r="L222" s="56"/>
    </row>
    <row r="223" spans="11:12" ht="12.75">
      <c r="K223" s="56"/>
      <c r="L223" s="56"/>
    </row>
    <row r="224" spans="11:12" ht="12.75">
      <c r="K224" s="56"/>
      <c r="L224" s="56"/>
    </row>
    <row r="225" spans="11:12" ht="12.75">
      <c r="K225" s="56"/>
      <c r="L225" s="56"/>
    </row>
    <row r="226" spans="11:12" ht="12.75">
      <c r="K226" s="56"/>
      <c r="L226" s="56"/>
    </row>
    <row r="227" spans="11:12" ht="12.75">
      <c r="K227" s="56"/>
      <c r="L227" s="56"/>
    </row>
    <row r="228" spans="11:12" ht="12.75">
      <c r="K228" s="56"/>
      <c r="L228" s="56"/>
    </row>
    <row r="229" spans="11:12" ht="12.75">
      <c r="K229" s="56"/>
      <c r="L229" s="56"/>
    </row>
    <row r="230" spans="11:12" ht="12.75">
      <c r="K230" s="56"/>
      <c r="L230" s="56"/>
    </row>
    <row r="231" spans="11:12" ht="12.75">
      <c r="K231" s="56"/>
      <c r="L231" s="56"/>
    </row>
    <row r="232" spans="11:12" ht="12.75">
      <c r="K232" s="56"/>
      <c r="L232" s="56"/>
    </row>
    <row r="233" spans="11:12" ht="12.75">
      <c r="K233" s="56"/>
      <c r="L233" s="56"/>
    </row>
    <row r="234" spans="11:12" ht="12.75">
      <c r="K234" s="56"/>
      <c r="L234" s="56"/>
    </row>
    <row r="235" spans="11:12" ht="12.75">
      <c r="K235" s="56"/>
      <c r="L235" s="56"/>
    </row>
    <row r="236" spans="11:12" ht="12.75">
      <c r="K236" s="56"/>
      <c r="L236" s="56"/>
    </row>
    <row r="237" spans="11:12" ht="12.75">
      <c r="K237" s="56"/>
      <c r="L237" s="56"/>
    </row>
    <row r="238" spans="11:12" ht="12.75">
      <c r="K238" s="56"/>
      <c r="L238" s="56"/>
    </row>
    <row r="239" spans="11:12" ht="12.75">
      <c r="K239" s="56"/>
      <c r="L239" s="56"/>
    </row>
    <row r="240" spans="11:12" ht="12.75">
      <c r="K240" s="56"/>
      <c r="L240" s="56"/>
    </row>
  </sheetData>
  <printOptions/>
  <pageMargins left="0.5905511811023623" right="0.3937007874015748" top="0.7874015748031497" bottom="0.5905511811023623" header="0.1968503937007874" footer="0.1968503937007874"/>
  <pageSetup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Kecelhegyen bérlakás építésre 2002. december-2003. októberben felvett hitel  </oddHeader>
    <oddFooter>&amp;L&amp;9Nyomtatás dátuma: &amp;D
C:\Andi\adósságszolgálat\&amp;F\&amp;A&amp;R&amp;P/&amp;N</oddFooter>
  </headerFooter>
  <rowBreaks count="2" manualBreakCount="2">
    <brk id="64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pane ySplit="6" topLeftCell="BM83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375" style="58" bestFit="1" customWidth="1"/>
    <col min="2" max="2" width="6.50390625" style="58" customWidth="1"/>
    <col min="3" max="3" width="12.125" style="124" customWidth="1"/>
    <col min="4" max="4" width="12.875" style="124" bestFit="1" customWidth="1"/>
    <col min="5" max="5" width="9.00390625" style="58" customWidth="1"/>
    <col min="6" max="7" width="11.625" style="58" bestFit="1" customWidth="1"/>
    <col min="8" max="8" width="12.625" style="58" bestFit="1" customWidth="1"/>
    <col min="9" max="9" width="12.50390625" style="58" customWidth="1"/>
    <col min="10" max="10" width="9.375" style="58" customWidth="1"/>
    <col min="11" max="11" width="10.125" style="58" bestFit="1" customWidth="1"/>
    <col min="12" max="16384" width="9.375" style="58" customWidth="1"/>
  </cols>
  <sheetData>
    <row r="1" spans="1:9" ht="12.75">
      <c r="A1" s="244" t="s">
        <v>77</v>
      </c>
      <c r="B1" s="165"/>
      <c r="C1" s="166"/>
      <c r="D1" s="166"/>
      <c r="F1" s="166"/>
      <c r="G1" s="166"/>
      <c r="H1" s="166"/>
      <c r="I1" s="166"/>
    </row>
    <row r="2" spans="1:9" ht="12.75">
      <c r="A2" s="138" t="s">
        <v>0</v>
      </c>
      <c r="B2" s="136"/>
      <c r="C2" s="135"/>
      <c r="D2" s="135"/>
      <c r="E2" s="135"/>
      <c r="F2" s="135"/>
      <c r="G2" s="135"/>
      <c r="H2" s="135"/>
      <c r="I2" s="135"/>
    </row>
    <row r="3" spans="1:9" ht="12.75">
      <c r="A3" s="137" t="s">
        <v>62</v>
      </c>
      <c r="B3" s="136"/>
      <c r="C3" s="135"/>
      <c r="D3" s="135"/>
      <c r="E3" s="135"/>
      <c r="F3" s="135"/>
      <c r="G3" s="135"/>
      <c r="H3" s="135"/>
      <c r="I3" s="136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103">
        <v>36526</v>
      </c>
      <c r="B7" s="245"/>
      <c r="C7" s="142">
        <v>200000000</v>
      </c>
      <c r="D7" s="142"/>
      <c r="E7" s="53"/>
      <c r="F7" s="142"/>
      <c r="G7" s="143"/>
      <c r="H7" s="143"/>
      <c r="I7" s="144"/>
    </row>
    <row r="8" spans="1:9" ht="12.75">
      <c r="A8" s="84">
        <v>36556</v>
      </c>
      <c r="B8" s="140">
        <f aca="true" t="shared" si="0" ref="B8:B43">A8-A7</f>
        <v>30</v>
      </c>
      <c r="C8" s="141">
        <f aca="true" t="shared" si="1" ref="C8:C42">C7-D8</f>
        <v>195000000</v>
      </c>
      <c r="D8" s="141">
        <v>5000000</v>
      </c>
      <c r="E8" s="53"/>
      <c r="F8" s="141"/>
      <c r="G8" s="151"/>
      <c r="H8" s="151"/>
      <c r="I8" s="152"/>
    </row>
    <row r="9" spans="1:9" ht="12.75">
      <c r="A9" s="84">
        <v>36584</v>
      </c>
      <c r="B9" s="140">
        <f t="shared" si="0"/>
        <v>28</v>
      </c>
      <c r="C9" s="141">
        <f t="shared" si="1"/>
        <v>190000000</v>
      </c>
      <c r="D9" s="141">
        <v>5000000</v>
      </c>
      <c r="E9" s="53"/>
      <c r="F9" s="141"/>
      <c r="G9" s="151"/>
      <c r="H9" s="151"/>
      <c r="I9" s="152"/>
    </row>
    <row r="10" spans="1:9" ht="12.75">
      <c r="A10" s="84">
        <v>36616</v>
      </c>
      <c r="B10" s="140">
        <f t="shared" si="0"/>
        <v>32</v>
      </c>
      <c r="C10" s="141">
        <f t="shared" si="1"/>
        <v>190000000</v>
      </c>
      <c r="D10" s="141"/>
      <c r="E10" s="53">
        <v>0.1362</v>
      </c>
      <c r="F10" s="141">
        <f>((C8+D8)*E10/365*B8)+((C9+D9)*E10/365*B9)+(C10*E10/365*B10)</f>
        <v>6545063.013698629</v>
      </c>
      <c r="G10" s="151"/>
      <c r="H10" s="151"/>
      <c r="I10" s="152"/>
    </row>
    <row r="11" spans="1:9" ht="12.75">
      <c r="A11" s="84">
        <v>36646</v>
      </c>
      <c r="B11" s="140">
        <f t="shared" si="0"/>
        <v>30</v>
      </c>
      <c r="C11" s="141">
        <f t="shared" si="1"/>
        <v>185000000</v>
      </c>
      <c r="D11" s="141">
        <v>5000000</v>
      </c>
      <c r="E11" s="53"/>
      <c r="F11" s="141"/>
      <c r="G11" s="151"/>
      <c r="H11" s="151"/>
      <c r="I11" s="152"/>
    </row>
    <row r="12" spans="1:9" ht="12.75">
      <c r="A12" s="84">
        <v>36677</v>
      </c>
      <c r="B12" s="140">
        <f t="shared" si="0"/>
        <v>31</v>
      </c>
      <c r="C12" s="141">
        <f t="shared" si="1"/>
        <v>180000000</v>
      </c>
      <c r="D12" s="141">
        <v>5000000</v>
      </c>
      <c r="E12" s="53"/>
      <c r="F12" s="141"/>
      <c r="G12" s="151"/>
      <c r="H12" s="151"/>
      <c r="I12" s="152"/>
    </row>
    <row r="13" spans="1:9" ht="12.75">
      <c r="A13" s="84">
        <v>36707</v>
      </c>
      <c r="B13" s="140">
        <f t="shared" si="0"/>
        <v>30</v>
      </c>
      <c r="C13" s="141">
        <f t="shared" si="1"/>
        <v>180000000</v>
      </c>
      <c r="D13" s="141"/>
      <c r="E13" s="53">
        <v>0.1105</v>
      </c>
      <c r="F13" s="141">
        <f>((C11+D11)*E13/365*B11)+((C12+D12)*E13/365*B12)+(C13*E13/365*B13)</f>
        <v>5096623.287671233</v>
      </c>
      <c r="G13" s="151"/>
      <c r="H13" s="151"/>
      <c r="I13" s="152"/>
    </row>
    <row r="14" spans="1:9" ht="12.75">
      <c r="A14" s="84">
        <v>36738</v>
      </c>
      <c r="B14" s="140">
        <f t="shared" si="0"/>
        <v>31</v>
      </c>
      <c r="C14" s="141">
        <f t="shared" si="1"/>
        <v>175000000</v>
      </c>
      <c r="D14" s="141">
        <v>5000000</v>
      </c>
      <c r="E14" s="53"/>
      <c r="F14" s="141"/>
      <c r="G14" s="151"/>
      <c r="H14" s="151"/>
      <c r="I14" s="152"/>
    </row>
    <row r="15" spans="1:9" ht="12.75">
      <c r="A15" s="84">
        <v>36769</v>
      </c>
      <c r="B15" s="140">
        <f t="shared" si="0"/>
        <v>31</v>
      </c>
      <c r="C15" s="141">
        <f t="shared" si="1"/>
        <v>170000000</v>
      </c>
      <c r="D15" s="141">
        <v>5000000</v>
      </c>
      <c r="E15" s="53"/>
      <c r="F15" s="141"/>
      <c r="G15" s="151"/>
      <c r="H15" s="151"/>
      <c r="I15" s="152"/>
    </row>
    <row r="16" spans="1:9" ht="12.75">
      <c r="A16" s="84">
        <v>36799</v>
      </c>
      <c r="B16" s="140">
        <f t="shared" si="0"/>
        <v>30</v>
      </c>
      <c r="C16" s="141">
        <f t="shared" si="1"/>
        <v>170000000</v>
      </c>
      <c r="D16" s="141"/>
      <c r="E16" s="53">
        <v>0.1116</v>
      </c>
      <c r="F16" s="141">
        <f>((C14+D14)*E16/365*B14)+((C15+D15)*E16/365*B15)+(C16*E16/365*B16)</f>
        <v>4924158.904109589</v>
      </c>
      <c r="G16" s="151"/>
      <c r="H16" s="151"/>
      <c r="I16" s="152"/>
    </row>
    <row r="17" spans="1:9" ht="12.75">
      <c r="A17" s="84">
        <v>36830</v>
      </c>
      <c r="B17" s="140">
        <f t="shared" si="0"/>
        <v>31</v>
      </c>
      <c r="C17" s="141">
        <f t="shared" si="1"/>
        <v>165000000</v>
      </c>
      <c r="D17" s="141">
        <v>5000000</v>
      </c>
      <c r="E17" s="53"/>
      <c r="F17" s="141"/>
      <c r="G17" s="151"/>
      <c r="H17" s="151"/>
      <c r="I17" s="152"/>
    </row>
    <row r="18" spans="1:9" ht="12.75">
      <c r="A18" s="84">
        <v>36860</v>
      </c>
      <c r="B18" s="140">
        <f t="shared" si="0"/>
        <v>30</v>
      </c>
      <c r="C18" s="141">
        <f t="shared" si="1"/>
        <v>160000000</v>
      </c>
      <c r="D18" s="141">
        <v>5000000</v>
      </c>
      <c r="E18" s="53"/>
      <c r="F18" s="141"/>
      <c r="G18" s="151"/>
      <c r="H18" s="151"/>
      <c r="I18" s="152"/>
    </row>
    <row r="19" spans="1:9" ht="12.75">
      <c r="A19" s="145">
        <v>36891</v>
      </c>
      <c r="B19" s="246">
        <f t="shared" si="0"/>
        <v>31</v>
      </c>
      <c r="C19" s="146">
        <f t="shared" si="1"/>
        <v>160000000</v>
      </c>
      <c r="D19" s="146"/>
      <c r="E19" s="100">
        <f>E16</f>
        <v>0.1116</v>
      </c>
      <c r="F19" s="147">
        <f>((C17+D17)*E19/365*B17)+((C18+D18)*E19/365*B18)+(C19*E19/365*B19)</f>
        <v>4641336.98630137</v>
      </c>
      <c r="G19" s="153">
        <f>SUM(F10:F19)</f>
        <v>21207182.19178082</v>
      </c>
      <c r="H19" s="153">
        <f>SUM(D8:D19)</f>
        <v>40000000</v>
      </c>
      <c r="I19" s="154">
        <f>SUM(G19:H19)</f>
        <v>61207182.19178082</v>
      </c>
    </row>
    <row r="20" spans="1:9" ht="12.75">
      <c r="A20" s="84">
        <v>36922</v>
      </c>
      <c r="B20" s="140">
        <f t="shared" si="0"/>
        <v>31</v>
      </c>
      <c r="C20" s="141">
        <f t="shared" si="1"/>
        <v>155000000</v>
      </c>
      <c r="D20" s="141">
        <v>5000000</v>
      </c>
      <c r="E20" s="53"/>
      <c r="F20" s="141"/>
      <c r="G20" s="151"/>
      <c r="H20" s="151"/>
      <c r="I20" s="152"/>
    </row>
    <row r="21" spans="1:9" ht="12.75">
      <c r="A21" s="84">
        <v>36950</v>
      </c>
      <c r="B21" s="140">
        <f t="shared" si="0"/>
        <v>28</v>
      </c>
      <c r="C21" s="141">
        <f t="shared" si="1"/>
        <v>150000000</v>
      </c>
      <c r="D21" s="141">
        <v>5000000</v>
      </c>
      <c r="E21" s="53"/>
      <c r="F21" s="141"/>
      <c r="G21" s="151"/>
      <c r="H21" s="151"/>
      <c r="I21" s="152"/>
    </row>
    <row r="22" spans="1:9" ht="12.75">
      <c r="A22" s="90">
        <v>36981</v>
      </c>
      <c r="B22" s="247">
        <f t="shared" si="0"/>
        <v>31</v>
      </c>
      <c r="C22" s="157">
        <f t="shared" si="1"/>
        <v>150000000</v>
      </c>
      <c r="D22" s="157"/>
      <c r="E22" s="53">
        <f>F22/(((C20+D20)*B20)+((C21+D21)*B21)+(C22*B22))*365</f>
        <v>0.12508128745519714</v>
      </c>
      <c r="F22" s="141">
        <v>4780504</v>
      </c>
      <c r="G22" s="158"/>
      <c r="H22" s="158"/>
      <c r="I22" s="159"/>
    </row>
    <row r="23" spans="1:9" ht="12.75">
      <c r="A23" s="90">
        <v>37011</v>
      </c>
      <c r="B23" s="247">
        <f t="shared" si="0"/>
        <v>30</v>
      </c>
      <c r="C23" s="157">
        <f t="shared" si="1"/>
        <v>145000000</v>
      </c>
      <c r="D23" s="157">
        <v>5000000</v>
      </c>
      <c r="E23" s="53"/>
      <c r="F23" s="157"/>
      <c r="G23" s="158"/>
      <c r="H23" s="158"/>
      <c r="I23" s="159"/>
    </row>
    <row r="24" spans="1:9" ht="12.75">
      <c r="A24" s="84">
        <v>37042</v>
      </c>
      <c r="B24" s="140">
        <f t="shared" si="0"/>
        <v>31</v>
      </c>
      <c r="C24" s="141">
        <f t="shared" si="1"/>
        <v>140000000</v>
      </c>
      <c r="D24" s="141">
        <v>5000000</v>
      </c>
      <c r="E24" s="53"/>
      <c r="F24" s="141"/>
      <c r="G24" s="151"/>
      <c r="H24" s="151"/>
      <c r="I24" s="152"/>
    </row>
    <row r="25" spans="1:9" ht="12.75">
      <c r="A25" s="90">
        <v>37072</v>
      </c>
      <c r="B25" s="247">
        <f t="shared" si="0"/>
        <v>30</v>
      </c>
      <c r="C25" s="157">
        <f t="shared" si="1"/>
        <v>140000000</v>
      </c>
      <c r="D25" s="157"/>
      <c r="E25" s="53">
        <f>F25/(((C23+D23)*B23)+((C24+D24)*B24)+(C25*B25))*365</f>
        <v>0.12392879992421371</v>
      </c>
      <c r="F25" s="141">
        <v>4480111</v>
      </c>
      <c r="G25" s="158"/>
      <c r="H25" s="158"/>
      <c r="I25" s="159"/>
    </row>
    <row r="26" spans="1:9" ht="12.75">
      <c r="A26" s="90">
        <v>37103</v>
      </c>
      <c r="B26" s="247">
        <f t="shared" si="0"/>
        <v>31</v>
      </c>
      <c r="C26" s="157">
        <f t="shared" si="1"/>
        <v>135000000</v>
      </c>
      <c r="D26" s="157">
        <v>5000000</v>
      </c>
      <c r="E26" s="248"/>
      <c r="F26" s="157"/>
      <c r="G26" s="158"/>
      <c r="H26" s="158"/>
      <c r="I26" s="159"/>
    </row>
    <row r="27" spans="1:9" ht="12.75">
      <c r="A27" s="84">
        <v>37134</v>
      </c>
      <c r="B27" s="140">
        <f t="shared" si="0"/>
        <v>31</v>
      </c>
      <c r="C27" s="141">
        <f t="shared" si="1"/>
        <v>130000000</v>
      </c>
      <c r="D27" s="141">
        <v>5000000</v>
      </c>
      <c r="E27" s="53"/>
      <c r="F27" s="141"/>
      <c r="G27" s="151"/>
      <c r="H27" s="151"/>
      <c r="I27" s="152"/>
    </row>
    <row r="28" spans="1:9" ht="12.75">
      <c r="A28" s="84">
        <v>37164</v>
      </c>
      <c r="B28" s="140">
        <f t="shared" si="0"/>
        <v>30</v>
      </c>
      <c r="C28" s="141">
        <f t="shared" si="1"/>
        <v>130000000</v>
      </c>
      <c r="D28" s="141"/>
      <c r="E28" s="53">
        <f>F28/(((C26+D26)*B26)+((C27+D27)*B27)+(C28*B28))*365</f>
        <v>0.11154079798792757</v>
      </c>
      <c r="F28" s="141">
        <v>3796971</v>
      </c>
      <c r="G28" s="151"/>
      <c r="H28" s="151"/>
      <c r="I28" s="152"/>
    </row>
    <row r="29" spans="1:9" ht="12.75">
      <c r="A29" s="84">
        <v>37195</v>
      </c>
      <c r="B29" s="140">
        <f t="shared" si="0"/>
        <v>31</v>
      </c>
      <c r="C29" s="141">
        <f t="shared" si="1"/>
        <v>125000000</v>
      </c>
      <c r="D29" s="141">
        <v>5000000</v>
      </c>
      <c r="E29" s="53"/>
      <c r="F29" s="141"/>
      <c r="G29" s="151"/>
      <c r="H29" s="151"/>
      <c r="I29" s="152"/>
    </row>
    <row r="30" spans="1:9" ht="12.75">
      <c r="A30" s="84">
        <v>37225</v>
      </c>
      <c r="B30" s="140">
        <f t="shared" si="0"/>
        <v>30</v>
      </c>
      <c r="C30" s="141">
        <f t="shared" si="1"/>
        <v>120000000</v>
      </c>
      <c r="D30" s="141">
        <v>5000000</v>
      </c>
      <c r="E30" s="53"/>
      <c r="F30" s="141"/>
      <c r="G30" s="151"/>
      <c r="H30" s="151"/>
      <c r="I30" s="152"/>
    </row>
    <row r="31" spans="1:9" ht="12.75">
      <c r="A31" s="145">
        <v>37253</v>
      </c>
      <c r="B31" s="246">
        <f t="shared" si="0"/>
        <v>28</v>
      </c>
      <c r="C31" s="146">
        <f t="shared" si="1"/>
        <v>120000000</v>
      </c>
      <c r="D31" s="146"/>
      <c r="E31" s="100">
        <f>F31/(((C29+D29)*B29)+((C30+D30)*B30)+(C31*B31))*365</f>
        <v>0.1163699618491921</v>
      </c>
      <c r="F31" s="147">
        <v>3551675</v>
      </c>
      <c r="G31" s="153">
        <f>SUM(F22:F31)</f>
        <v>16609261</v>
      </c>
      <c r="H31" s="153">
        <f>SUM(D20:D31)</f>
        <v>40000000</v>
      </c>
      <c r="I31" s="154">
        <f>SUM(G31:H31)</f>
        <v>56609261</v>
      </c>
    </row>
    <row r="32" spans="1:9" ht="12.75">
      <c r="A32" s="84">
        <v>37287</v>
      </c>
      <c r="B32" s="140">
        <f t="shared" si="0"/>
        <v>34</v>
      </c>
      <c r="C32" s="141">
        <f t="shared" si="1"/>
        <v>115000000</v>
      </c>
      <c r="D32" s="141">
        <v>5000000</v>
      </c>
      <c r="E32" s="53"/>
      <c r="F32" s="141"/>
      <c r="G32" s="151"/>
      <c r="H32" s="151"/>
      <c r="I32" s="152"/>
    </row>
    <row r="33" spans="1:9" ht="12.75">
      <c r="A33" s="84">
        <v>37315</v>
      </c>
      <c r="B33" s="140">
        <f t="shared" si="0"/>
        <v>28</v>
      </c>
      <c r="C33" s="141">
        <f t="shared" si="1"/>
        <v>110000000</v>
      </c>
      <c r="D33" s="141">
        <v>5000000</v>
      </c>
      <c r="E33" s="53"/>
      <c r="F33" s="141"/>
      <c r="G33" s="151"/>
      <c r="H33" s="151"/>
      <c r="I33" s="152"/>
    </row>
    <row r="34" spans="1:9" ht="12.75">
      <c r="A34" s="84">
        <v>37344</v>
      </c>
      <c r="B34" s="140">
        <f t="shared" si="0"/>
        <v>29</v>
      </c>
      <c r="C34" s="141">
        <f t="shared" si="1"/>
        <v>110000000</v>
      </c>
      <c r="D34" s="141"/>
      <c r="E34" s="53">
        <f>F34/(((C32+D32)*B32)+((C33+D33)*B33)+(C34*B34))*365</f>
        <v>0.09974106911344137</v>
      </c>
      <c r="F34" s="141">
        <v>2866531</v>
      </c>
      <c r="G34" s="151"/>
      <c r="H34" s="151"/>
      <c r="I34" s="152"/>
    </row>
    <row r="35" spans="1:9" ht="12.75">
      <c r="A35" s="84">
        <v>37376</v>
      </c>
      <c r="B35" s="140">
        <f t="shared" si="0"/>
        <v>32</v>
      </c>
      <c r="C35" s="141">
        <f t="shared" si="1"/>
        <v>105000000</v>
      </c>
      <c r="D35" s="141">
        <v>5000000</v>
      </c>
      <c r="E35" s="53"/>
      <c r="F35" s="141"/>
      <c r="G35" s="151"/>
      <c r="H35" s="151"/>
      <c r="I35" s="152"/>
    </row>
    <row r="36" spans="1:9" ht="12.75">
      <c r="A36" s="84">
        <v>37407</v>
      </c>
      <c r="B36" s="140">
        <f t="shared" si="0"/>
        <v>31</v>
      </c>
      <c r="C36" s="141">
        <f t="shared" si="1"/>
        <v>100000000</v>
      </c>
      <c r="D36" s="141">
        <v>5000000</v>
      </c>
      <c r="E36" s="53"/>
      <c r="F36" s="141"/>
      <c r="G36" s="151"/>
      <c r="H36" s="151"/>
      <c r="I36" s="152"/>
    </row>
    <row r="37" spans="1:9" ht="12.75">
      <c r="A37" s="84">
        <v>37437</v>
      </c>
      <c r="B37" s="140">
        <f t="shared" si="0"/>
        <v>30</v>
      </c>
      <c r="C37" s="141">
        <f t="shared" si="1"/>
        <v>100000000</v>
      </c>
      <c r="D37" s="141"/>
      <c r="E37" s="53">
        <v>0.086</v>
      </c>
      <c r="F37" s="141">
        <v>2315568</v>
      </c>
      <c r="G37" s="151"/>
      <c r="H37" s="151"/>
      <c r="I37" s="152"/>
    </row>
    <row r="38" spans="1:9" ht="12.75">
      <c r="A38" s="84">
        <v>37468</v>
      </c>
      <c r="B38" s="140">
        <f t="shared" si="0"/>
        <v>31</v>
      </c>
      <c r="C38" s="141">
        <f t="shared" si="1"/>
        <v>95000000</v>
      </c>
      <c r="D38" s="141">
        <v>5000000</v>
      </c>
      <c r="E38" s="53"/>
      <c r="F38" s="141"/>
      <c r="G38" s="151"/>
      <c r="H38" s="151"/>
      <c r="I38" s="152"/>
    </row>
    <row r="39" spans="1:9" ht="12.75">
      <c r="A39" s="84">
        <v>37499</v>
      </c>
      <c r="B39" s="140">
        <f t="shared" si="0"/>
        <v>31</v>
      </c>
      <c r="C39" s="141">
        <f t="shared" si="1"/>
        <v>90000000</v>
      </c>
      <c r="D39" s="141">
        <v>5000000</v>
      </c>
      <c r="E39" s="53"/>
      <c r="F39" s="141"/>
      <c r="G39" s="151"/>
      <c r="H39" s="151"/>
      <c r="I39" s="152"/>
    </row>
    <row r="40" spans="1:9" ht="12.75">
      <c r="A40" s="84">
        <v>37529</v>
      </c>
      <c r="B40" s="140">
        <f t="shared" si="0"/>
        <v>30</v>
      </c>
      <c r="C40" s="141">
        <f t="shared" si="1"/>
        <v>90000000</v>
      </c>
      <c r="D40" s="141"/>
      <c r="E40" s="53">
        <v>0.0931</v>
      </c>
      <c r="F40" s="141">
        <v>2309946</v>
      </c>
      <c r="G40" s="151"/>
      <c r="H40" s="151"/>
      <c r="I40" s="152"/>
    </row>
    <row r="41" spans="1:9" ht="12.75">
      <c r="A41" s="84">
        <v>37560</v>
      </c>
      <c r="B41" s="140">
        <f t="shared" si="0"/>
        <v>31</v>
      </c>
      <c r="C41" s="141">
        <f t="shared" si="1"/>
        <v>85000000</v>
      </c>
      <c r="D41" s="141">
        <v>5000000</v>
      </c>
      <c r="E41" s="53"/>
      <c r="F41" s="141"/>
      <c r="G41" s="151"/>
      <c r="H41" s="151"/>
      <c r="I41" s="152"/>
    </row>
    <row r="42" spans="1:9" ht="12.75">
      <c r="A42" s="84">
        <v>37590</v>
      </c>
      <c r="B42" s="140">
        <f t="shared" si="0"/>
        <v>30</v>
      </c>
      <c r="C42" s="141">
        <f t="shared" si="1"/>
        <v>80000000</v>
      </c>
      <c r="D42" s="141">
        <v>5000000</v>
      </c>
      <c r="E42" s="53"/>
      <c r="F42" s="141"/>
      <c r="G42" s="151"/>
      <c r="H42" s="151"/>
      <c r="I42" s="152"/>
    </row>
    <row r="43" spans="1:9" ht="12.75">
      <c r="A43" s="97">
        <v>37621</v>
      </c>
      <c r="B43" s="249">
        <f t="shared" si="0"/>
        <v>31</v>
      </c>
      <c r="C43" s="250">
        <v>80000000</v>
      </c>
      <c r="D43" s="99"/>
      <c r="E43" s="191">
        <v>0.099</v>
      </c>
      <c r="F43" s="99">
        <v>2151775</v>
      </c>
      <c r="G43" s="101">
        <f>SUM(F34:F43)</f>
        <v>9643820</v>
      </c>
      <c r="H43" s="148">
        <f>SUM(D32:D43)</f>
        <v>40000000</v>
      </c>
      <c r="I43" s="149">
        <f>SUM(G43:H43)</f>
        <v>49643820</v>
      </c>
    </row>
    <row r="44" spans="1:9" ht="12.75">
      <c r="A44" s="84">
        <v>37652</v>
      </c>
      <c r="B44" s="85">
        <v>31</v>
      </c>
      <c r="C44" s="86">
        <f aca="true" t="shared" si="2" ref="C44:C109">C43-D44</f>
        <v>78720000</v>
      </c>
      <c r="D44" s="86">
        <v>1280000</v>
      </c>
      <c r="E44" s="85"/>
      <c r="F44" s="85"/>
      <c r="G44" s="85"/>
      <c r="H44" s="85"/>
      <c r="I44" s="251"/>
    </row>
    <row r="45" spans="1:9" ht="12.75">
      <c r="A45" s="90">
        <v>37680</v>
      </c>
      <c r="B45" s="91">
        <f aca="true" t="shared" si="3" ref="B45:B109">A45-A44</f>
        <v>28</v>
      </c>
      <c r="C45" s="41">
        <f t="shared" si="2"/>
        <v>77080000</v>
      </c>
      <c r="D45" s="41">
        <v>1640000</v>
      </c>
      <c r="E45" s="91"/>
      <c r="F45" s="91"/>
      <c r="G45" s="91"/>
      <c r="H45" s="91"/>
      <c r="I45" s="242"/>
    </row>
    <row r="46" spans="1:9" ht="12.75">
      <c r="A46" s="90">
        <v>37711</v>
      </c>
      <c r="B46" s="91">
        <f t="shared" si="3"/>
        <v>31</v>
      </c>
      <c r="C46" s="41">
        <f t="shared" si="2"/>
        <v>77080000</v>
      </c>
      <c r="D46" s="41"/>
      <c r="E46" s="92">
        <v>0.0857</v>
      </c>
      <c r="F46" s="41">
        <v>1686875</v>
      </c>
      <c r="G46" s="91"/>
      <c r="H46" s="91"/>
      <c r="I46" s="242"/>
    </row>
    <row r="47" spans="1:9" ht="12.75">
      <c r="A47" s="90">
        <v>37741</v>
      </c>
      <c r="B47" s="91">
        <f t="shared" si="3"/>
        <v>30</v>
      </c>
      <c r="C47" s="41">
        <f t="shared" si="2"/>
        <v>75440000</v>
      </c>
      <c r="D47" s="41">
        <v>1640000</v>
      </c>
      <c r="E47" s="91"/>
      <c r="F47" s="91"/>
      <c r="G47" s="91"/>
      <c r="H47" s="91"/>
      <c r="I47" s="242"/>
    </row>
    <row r="48" spans="1:9" ht="12.75">
      <c r="A48" s="90">
        <v>37772</v>
      </c>
      <c r="B48" s="91">
        <f t="shared" si="3"/>
        <v>31</v>
      </c>
      <c r="C48" s="41">
        <f t="shared" si="2"/>
        <v>73800000</v>
      </c>
      <c r="D48" s="41">
        <v>1640000</v>
      </c>
      <c r="E48" s="91"/>
      <c r="F48" s="91"/>
      <c r="G48" s="91"/>
      <c r="H48" s="91"/>
      <c r="I48" s="242"/>
    </row>
    <row r="49" spans="1:9" ht="12.75">
      <c r="A49" s="90">
        <v>37802</v>
      </c>
      <c r="B49" s="91">
        <f t="shared" si="3"/>
        <v>30</v>
      </c>
      <c r="C49" s="41">
        <f t="shared" si="2"/>
        <v>73800000</v>
      </c>
      <c r="D49" s="41"/>
      <c r="E49" s="92">
        <v>0.0674</v>
      </c>
      <c r="F49" s="41">
        <v>1289820</v>
      </c>
      <c r="G49" s="91"/>
      <c r="H49" s="91"/>
      <c r="I49" s="242"/>
    </row>
    <row r="50" spans="1:9" ht="12.75">
      <c r="A50" s="90">
        <v>37833</v>
      </c>
      <c r="B50" s="91">
        <f t="shared" si="3"/>
        <v>31</v>
      </c>
      <c r="C50" s="41">
        <f t="shared" si="2"/>
        <v>72160000</v>
      </c>
      <c r="D50" s="41">
        <v>1640000</v>
      </c>
      <c r="E50" s="91"/>
      <c r="F50" s="91"/>
      <c r="G50" s="91"/>
      <c r="H50" s="91"/>
      <c r="I50" s="242"/>
    </row>
    <row r="51" spans="1:9" ht="12.75">
      <c r="A51" s="90">
        <v>37864</v>
      </c>
      <c r="B51" s="91">
        <f t="shared" si="3"/>
        <v>31</v>
      </c>
      <c r="C51" s="41">
        <f t="shared" si="2"/>
        <v>70520000</v>
      </c>
      <c r="D51" s="41">
        <v>1640000</v>
      </c>
      <c r="E51" s="91"/>
      <c r="F51" s="91"/>
      <c r="G51" s="91"/>
      <c r="H51" s="91"/>
      <c r="I51" s="242"/>
    </row>
    <row r="52" spans="1:9" ht="12.75">
      <c r="A52" s="90">
        <v>37894</v>
      </c>
      <c r="B52" s="91">
        <f t="shared" si="3"/>
        <v>30</v>
      </c>
      <c r="C52" s="41">
        <f t="shared" si="2"/>
        <v>70520000</v>
      </c>
      <c r="D52" s="41"/>
      <c r="E52" s="92">
        <v>0.0851</v>
      </c>
      <c r="F52" s="41">
        <v>1566466</v>
      </c>
      <c r="G52" s="91"/>
      <c r="H52" s="91"/>
      <c r="I52" s="242"/>
    </row>
    <row r="53" spans="1:9" ht="12.75">
      <c r="A53" s="90">
        <v>37925</v>
      </c>
      <c r="B53" s="91">
        <f t="shared" si="3"/>
        <v>31</v>
      </c>
      <c r="C53" s="41">
        <f t="shared" si="2"/>
        <v>68880000</v>
      </c>
      <c r="D53" s="41">
        <v>1640000</v>
      </c>
      <c r="E53" s="91"/>
      <c r="F53" s="91"/>
      <c r="G53" s="91"/>
      <c r="H53" s="91"/>
      <c r="I53" s="242"/>
    </row>
    <row r="54" spans="1:11" ht="12.75">
      <c r="A54" s="90">
        <v>37955</v>
      </c>
      <c r="B54" s="91">
        <f t="shared" si="3"/>
        <v>30</v>
      </c>
      <c r="C54" s="41">
        <f t="shared" si="2"/>
        <v>67240000</v>
      </c>
      <c r="D54" s="41">
        <v>1640000</v>
      </c>
      <c r="E54" s="91"/>
      <c r="F54" s="91"/>
      <c r="G54" s="91"/>
      <c r="H54" s="91"/>
      <c r="I54" s="242"/>
      <c r="K54" s="124"/>
    </row>
    <row r="55" spans="1:9" ht="12.75">
      <c r="A55" s="97">
        <v>37986</v>
      </c>
      <c r="B55" s="98">
        <f t="shared" si="3"/>
        <v>31</v>
      </c>
      <c r="C55" s="99">
        <f t="shared" si="2"/>
        <v>67240000</v>
      </c>
      <c r="D55" s="99"/>
      <c r="E55" s="100">
        <v>0.0955</v>
      </c>
      <c r="F55" s="99">
        <v>1679017</v>
      </c>
      <c r="G55" s="101">
        <f>SUM(F46:F55)</f>
        <v>6222178</v>
      </c>
      <c r="H55" s="101">
        <f>SUM(D44:D55)</f>
        <v>12760000</v>
      </c>
      <c r="I55" s="102">
        <f>SUM(G55:H55)</f>
        <v>18982178</v>
      </c>
    </row>
    <row r="56" spans="1:9" ht="12.75">
      <c r="A56" s="84">
        <v>38017</v>
      </c>
      <c r="B56" s="85">
        <f t="shared" si="3"/>
        <v>31</v>
      </c>
      <c r="C56" s="86">
        <f t="shared" si="2"/>
        <v>65600000</v>
      </c>
      <c r="D56" s="41">
        <v>1640000</v>
      </c>
      <c r="E56" s="85"/>
      <c r="F56" s="85"/>
      <c r="G56" s="85"/>
      <c r="H56" s="85"/>
      <c r="I56" s="251"/>
    </row>
    <row r="57" spans="1:9" ht="12.75">
      <c r="A57" s="90">
        <v>38045</v>
      </c>
      <c r="B57" s="91">
        <f t="shared" si="3"/>
        <v>28</v>
      </c>
      <c r="C57" s="41">
        <f t="shared" si="2"/>
        <v>63960000</v>
      </c>
      <c r="D57" s="41">
        <v>1640000</v>
      </c>
      <c r="E57" s="91"/>
      <c r="F57" s="91"/>
      <c r="G57" s="91"/>
      <c r="H57" s="91"/>
      <c r="I57" s="242"/>
    </row>
    <row r="58" spans="1:11" ht="12.75">
      <c r="A58" s="90">
        <v>38077</v>
      </c>
      <c r="B58" s="91">
        <f t="shared" si="3"/>
        <v>32</v>
      </c>
      <c r="C58" s="41">
        <f t="shared" si="2"/>
        <v>63960000</v>
      </c>
      <c r="D58" s="41"/>
      <c r="E58" s="92">
        <v>0.1222</v>
      </c>
      <c r="F58" s="41">
        <v>2020804</v>
      </c>
      <c r="G58" s="91"/>
      <c r="H58" s="91"/>
      <c r="I58" s="242"/>
      <c r="K58" s="124"/>
    </row>
    <row r="59" spans="1:9" ht="12.75">
      <c r="A59" s="90">
        <v>38107</v>
      </c>
      <c r="B59" s="91">
        <f t="shared" si="3"/>
        <v>30</v>
      </c>
      <c r="C59" s="41">
        <f t="shared" si="2"/>
        <v>62320000</v>
      </c>
      <c r="D59" s="41">
        <v>1640000</v>
      </c>
      <c r="E59" s="91"/>
      <c r="F59" s="91"/>
      <c r="G59" s="91"/>
      <c r="H59" s="91"/>
      <c r="I59" s="242"/>
    </row>
    <row r="60" spans="1:9" ht="12.75">
      <c r="A60" s="90">
        <v>38138</v>
      </c>
      <c r="B60" s="91">
        <f t="shared" si="3"/>
        <v>31</v>
      </c>
      <c r="C60" s="41">
        <f t="shared" si="2"/>
        <v>60680000</v>
      </c>
      <c r="D60" s="41">
        <v>1640000</v>
      </c>
      <c r="E60" s="91"/>
      <c r="F60" s="91"/>
      <c r="G60" s="91"/>
      <c r="H60" s="91"/>
      <c r="I60" s="242"/>
    </row>
    <row r="61" spans="1:11" ht="12.75">
      <c r="A61" s="90">
        <v>38168</v>
      </c>
      <c r="B61" s="91">
        <f t="shared" si="3"/>
        <v>30</v>
      </c>
      <c r="C61" s="41">
        <f t="shared" si="2"/>
        <v>60680000</v>
      </c>
      <c r="D61" s="41"/>
      <c r="E61" s="92">
        <f>E58</f>
        <v>0.1222</v>
      </c>
      <c r="F61" s="252">
        <v>1925587</v>
      </c>
      <c r="G61" s="91"/>
      <c r="H61" s="91"/>
      <c r="I61" s="242"/>
      <c r="K61" s="124"/>
    </row>
    <row r="62" spans="1:9" ht="12.75">
      <c r="A62" s="90">
        <v>38199</v>
      </c>
      <c r="B62" s="91">
        <f t="shared" si="3"/>
        <v>31</v>
      </c>
      <c r="C62" s="41">
        <f t="shared" si="2"/>
        <v>59040000</v>
      </c>
      <c r="D62" s="41">
        <v>1640000</v>
      </c>
      <c r="E62" s="91"/>
      <c r="F62" s="91"/>
      <c r="G62" s="91"/>
      <c r="H62" s="91"/>
      <c r="I62" s="242"/>
    </row>
    <row r="63" spans="1:9" ht="12.75">
      <c r="A63" s="90">
        <v>38230</v>
      </c>
      <c r="B63" s="91">
        <f t="shared" si="3"/>
        <v>31</v>
      </c>
      <c r="C63" s="41">
        <f t="shared" si="2"/>
        <v>57400000</v>
      </c>
      <c r="D63" s="41">
        <v>1640000</v>
      </c>
      <c r="E63" s="91"/>
      <c r="F63" s="91"/>
      <c r="G63" s="91"/>
      <c r="H63" s="91"/>
      <c r="I63" s="242"/>
    </row>
    <row r="64" spans="1:9" ht="12.75">
      <c r="A64" s="90">
        <v>38260</v>
      </c>
      <c r="B64" s="91">
        <f t="shared" si="3"/>
        <v>30</v>
      </c>
      <c r="C64" s="41">
        <f t="shared" si="2"/>
        <v>57400000</v>
      </c>
      <c r="D64" s="41"/>
      <c r="E64" s="92">
        <v>0.1177</v>
      </c>
      <c r="F64" s="41">
        <v>1778225</v>
      </c>
      <c r="G64" s="91"/>
      <c r="H64" s="91"/>
      <c r="I64" s="242"/>
    </row>
    <row r="65" spans="1:9" ht="12.75">
      <c r="A65" s="90">
        <v>38291</v>
      </c>
      <c r="B65" s="91">
        <f t="shared" si="3"/>
        <v>31</v>
      </c>
      <c r="C65" s="41">
        <f t="shared" si="2"/>
        <v>55760000</v>
      </c>
      <c r="D65" s="41">
        <v>1640000</v>
      </c>
      <c r="E65" s="91"/>
      <c r="F65" s="91"/>
      <c r="G65" s="91"/>
      <c r="H65" s="91"/>
      <c r="I65" s="242"/>
    </row>
    <row r="66" spans="1:9" ht="12.75">
      <c r="A66" s="90">
        <v>38321</v>
      </c>
      <c r="B66" s="91">
        <f t="shared" si="3"/>
        <v>30</v>
      </c>
      <c r="C66" s="41">
        <f t="shared" si="2"/>
        <v>54120000</v>
      </c>
      <c r="D66" s="41">
        <v>1640000</v>
      </c>
      <c r="E66" s="91"/>
      <c r="F66" s="91"/>
      <c r="G66" s="91"/>
      <c r="H66" s="91"/>
      <c r="I66" s="242"/>
    </row>
    <row r="67" spans="1:9" ht="12.75">
      <c r="A67" s="97">
        <v>38352</v>
      </c>
      <c r="B67" s="98">
        <f t="shared" si="3"/>
        <v>31</v>
      </c>
      <c r="C67" s="99">
        <f t="shared" si="2"/>
        <v>54120000</v>
      </c>
      <c r="D67" s="99"/>
      <c r="E67" s="100">
        <v>0.112</v>
      </c>
      <c r="F67" s="99">
        <v>1597904</v>
      </c>
      <c r="G67" s="101">
        <f>SUM(F58:F67)</f>
        <v>7322520</v>
      </c>
      <c r="H67" s="101">
        <f>SUM(D56:D67)</f>
        <v>13120000</v>
      </c>
      <c r="I67" s="102">
        <f>SUM(G67:H67)</f>
        <v>20442520</v>
      </c>
    </row>
    <row r="68" spans="1:9" ht="12.75">
      <c r="A68" s="84">
        <v>38383</v>
      </c>
      <c r="B68" s="85">
        <f t="shared" si="3"/>
        <v>31</v>
      </c>
      <c r="C68" s="86">
        <f t="shared" si="2"/>
        <v>52480000</v>
      </c>
      <c r="D68" s="41">
        <v>1640000</v>
      </c>
      <c r="E68" s="85"/>
      <c r="F68" s="85"/>
      <c r="G68" s="85"/>
      <c r="H68" s="85"/>
      <c r="I68" s="251"/>
    </row>
    <row r="69" spans="1:9" ht="12.75">
      <c r="A69" s="90">
        <v>38411</v>
      </c>
      <c r="B69" s="91">
        <f t="shared" si="3"/>
        <v>28</v>
      </c>
      <c r="C69" s="41">
        <f t="shared" si="2"/>
        <v>50840000</v>
      </c>
      <c r="D69" s="41">
        <v>1640000</v>
      </c>
      <c r="E69" s="91"/>
      <c r="F69" s="91"/>
      <c r="G69" s="91"/>
      <c r="H69" s="91"/>
      <c r="I69" s="242"/>
    </row>
    <row r="70" spans="1:9" ht="12.75">
      <c r="A70" s="90">
        <v>38442</v>
      </c>
      <c r="B70" s="91">
        <f t="shared" si="3"/>
        <v>31</v>
      </c>
      <c r="C70" s="41">
        <f t="shared" si="2"/>
        <v>50840000</v>
      </c>
      <c r="D70" s="41"/>
      <c r="E70" s="92">
        <v>0.0956</v>
      </c>
      <c r="F70" s="41">
        <v>1256737</v>
      </c>
      <c r="G70" s="91"/>
      <c r="H70" s="91"/>
      <c r="I70" s="242"/>
    </row>
    <row r="71" spans="1:9" ht="12.75">
      <c r="A71" s="90">
        <v>38474</v>
      </c>
      <c r="B71" s="91">
        <f t="shared" si="3"/>
        <v>32</v>
      </c>
      <c r="C71" s="41">
        <f t="shared" si="2"/>
        <v>49200000</v>
      </c>
      <c r="D71" s="41">
        <v>1640000</v>
      </c>
      <c r="E71" s="91"/>
      <c r="F71" s="91"/>
      <c r="G71" s="91"/>
      <c r="H71" s="91"/>
      <c r="I71" s="242"/>
    </row>
    <row r="72" spans="1:9" ht="12.75">
      <c r="A72" s="90">
        <v>38503</v>
      </c>
      <c r="B72" s="91">
        <f t="shared" si="3"/>
        <v>29</v>
      </c>
      <c r="C72" s="41">
        <f t="shared" si="2"/>
        <v>47560000</v>
      </c>
      <c r="D72" s="41">
        <v>1640000</v>
      </c>
      <c r="E72" s="91"/>
      <c r="F72" s="91"/>
      <c r="G72" s="91"/>
      <c r="H72" s="91"/>
      <c r="I72" s="242"/>
    </row>
    <row r="73" spans="1:9" ht="12.75">
      <c r="A73" s="90">
        <v>38533</v>
      </c>
      <c r="B73" s="91">
        <f t="shared" si="3"/>
        <v>30</v>
      </c>
      <c r="C73" s="41">
        <f t="shared" si="2"/>
        <v>47560000</v>
      </c>
      <c r="D73" s="41"/>
      <c r="E73" s="92">
        <v>0.0794</v>
      </c>
      <c r="F73" s="41">
        <v>990483</v>
      </c>
      <c r="G73" s="91"/>
      <c r="H73" s="91"/>
      <c r="I73" s="242"/>
    </row>
    <row r="74" spans="1:9" ht="12.75">
      <c r="A74" s="90">
        <v>38564</v>
      </c>
      <c r="B74" s="91">
        <f t="shared" si="3"/>
        <v>31</v>
      </c>
      <c r="C74" s="41">
        <f t="shared" si="2"/>
        <v>45920000</v>
      </c>
      <c r="D74" s="41">
        <v>1640000</v>
      </c>
      <c r="E74" s="91"/>
      <c r="F74" s="91"/>
      <c r="G74" s="91"/>
      <c r="H74" s="91"/>
      <c r="I74" s="242"/>
    </row>
    <row r="75" spans="1:9" ht="12.75">
      <c r="A75" s="90">
        <v>38595</v>
      </c>
      <c r="B75" s="91">
        <f t="shared" si="3"/>
        <v>31</v>
      </c>
      <c r="C75" s="41">
        <f t="shared" si="2"/>
        <v>44280000</v>
      </c>
      <c r="D75" s="41">
        <v>1640000</v>
      </c>
      <c r="E75" s="91"/>
      <c r="F75" s="91"/>
      <c r="G75" s="91"/>
      <c r="H75" s="91"/>
      <c r="I75" s="242"/>
    </row>
    <row r="76" spans="1:9" ht="12.75">
      <c r="A76" s="90">
        <v>38625</v>
      </c>
      <c r="B76" s="91">
        <f t="shared" si="3"/>
        <v>30</v>
      </c>
      <c r="C76" s="41">
        <f t="shared" si="2"/>
        <v>44280000</v>
      </c>
      <c r="D76" s="41"/>
      <c r="E76" s="92">
        <v>0.0712</v>
      </c>
      <c r="F76" s="41">
        <v>837272</v>
      </c>
      <c r="G76" s="91"/>
      <c r="H76" s="91"/>
      <c r="I76" s="242"/>
    </row>
    <row r="77" spans="1:9" ht="12.75">
      <c r="A77" s="90">
        <v>38658</v>
      </c>
      <c r="B77" s="91">
        <f t="shared" si="3"/>
        <v>33</v>
      </c>
      <c r="C77" s="41">
        <f t="shared" si="2"/>
        <v>42640000</v>
      </c>
      <c r="D77" s="41">
        <v>1640000</v>
      </c>
      <c r="E77" s="91"/>
      <c r="F77" s="91"/>
      <c r="G77" s="91"/>
      <c r="H77" s="91"/>
      <c r="I77" s="242"/>
    </row>
    <row r="78" spans="1:9" ht="12.75">
      <c r="A78" s="90">
        <v>38686</v>
      </c>
      <c r="B78" s="91">
        <f t="shared" si="3"/>
        <v>28</v>
      </c>
      <c r="C78" s="41">
        <f t="shared" si="2"/>
        <v>41000000</v>
      </c>
      <c r="D78" s="41">
        <v>1640000</v>
      </c>
      <c r="E78" s="91"/>
      <c r="F78" s="91"/>
      <c r="G78" s="91"/>
      <c r="H78" s="91"/>
      <c r="I78" s="242"/>
    </row>
    <row r="79" spans="1:9" ht="12.75">
      <c r="A79" s="97">
        <v>38716</v>
      </c>
      <c r="B79" s="98">
        <f t="shared" si="3"/>
        <v>30</v>
      </c>
      <c r="C79" s="99">
        <f t="shared" si="2"/>
        <v>41000000</v>
      </c>
      <c r="D79" s="99"/>
      <c r="E79" s="100">
        <v>0.062</v>
      </c>
      <c r="F79" s="99">
        <v>670242</v>
      </c>
      <c r="G79" s="101">
        <f>SUM(F70:F79)</f>
        <v>3754734</v>
      </c>
      <c r="H79" s="101">
        <f>SUM(D68:D79)</f>
        <v>13120000</v>
      </c>
      <c r="I79" s="102">
        <f>SUM(G79:H79)</f>
        <v>16874734</v>
      </c>
    </row>
    <row r="80" spans="1:9" ht="12.75">
      <c r="A80" s="84">
        <v>38748</v>
      </c>
      <c r="B80" s="85">
        <f t="shared" si="3"/>
        <v>32</v>
      </c>
      <c r="C80" s="86">
        <f t="shared" si="2"/>
        <v>39360000</v>
      </c>
      <c r="D80" s="41">
        <v>1640000</v>
      </c>
      <c r="E80" s="85"/>
      <c r="F80" s="85"/>
      <c r="G80" s="85"/>
      <c r="H80" s="85"/>
      <c r="I80" s="251"/>
    </row>
    <row r="81" spans="1:9" ht="12.75">
      <c r="A81" s="90">
        <v>38776</v>
      </c>
      <c r="B81" s="91">
        <f t="shared" si="3"/>
        <v>28</v>
      </c>
      <c r="C81" s="41">
        <f t="shared" si="2"/>
        <v>37720000</v>
      </c>
      <c r="D81" s="41">
        <v>1640000</v>
      </c>
      <c r="E81" s="91"/>
      <c r="F81" s="91"/>
      <c r="G81" s="91"/>
      <c r="H81" s="91"/>
      <c r="I81" s="242"/>
    </row>
    <row r="82" spans="1:9" ht="12.75">
      <c r="A82" s="90">
        <v>38807</v>
      </c>
      <c r="B82" s="91">
        <f t="shared" si="3"/>
        <v>31</v>
      </c>
      <c r="C82" s="41">
        <f t="shared" si="2"/>
        <v>37720000</v>
      </c>
      <c r="D82" s="41"/>
      <c r="E82" s="92">
        <v>0.0647</v>
      </c>
      <c r="F82" s="41">
        <v>643402</v>
      </c>
      <c r="G82" s="91"/>
      <c r="H82" s="91"/>
      <c r="I82" s="242"/>
    </row>
    <row r="83" spans="1:9" ht="12.75">
      <c r="A83" s="90">
        <v>38839</v>
      </c>
      <c r="B83" s="91">
        <f t="shared" si="3"/>
        <v>32</v>
      </c>
      <c r="C83" s="41">
        <f t="shared" si="2"/>
        <v>36080000</v>
      </c>
      <c r="D83" s="41">
        <v>1640000</v>
      </c>
      <c r="E83" s="91"/>
      <c r="F83" s="91"/>
      <c r="G83" s="91"/>
      <c r="H83" s="91"/>
      <c r="I83" s="242"/>
    </row>
    <row r="84" spans="1:9" ht="12.75">
      <c r="A84" s="90">
        <v>38868</v>
      </c>
      <c r="B84" s="91">
        <f t="shared" si="3"/>
        <v>29</v>
      </c>
      <c r="C84" s="41">
        <f t="shared" si="2"/>
        <v>34440000</v>
      </c>
      <c r="D84" s="41">
        <v>1640000</v>
      </c>
      <c r="E84" s="91"/>
      <c r="F84" s="91"/>
      <c r="G84" s="91"/>
      <c r="H84" s="91"/>
      <c r="I84" s="242"/>
    </row>
    <row r="85" spans="1:9" ht="12.75">
      <c r="A85" s="90">
        <v>38898</v>
      </c>
      <c r="B85" s="91">
        <f t="shared" si="3"/>
        <v>30</v>
      </c>
      <c r="C85" s="41">
        <f t="shared" si="2"/>
        <v>34440000</v>
      </c>
      <c r="D85" s="41"/>
      <c r="E85" s="92">
        <v>0.0653</v>
      </c>
      <c r="F85" s="41">
        <v>596083</v>
      </c>
      <c r="G85" s="91"/>
      <c r="H85" s="91"/>
      <c r="I85" s="242"/>
    </row>
    <row r="86" spans="1:9" ht="12.75">
      <c r="A86" s="90">
        <v>38929</v>
      </c>
      <c r="B86" s="91">
        <f t="shared" si="3"/>
        <v>31</v>
      </c>
      <c r="C86" s="41">
        <f t="shared" si="2"/>
        <v>32800000</v>
      </c>
      <c r="D86" s="41">
        <v>1640000</v>
      </c>
      <c r="E86" s="91"/>
      <c r="F86" s="91"/>
      <c r="G86" s="91"/>
      <c r="H86" s="91"/>
      <c r="I86" s="242"/>
    </row>
    <row r="87" spans="1:9" ht="12.75">
      <c r="A87" s="90">
        <v>38960</v>
      </c>
      <c r="B87" s="91">
        <f t="shared" si="3"/>
        <v>31</v>
      </c>
      <c r="C87" s="41">
        <f t="shared" si="2"/>
        <v>31160000</v>
      </c>
      <c r="D87" s="41">
        <v>1640000</v>
      </c>
      <c r="E87" s="91"/>
      <c r="F87" s="91"/>
      <c r="G87" s="91"/>
      <c r="H87" s="91"/>
      <c r="I87" s="242"/>
    </row>
    <row r="88" spans="1:9" ht="12.75">
      <c r="A88" s="90">
        <v>38989</v>
      </c>
      <c r="B88" s="91">
        <f t="shared" si="3"/>
        <v>29</v>
      </c>
      <c r="C88" s="41">
        <f t="shared" si="2"/>
        <v>31160000</v>
      </c>
      <c r="D88" s="41"/>
      <c r="E88" s="92">
        <v>0.0687</v>
      </c>
      <c r="F88" s="41">
        <v>569900</v>
      </c>
      <c r="G88" s="91"/>
      <c r="H88" s="91"/>
      <c r="I88" s="242"/>
    </row>
    <row r="89" spans="1:9" ht="12.75">
      <c r="A89" s="90">
        <v>38991</v>
      </c>
      <c r="B89" s="91">
        <f t="shared" si="3"/>
        <v>2</v>
      </c>
      <c r="C89" s="41">
        <f t="shared" si="2"/>
        <v>31160000</v>
      </c>
      <c r="D89" s="41"/>
      <c r="E89" s="92">
        <v>0.0687</v>
      </c>
      <c r="F89" s="41"/>
      <c r="G89" s="91"/>
      <c r="H89" s="91"/>
      <c r="I89" s="242"/>
    </row>
    <row r="90" spans="1:9" ht="12.75">
      <c r="A90" s="90">
        <v>39021</v>
      </c>
      <c r="B90" s="91">
        <f t="shared" si="3"/>
        <v>30</v>
      </c>
      <c r="C90" s="41">
        <f t="shared" si="2"/>
        <v>29520000</v>
      </c>
      <c r="D90" s="41">
        <v>1640000</v>
      </c>
      <c r="E90" s="91"/>
      <c r="F90" s="91"/>
      <c r="G90" s="91"/>
      <c r="H90" s="91"/>
      <c r="I90" s="242"/>
    </row>
    <row r="91" spans="1:12" ht="12.75">
      <c r="A91" s="90">
        <v>39051</v>
      </c>
      <c r="B91" s="91">
        <f t="shared" si="3"/>
        <v>30</v>
      </c>
      <c r="C91" s="41">
        <f t="shared" si="2"/>
        <v>27880000</v>
      </c>
      <c r="D91" s="41">
        <v>1640000</v>
      </c>
      <c r="E91" s="91"/>
      <c r="F91" s="91"/>
      <c r="G91" s="91"/>
      <c r="H91" s="91"/>
      <c r="I91" s="242"/>
      <c r="J91" s="56"/>
      <c r="K91" s="56"/>
      <c r="L91" s="56"/>
    </row>
    <row r="92" spans="1:12" ht="12.75">
      <c r="A92" s="97">
        <v>39080</v>
      </c>
      <c r="B92" s="98">
        <f t="shared" si="3"/>
        <v>29</v>
      </c>
      <c r="C92" s="99">
        <f t="shared" si="2"/>
        <v>27880000</v>
      </c>
      <c r="D92" s="99"/>
      <c r="E92" s="100">
        <v>0.0814</v>
      </c>
      <c r="F92" s="99">
        <v>606321</v>
      </c>
      <c r="G92" s="101">
        <f>SUM(F82:F92)</f>
        <v>2415706</v>
      </c>
      <c r="H92" s="101">
        <f>SUM(D80:D92)</f>
        <v>13120000</v>
      </c>
      <c r="I92" s="102">
        <f>SUM(G92:H92)</f>
        <v>15535706</v>
      </c>
      <c r="J92" s="56"/>
      <c r="K92" s="56"/>
      <c r="L92" s="56"/>
    </row>
    <row r="93" spans="1:12" ht="12.75">
      <c r="A93" s="84">
        <v>39113</v>
      </c>
      <c r="B93" s="85">
        <f t="shared" si="3"/>
        <v>33</v>
      </c>
      <c r="C93" s="86">
        <f t="shared" si="2"/>
        <v>26240000</v>
      </c>
      <c r="D93" s="41">
        <v>1640000</v>
      </c>
      <c r="E93" s="85"/>
      <c r="F93" s="85"/>
      <c r="G93" s="85"/>
      <c r="H93" s="85"/>
      <c r="I93" s="251"/>
      <c r="J93" s="56"/>
      <c r="K93" s="56"/>
      <c r="L93" s="56"/>
    </row>
    <row r="94" spans="1:12" ht="12.75">
      <c r="A94" s="90">
        <v>39141</v>
      </c>
      <c r="B94" s="91">
        <f t="shared" si="3"/>
        <v>28</v>
      </c>
      <c r="C94" s="41">
        <f t="shared" si="2"/>
        <v>24600000</v>
      </c>
      <c r="D94" s="41">
        <v>1640000</v>
      </c>
      <c r="E94" s="91"/>
      <c r="F94" s="91"/>
      <c r="G94" s="91"/>
      <c r="H94" s="91"/>
      <c r="I94" s="242"/>
      <c r="J94" s="56"/>
      <c r="K94" s="56"/>
      <c r="L94" s="56"/>
    </row>
    <row r="95" spans="1:12" ht="12.75">
      <c r="A95" s="90">
        <v>39172</v>
      </c>
      <c r="B95" s="91">
        <f t="shared" si="3"/>
        <v>31</v>
      </c>
      <c r="C95" s="41">
        <f t="shared" si="2"/>
        <v>24600000</v>
      </c>
      <c r="D95" s="41"/>
      <c r="E95" s="92">
        <v>0.0828</v>
      </c>
      <c r="F95" s="41">
        <f>((C93+D93)*E95/360*B93)+((C94+D94)*E95/360*B94)+(C95*E95/360*B95)</f>
        <v>555992.8</v>
      </c>
      <c r="G95" s="91"/>
      <c r="H95" s="91"/>
      <c r="I95" s="242"/>
      <c r="J95" s="56"/>
      <c r="K95" s="56"/>
      <c r="L95" s="56"/>
    </row>
    <row r="96" spans="1:9" ht="12.75">
      <c r="A96" s="90">
        <v>39202</v>
      </c>
      <c r="B96" s="91">
        <f t="shared" si="3"/>
        <v>30</v>
      </c>
      <c r="C96" s="41">
        <f t="shared" si="2"/>
        <v>22960000</v>
      </c>
      <c r="D96" s="41">
        <v>1640000</v>
      </c>
      <c r="E96" s="91"/>
      <c r="F96" s="91"/>
      <c r="G96" s="91"/>
      <c r="H96" s="91"/>
      <c r="I96" s="242"/>
    </row>
    <row r="97" spans="1:9" ht="12.75">
      <c r="A97" s="90">
        <v>39233</v>
      </c>
      <c r="B97" s="91">
        <f t="shared" si="3"/>
        <v>31</v>
      </c>
      <c r="C97" s="41">
        <f t="shared" si="2"/>
        <v>21320000</v>
      </c>
      <c r="D97" s="41">
        <v>1640000</v>
      </c>
      <c r="E97" s="91"/>
      <c r="F97" s="91"/>
      <c r="G97" s="91"/>
      <c r="H97" s="91"/>
      <c r="I97" s="242"/>
    </row>
    <row r="98" spans="1:9" ht="12.75">
      <c r="A98" s="90">
        <v>39263</v>
      </c>
      <c r="B98" s="91">
        <f t="shared" si="3"/>
        <v>30</v>
      </c>
      <c r="C98" s="41">
        <f t="shared" si="2"/>
        <v>21320000</v>
      </c>
      <c r="D98" s="41"/>
      <c r="E98" s="92">
        <f>E95</f>
        <v>0.0828</v>
      </c>
      <c r="F98" s="41">
        <f>((C96+D96)*E98/360*B96)+((C97+D97)*E98/360*B97)+(C98*E98/360*B98)</f>
        <v>480552.80000000005</v>
      </c>
      <c r="G98" s="91"/>
      <c r="H98" s="91"/>
      <c r="I98" s="242"/>
    </row>
    <row r="99" spans="1:9" ht="12.75">
      <c r="A99" s="90">
        <v>39294</v>
      </c>
      <c r="B99" s="91">
        <f t="shared" si="3"/>
        <v>31</v>
      </c>
      <c r="C99" s="41">
        <f t="shared" si="2"/>
        <v>19680000</v>
      </c>
      <c r="D99" s="41">
        <v>1640000</v>
      </c>
      <c r="E99" s="91"/>
      <c r="F99" s="91"/>
      <c r="G99" s="91"/>
      <c r="H99" s="91"/>
      <c r="I99" s="242"/>
    </row>
    <row r="100" spans="1:9" ht="12.75">
      <c r="A100" s="90">
        <v>39325</v>
      </c>
      <c r="B100" s="91">
        <f t="shared" si="3"/>
        <v>31</v>
      </c>
      <c r="C100" s="41">
        <f t="shared" si="2"/>
        <v>18040000</v>
      </c>
      <c r="D100" s="41">
        <v>1640000</v>
      </c>
      <c r="E100" s="91"/>
      <c r="F100" s="91"/>
      <c r="G100" s="91"/>
      <c r="H100" s="91"/>
      <c r="I100" s="242"/>
    </row>
    <row r="101" spans="1:10" ht="12.75">
      <c r="A101" s="90">
        <v>39355</v>
      </c>
      <c r="B101" s="91">
        <f t="shared" si="3"/>
        <v>30</v>
      </c>
      <c r="C101" s="41">
        <f t="shared" si="2"/>
        <v>18040000</v>
      </c>
      <c r="D101" s="41"/>
      <c r="E101" s="92">
        <f>E98</f>
        <v>0.0828</v>
      </c>
      <c r="F101" s="41">
        <f>((C99+D99)*E101/360*B99)+((C100+D100)*E101/360*B100)+(C101*E101/360*B101)</f>
        <v>416806</v>
      </c>
      <c r="G101" s="91"/>
      <c r="H101" s="91"/>
      <c r="I101" s="242"/>
      <c r="J101" s="56"/>
    </row>
    <row r="102" spans="1:10" ht="12.75">
      <c r="A102" s="90">
        <v>39386</v>
      </c>
      <c r="B102" s="91">
        <f t="shared" si="3"/>
        <v>31</v>
      </c>
      <c r="C102" s="41">
        <f t="shared" si="2"/>
        <v>16400000</v>
      </c>
      <c r="D102" s="41">
        <v>1640000</v>
      </c>
      <c r="E102" s="91"/>
      <c r="F102" s="91"/>
      <c r="G102" s="91"/>
      <c r="H102" s="91"/>
      <c r="I102" s="242"/>
      <c r="J102" s="56"/>
    </row>
    <row r="103" spans="1:10" ht="12.75">
      <c r="A103" s="90">
        <v>39416</v>
      </c>
      <c r="B103" s="91">
        <f t="shared" si="3"/>
        <v>30</v>
      </c>
      <c r="C103" s="41">
        <f t="shared" si="2"/>
        <v>14760000</v>
      </c>
      <c r="D103" s="41">
        <v>1640000</v>
      </c>
      <c r="E103" s="91"/>
      <c r="F103" s="91"/>
      <c r="G103" s="91"/>
      <c r="H103" s="91"/>
      <c r="I103" s="242"/>
      <c r="J103" s="56"/>
    </row>
    <row r="104" spans="1:10" ht="12.75">
      <c r="A104" s="97">
        <v>39447</v>
      </c>
      <c r="B104" s="98">
        <f t="shared" si="3"/>
        <v>31</v>
      </c>
      <c r="C104" s="99">
        <f t="shared" si="2"/>
        <v>14760000</v>
      </c>
      <c r="D104" s="99"/>
      <c r="E104" s="100">
        <f>E101</f>
        <v>0.0828</v>
      </c>
      <c r="F104" s="41">
        <f>((C102+D102)*E104/360*B102)+((C103+D103)*E104/360*B103)+(C104*E104/360*B104)</f>
        <v>347024</v>
      </c>
      <c r="G104" s="101">
        <f>SUM(F95:F104)</f>
        <v>1800375.6</v>
      </c>
      <c r="H104" s="101">
        <f>SUM(D93:D104)</f>
        <v>13120000</v>
      </c>
      <c r="I104" s="102">
        <f>SUM(G104:H104)</f>
        <v>14920375.6</v>
      </c>
      <c r="J104" s="56"/>
    </row>
    <row r="105" spans="1:10" ht="12.75">
      <c r="A105" s="103">
        <v>39478</v>
      </c>
      <c r="B105" s="104">
        <f t="shared" si="3"/>
        <v>31</v>
      </c>
      <c r="C105" s="42">
        <f t="shared" si="2"/>
        <v>13120000</v>
      </c>
      <c r="D105" s="42">
        <v>1640000</v>
      </c>
      <c r="E105" s="104"/>
      <c r="F105" s="104"/>
      <c r="G105" s="104"/>
      <c r="H105" s="104"/>
      <c r="I105" s="253"/>
      <c r="J105" s="56"/>
    </row>
    <row r="106" spans="1:10" ht="12.75">
      <c r="A106" s="90">
        <v>39506</v>
      </c>
      <c r="B106" s="91">
        <f t="shared" si="3"/>
        <v>28</v>
      </c>
      <c r="C106" s="41">
        <f t="shared" si="2"/>
        <v>11480000</v>
      </c>
      <c r="D106" s="41">
        <v>1640000</v>
      </c>
      <c r="E106" s="91"/>
      <c r="F106" s="91"/>
      <c r="G106" s="91"/>
      <c r="H106" s="91"/>
      <c r="I106" s="242"/>
      <c r="J106" s="56"/>
    </row>
    <row r="107" spans="1:9" ht="12.75">
      <c r="A107" s="90">
        <v>39538</v>
      </c>
      <c r="B107" s="91">
        <f t="shared" si="3"/>
        <v>32</v>
      </c>
      <c r="C107" s="41">
        <f t="shared" si="2"/>
        <v>11480000</v>
      </c>
      <c r="D107" s="41"/>
      <c r="E107" s="92">
        <f>E104</f>
        <v>0.0828</v>
      </c>
      <c r="F107" s="41">
        <f>((C105+D105)*E107/360*B105)+((C106+D106)*E107/360*B106)+(C107*E107/360*B107)</f>
        <v>274224.4</v>
      </c>
      <c r="G107" s="91"/>
      <c r="H107" s="91"/>
      <c r="I107" s="242"/>
    </row>
    <row r="108" spans="1:9" ht="12.75">
      <c r="A108" s="90">
        <v>39568</v>
      </c>
      <c r="B108" s="91">
        <f t="shared" si="3"/>
        <v>30</v>
      </c>
      <c r="C108" s="41">
        <f t="shared" si="2"/>
        <v>9840000</v>
      </c>
      <c r="D108" s="41">
        <v>1640000</v>
      </c>
      <c r="E108" s="91"/>
      <c r="F108" s="91"/>
      <c r="G108" s="91"/>
      <c r="H108" s="91"/>
      <c r="I108" s="242"/>
    </row>
    <row r="109" spans="1:9" ht="12.75">
      <c r="A109" s="90">
        <v>39599</v>
      </c>
      <c r="B109" s="91">
        <f t="shared" si="3"/>
        <v>31</v>
      </c>
      <c r="C109" s="41">
        <f t="shared" si="2"/>
        <v>8200000</v>
      </c>
      <c r="D109" s="41">
        <v>1640000</v>
      </c>
      <c r="E109" s="91"/>
      <c r="F109" s="91"/>
      <c r="G109" s="91"/>
      <c r="H109" s="91"/>
      <c r="I109" s="242"/>
    </row>
    <row r="110" spans="1:9" ht="12.75">
      <c r="A110" s="90">
        <v>39629</v>
      </c>
      <c r="B110" s="91">
        <f aca="true" t="shared" si="4" ref="B110:B116">A110-A109</f>
        <v>30</v>
      </c>
      <c r="C110" s="41">
        <f aca="true" t="shared" si="5" ref="C110:C116">C109-D110</f>
        <v>8200000</v>
      </c>
      <c r="D110" s="41"/>
      <c r="E110" s="92">
        <f>E107</f>
        <v>0.0828</v>
      </c>
      <c r="F110" s="41">
        <f>((C108+D108)*E110/360*B108)+((C109+D109)*E110/360*B109)+(C110*E110/360*B110)</f>
        <v>205951.2</v>
      </c>
      <c r="G110" s="91"/>
      <c r="H110" s="91"/>
      <c r="I110" s="242"/>
    </row>
    <row r="111" spans="1:9" ht="12.75">
      <c r="A111" s="90">
        <v>39660</v>
      </c>
      <c r="B111" s="91">
        <f t="shared" si="4"/>
        <v>31</v>
      </c>
      <c r="C111" s="41">
        <f t="shared" si="5"/>
        <v>6560000</v>
      </c>
      <c r="D111" s="41">
        <v>1640000</v>
      </c>
      <c r="E111" s="91"/>
      <c r="F111" s="91"/>
      <c r="G111" s="91"/>
      <c r="H111" s="91"/>
      <c r="I111" s="242"/>
    </row>
    <row r="112" spans="1:9" ht="12.75">
      <c r="A112" s="90">
        <v>39691</v>
      </c>
      <c r="B112" s="91">
        <f t="shared" si="4"/>
        <v>31</v>
      </c>
      <c r="C112" s="41">
        <f t="shared" si="5"/>
        <v>4920000</v>
      </c>
      <c r="D112" s="41">
        <v>1640000</v>
      </c>
      <c r="E112" s="91"/>
      <c r="F112" s="91"/>
      <c r="G112" s="91"/>
      <c r="H112" s="91"/>
      <c r="I112" s="242"/>
    </row>
    <row r="113" spans="1:10" ht="12.75">
      <c r="A113" s="90">
        <v>39721</v>
      </c>
      <c r="B113" s="91">
        <f t="shared" si="4"/>
        <v>30</v>
      </c>
      <c r="C113" s="41">
        <f t="shared" si="5"/>
        <v>4920000</v>
      </c>
      <c r="D113" s="41"/>
      <c r="E113" s="92">
        <f>E110</f>
        <v>0.0828</v>
      </c>
      <c r="F113" s="41">
        <f>((C111+D111)*E113/360*B111)+((C112+D112)*E113/360*B112)+(C113*E113/360*B113)</f>
        <v>139186.8</v>
      </c>
      <c r="G113" s="91"/>
      <c r="H113" s="91"/>
      <c r="I113" s="242"/>
      <c r="J113" s="56"/>
    </row>
    <row r="114" spans="1:10" ht="12.75">
      <c r="A114" s="90">
        <v>39752</v>
      </c>
      <c r="B114" s="91">
        <f t="shared" si="4"/>
        <v>31</v>
      </c>
      <c r="C114" s="41">
        <f t="shared" si="5"/>
        <v>3280000</v>
      </c>
      <c r="D114" s="41">
        <v>1640000</v>
      </c>
      <c r="E114" s="91"/>
      <c r="F114" s="91"/>
      <c r="G114" s="91"/>
      <c r="H114" s="91"/>
      <c r="I114" s="242"/>
      <c r="J114" s="56"/>
    </row>
    <row r="115" spans="1:10" ht="12.75">
      <c r="A115" s="254">
        <v>39782</v>
      </c>
      <c r="B115" s="91">
        <f t="shared" si="4"/>
        <v>30</v>
      </c>
      <c r="C115" s="107">
        <f t="shared" si="5"/>
        <v>1640000</v>
      </c>
      <c r="D115" s="41">
        <v>1640000</v>
      </c>
      <c r="E115" s="91"/>
      <c r="F115" s="91"/>
      <c r="G115" s="91"/>
      <c r="H115" s="91"/>
      <c r="I115" s="242"/>
      <c r="J115" s="56"/>
    </row>
    <row r="116" spans="1:10" ht="13.5" thickBot="1">
      <c r="A116" s="114">
        <v>39812</v>
      </c>
      <c r="B116" s="91">
        <f t="shared" si="4"/>
        <v>30</v>
      </c>
      <c r="C116" s="107">
        <f t="shared" si="5"/>
        <v>0</v>
      </c>
      <c r="D116" s="41">
        <v>1640000</v>
      </c>
      <c r="E116" s="255">
        <f>E113</f>
        <v>0.0828</v>
      </c>
      <c r="F116" s="41">
        <f>((C114+D114)*E116/360*B114)+((C115+D115)*E116/360*B115)+(D116*E116/360*B116)</f>
        <v>69027.6</v>
      </c>
      <c r="G116" s="256">
        <f>SUM(F106:F116)</f>
        <v>688390</v>
      </c>
      <c r="H116" s="256">
        <f>SUM(D104:D116)</f>
        <v>14760000</v>
      </c>
      <c r="I116" s="257">
        <f>SUM(G116:H116)</f>
        <v>15448390</v>
      </c>
      <c r="J116" s="56"/>
    </row>
    <row r="117" spans="1:10" ht="13.5" thickTop="1">
      <c r="A117" s="468" t="s">
        <v>14</v>
      </c>
      <c r="B117" s="469"/>
      <c r="C117" s="470"/>
      <c r="D117" s="258">
        <f>SUM(D8:D116)</f>
        <v>200000000</v>
      </c>
      <c r="E117" s="259"/>
      <c r="F117" s="120">
        <f>SUM(F10:F116)</f>
        <v>69664166.79178081</v>
      </c>
      <c r="G117" s="120">
        <f>SUM(G19:G116)</f>
        <v>69664166.79178081</v>
      </c>
      <c r="H117" s="120">
        <f>SUM(H19:H116)</f>
        <v>200000000</v>
      </c>
      <c r="I117" s="260">
        <f>SUM(I19:I116)</f>
        <v>269664166.7917808</v>
      </c>
      <c r="J117" s="56"/>
    </row>
    <row r="118" ht="12.75">
      <c r="J118" s="56"/>
    </row>
    <row r="120" ht="12.75">
      <c r="F120" s="124"/>
    </row>
    <row r="121" ht="12.75">
      <c r="F121" s="124"/>
    </row>
    <row r="124" ht="12.75">
      <c r="F124" s="124"/>
    </row>
  </sheetData>
  <mergeCells count="1">
    <mergeCell ref="A117:C117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1998. évben felvett 200 MFt célhitel</oddHeader>
    <oddFooter>&amp;L&amp;9Nyomtatás dátuma: &amp;D
C:\Andi\adósságszolgálat\&amp;F\&amp;A&amp;R&amp;P/&amp;N</oddFooter>
  </headerFooter>
  <rowBreaks count="2" manualBreakCount="2">
    <brk id="55" max="255" man="1"/>
    <brk id="10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7"/>
  <sheetViews>
    <sheetView zoomScaleSheetLayoutView="100" workbookViewId="0" topLeftCell="A1">
      <pane ySplit="5" topLeftCell="BM49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380" customWidth="1"/>
    <col min="6" max="7" width="12.625" style="58" customWidth="1"/>
    <col min="8" max="8" width="13.00390625" style="58" customWidth="1"/>
    <col min="9" max="10" width="12.625" style="58" bestFit="1" customWidth="1"/>
    <col min="11" max="16384" width="9.375" style="58" customWidth="1"/>
  </cols>
  <sheetData>
    <row r="1" spans="1:10" ht="12.75">
      <c r="A1" s="166" t="s">
        <v>137</v>
      </c>
      <c r="B1" s="165"/>
      <c r="C1" s="166" t="s">
        <v>157</v>
      </c>
      <c r="D1" s="166"/>
      <c r="H1" s="166"/>
      <c r="I1" s="166"/>
      <c r="J1" s="166"/>
    </row>
    <row r="2" spans="1:10" ht="12.75">
      <c r="A2" s="166" t="s">
        <v>151</v>
      </c>
      <c r="B2" s="136"/>
      <c r="C2" s="135"/>
      <c r="D2" s="135"/>
      <c r="E2" s="381"/>
      <c r="F2" s="135"/>
      <c r="G2" s="135"/>
      <c r="H2" s="135"/>
      <c r="I2" s="135"/>
      <c r="J2" s="135"/>
    </row>
    <row r="3" spans="1:10" ht="12.75">
      <c r="A3" s="66" t="s">
        <v>3</v>
      </c>
      <c r="B3" s="67" t="s">
        <v>4</v>
      </c>
      <c r="C3" s="68" t="s">
        <v>5</v>
      </c>
      <c r="D3" s="68" t="s">
        <v>21</v>
      </c>
      <c r="E3" s="68" t="s">
        <v>18</v>
      </c>
      <c r="F3" s="69" t="s">
        <v>20</v>
      </c>
      <c r="G3" s="69" t="s">
        <v>152</v>
      </c>
      <c r="H3" s="70" t="s">
        <v>6</v>
      </c>
      <c r="I3" s="70" t="s">
        <v>6</v>
      </c>
      <c r="J3" s="71" t="s">
        <v>6</v>
      </c>
    </row>
    <row r="4" spans="1:10" ht="12.75">
      <c r="A4" s="72"/>
      <c r="B4" s="73" t="s">
        <v>7</v>
      </c>
      <c r="C4" s="74" t="s">
        <v>8</v>
      </c>
      <c r="D4" s="74" t="s">
        <v>13</v>
      </c>
      <c r="E4" s="74" t="s">
        <v>19</v>
      </c>
      <c r="F4" s="75" t="s">
        <v>13</v>
      </c>
      <c r="G4" s="75" t="s">
        <v>153</v>
      </c>
      <c r="H4" s="76" t="s">
        <v>9</v>
      </c>
      <c r="I4" s="76" t="s">
        <v>11</v>
      </c>
      <c r="J4" s="77" t="s">
        <v>10</v>
      </c>
    </row>
    <row r="5" spans="1:10" ht="12.75">
      <c r="A5" s="78"/>
      <c r="B5" s="79"/>
      <c r="C5" s="80"/>
      <c r="D5" s="80"/>
      <c r="E5" s="80"/>
      <c r="F5" s="81"/>
      <c r="G5" s="139" t="s">
        <v>154</v>
      </c>
      <c r="H5" s="139" t="s">
        <v>155</v>
      </c>
      <c r="I5" s="82" t="s">
        <v>13</v>
      </c>
      <c r="J5" s="83" t="s">
        <v>12</v>
      </c>
    </row>
    <row r="6" spans="1:10" ht="12.75">
      <c r="A6" s="103">
        <v>38898</v>
      </c>
      <c r="B6" s="387"/>
      <c r="C6" s="388"/>
      <c r="D6" s="388"/>
      <c r="E6" s="388"/>
      <c r="F6" s="389"/>
      <c r="G6" s="390">
        <v>1055560</v>
      </c>
      <c r="H6" s="391"/>
      <c r="I6" s="392"/>
      <c r="J6" s="393"/>
    </row>
    <row r="7" spans="1:10" ht="12.75">
      <c r="A7" s="90">
        <v>38903</v>
      </c>
      <c r="B7" s="428"/>
      <c r="C7" s="429">
        <v>5443230</v>
      </c>
      <c r="D7" s="430"/>
      <c r="E7" s="430"/>
      <c r="F7" s="431"/>
      <c r="G7" s="432"/>
      <c r="H7" s="433"/>
      <c r="I7" s="434"/>
      <c r="J7" s="401"/>
    </row>
    <row r="8" spans="1:10" ht="12.75">
      <c r="A8" s="90">
        <v>38911</v>
      </c>
      <c r="B8" s="366">
        <f aca="true" t="shared" si="0" ref="B8:B15">A8-A7</f>
        <v>8</v>
      </c>
      <c r="C8" s="429">
        <f>5443230+14861674</f>
        <v>20304904</v>
      </c>
      <c r="D8" s="430"/>
      <c r="E8" s="430"/>
      <c r="F8" s="431"/>
      <c r="G8" s="432"/>
      <c r="H8" s="433"/>
      <c r="I8" s="434"/>
      <c r="J8" s="401"/>
    </row>
    <row r="9" spans="1:10" ht="12.75">
      <c r="A9" s="90">
        <v>38912</v>
      </c>
      <c r="B9" s="366">
        <f t="shared" si="0"/>
        <v>1</v>
      </c>
      <c r="C9" s="429">
        <f>C8+7286853</f>
        <v>27591757</v>
      </c>
      <c r="D9" s="430"/>
      <c r="E9" s="430"/>
      <c r="F9" s="431"/>
      <c r="G9" s="432"/>
      <c r="H9" s="433"/>
      <c r="I9" s="434"/>
      <c r="J9" s="401"/>
    </row>
    <row r="10" spans="1:10" ht="12.75">
      <c r="A10" s="90">
        <v>38915</v>
      </c>
      <c r="B10" s="366">
        <f t="shared" si="0"/>
        <v>3</v>
      </c>
      <c r="C10" s="429">
        <f>C9+4178872</f>
        <v>31770629</v>
      </c>
      <c r="D10" s="430"/>
      <c r="E10" s="430"/>
      <c r="F10" s="431"/>
      <c r="G10" s="432"/>
      <c r="H10" s="433"/>
      <c r="I10" s="434"/>
      <c r="J10" s="401"/>
    </row>
    <row r="11" spans="1:10" ht="12.75">
      <c r="A11" s="90">
        <v>38917</v>
      </c>
      <c r="B11" s="366">
        <f t="shared" si="0"/>
        <v>2</v>
      </c>
      <c r="C11" s="429">
        <f>C10+6994279</f>
        <v>38764908</v>
      </c>
      <c r="D11" s="430"/>
      <c r="E11" s="430"/>
      <c r="F11" s="431"/>
      <c r="G11" s="432"/>
      <c r="H11" s="433"/>
      <c r="I11" s="434"/>
      <c r="J11" s="401"/>
    </row>
    <row r="12" spans="1:10" ht="12.75">
      <c r="A12" s="90">
        <v>38918</v>
      </c>
      <c r="B12" s="366">
        <f t="shared" si="0"/>
        <v>1</v>
      </c>
      <c r="C12" s="429">
        <f>C11+14509404</f>
        <v>53274312</v>
      </c>
      <c r="D12" s="430"/>
      <c r="E12" s="430"/>
      <c r="F12" s="431"/>
      <c r="G12" s="432"/>
      <c r="H12" s="433"/>
      <c r="I12" s="434"/>
      <c r="J12" s="401"/>
    </row>
    <row r="13" spans="1:10" ht="12.75">
      <c r="A13" s="90">
        <v>38923</v>
      </c>
      <c r="B13" s="366">
        <f t="shared" si="0"/>
        <v>5</v>
      </c>
      <c r="C13" s="429">
        <f>C12+5009304</f>
        <v>58283616</v>
      </c>
      <c r="D13" s="430"/>
      <c r="E13" s="430"/>
      <c r="F13" s="431"/>
      <c r="G13" s="432"/>
      <c r="H13" s="433"/>
      <c r="I13" s="434"/>
      <c r="J13" s="401"/>
    </row>
    <row r="14" spans="1:10" ht="12.75">
      <c r="A14" s="90">
        <v>38931</v>
      </c>
      <c r="B14" s="366">
        <f t="shared" si="0"/>
        <v>8</v>
      </c>
      <c r="C14" s="429">
        <f>C13+15582464</f>
        <v>73866080</v>
      </c>
      <c r="D14" s="430"/>
      <c r="E14" s="430"/>
      <c r="F14" s="431"/>
      <c r="G14" s="432"/>
      <c r="H14" s="433"/>
      <c r="I14" s="434"/>
      <c r="J14" s="401"/>
    </row>
    <row r="15" spans="1:10" ht="12.75">
      <c r="A15" s="90">
        <v>38937</v>
      </c>
      <c r="B15" s="366">
        <f t="shared" si="0"/>
        <v>6</v>
      </c>
      <c r="C15" s="41">
        <f>C14+22312179</f>
        <v>96178259</v>
      </c>
      <c r="D15" s="41"/>
      <c r="E15" s="383"/>
      <c r="F15" s="41"/>
      <c r="G15" s="41"/>
      <c r="H15" s="93"/>
      <c r="I15" s="93"/>
      <c r="J15" s="94"/>
    </row>
    <row r="16" spans="1:10" ht="12.75">
      <c r="A16" s="90">
        <v>38958</v>
      </c>
      <c r="B16" s="366">
        <f aca="true" t="shared" si="1" ref="B16:B60">A16-A15</f>
        <v>21</v>
      </c>
      <c r="C16" s="41">
        <v>107015495</v>
      </c>
      <c r="D16" s="41"/>
      <c r="E16" s="383"/>
      <c r="F16" s="41"/>
      <c r="G16" s="41"/>
      <c r="H16" s="91"/>
      <c r="I16" s="91"/>
      <c r="J16" s="242"/>
    </row>
    <row r="17" spans="1:10" ht="12.75">
      <c r="A17" s="90">
        <v>38959</v>
      </c>
      <c r="B17" s="366">
        <f aca="true" t="shared" si="2" ref="B17:B29">A17-A16</f>
        <v>1</v>
      </c>
      <c r="C17" s="41">
        <v>116720135</v>
      </c>
      <c r="D17" s="41"/>
      <c r="E17" s="383"/>
      <c r="F17" s="41"/>
      <c r="G17" s="41"/>
      <c r="H17" s="91"/>
      <c r="I17" s="91"/>
      <c r="J17" s="242"/>
    </row>
    <row r="18" spans="1:10" ht="12.75">
      <c r="A18" s="90">
        <v>38960</v>
      </c>
      <c r="B18" s="366">
        <f t="shared" si="2"/>
        <v>1</v>
      </c>
      <c r="C18" s="41">
        <v>126832361</v>
      </c>
      <c r="D18" s="41"/>
      <c r="E18" s="383"/>
      <c r="F18" s="41"/>
      <c r="G18" s="41"/>
      <c r="H18" s="91"/>
      <c r="I18" s="91"/>
      <c r="J18" s="242"/>
    </row>
    <row r="19" spans="1:10" ht="12.75">
      <c r="A19" s="90">
        <v>38961</v>
      </c>
      <c r="B19" s="366">
        <f t="shared" si="2"/>
        <v>1</v>
      </c>
      <c r="C19" s="41">
        <v>144999504</v>
      </c>
      <c r="D19" s="41"/>
      <c r="E19" s="383"/>
      <c r="F19" s="41"/>
      <c r="G19" s="41"/>
      <c r="H19" s="91"/>
      <c r="I19" s="91"/>
      <c r="J19" s="242"/>
    </row>
    <row r="20" spans="1:10" ht="12.75">
      <c r="A20" s="90">
        <v>38964</v>
      </c>
      <c r="B20" s="366">
        <f t="shared" si="2"/>
        <v>3</v>
      </c>
      <c r="C20" s="41">
        <v>151054524</v>
      </c>
      <c r="D20" s="41"/>
      <c r="E20" s="383"/>
      <c r="F20" s="41"/>
      <c r="G20" s="41"/>
      <c r="H20" s="91"/>
      <c r="I20" s="91"/>
      <c r="J20" s="242"/>
    </row>
    <row r="21" spans="1:10" ht="12.75">
      <c r="A21" s="90">
        <v>38968</v>
      </c>
      <c r="B21" s="366">
        <f t="shared" si="2"/>
        <v>4</v>
      </c>
      <c r="C21" s="41">
        <v>164347209</v>
      </c>
      <c r="D21" s="41"/>
      <c r="E21" s="383"/>
      <c r="F21" s="41"/>
      <c r="G21" s="41"/>
      <c r="H21" s="91"/>
      <c r="I21" s="91"/>
      <c r="J21" s="242"/>
    </row>
    <row r="22" spans="1:10" ht="12.75">
      <c r="A22" s="90">
        <v>38971</v>
      </c>
      <c r="B22" s="366">
        <f t="shared" si="2"/>
        <v>3</v>
      </c>
      <c r="C22" s="41">
        <v>174331030</v>
      </c>
      <c r="D22" s="41"/>
      <c r="E22" s="383"/>
      <c r="F22" s="41"/>
      <c r="G22" s="41"/>
      <c r="H22" s="91"/>
      <c r="I22" s="91"/>
      <c r="J22" s="242"/>
    </row>
    <row r="23" spans="1:10" ht="12.75">
      <c r="A23" s="90">
        <v>38973</v>
      </c>
      <c r="B23" s="366">
        <f t="shared" si="2"/>
        <v>2</v>
      </c>
      <c r="C23" s="41">
        <v>193634566</v>
      </c>
      <c r="D23" s="41"/>
      <c r="E23" s="383"/>
      <c r="F23" s="41"/>
      <c r="G23" s="41"/>
      <c r="H23" s="91"/>
      <c r="I23" s="91"/>
      <c r="J23" s="242"/>
    </row>
    <row r="24" spans="1:10" ht="12.75">
      <c r="A24" s="462">
        <v>38980</v>
      </c>
      <c r="B24" s="366">
        <f t="shared" si="2"/>
        <v>7</v>
      </c>
      <c r="C24" s="41">
        <v>205987494</v>
      </c>
      <c r="D24" s="41"/>
      <c r="E24" s="383"/>
      <c r="F24" s="41"/>
      <c r="G24" s="41"/>
      <c r="H24" s="91"/>
      <c r="I24" s="91"/>
      <c r="J24" s="242"/>
    </row>
    <row r="25" spans="1:10" ht="12.75">
      <c r="A25" s="462">
        <v>38982</v>
      </c>
      <c r="B25" s="366">
        <f t="shared" si="2"/>
        <v>2</v>
      </c>
      <c r="C25" s="41">
        <v>221559965</v>
      </c>
      <c r="D25" s="41"/>
      <c r="E25" s="383"/>
      <c r="F25" s="41"/>
      <c r="G25" s="41"/>
      <c r="H25" s="91"/>
      <c r="I25" s="91"/>
      <c r="J25" s="242"/>
    </row>
    <row r="26" spans="1:10" ht="12.75">
      <c r="A26" s="462">
        <v>38986</v>
      </c>
      <c r="B26" s="366">
        <f t="shared" si="2"/>
        <v>4</v>
      </c>
      <c r="C26" s="41">
        <v>225079429</v>
      </c>
      <c r="D26" s="41"/>
      <c r="E26" s="383"/>
      <c r="F26" s="41"/>
      <c r="G26" s="41"/>
      <c r="H26" s="91"/>
      <c r="I26" s="91"/>
      <c r="J26" s="242"/>
    </row>
    <row r="27" spans="1:10" ht="12.75">
      <c r="A27" s="462">
        <v>38988</v>
      </c>
      <c r="B27" s="366">
        <f t="shared" si="2"/>
        <v>2</v>
      </c>
      <c r="C27" s="41">
        <v>235138122</v>
      </c>
      <c r="D27" s="41"/>
      <c r="E27" s="383"/>
      <c r="F27" s="41"/>
      <c r="G27" s="41"/>
      <c r="H27" s="91"/>
      <c r="I27" s="91"/>
      <c r="J27" s="242"/>
    </row>
    <row r="28" spans="1:10" ht="12.75">
      <c r="A28" s="462">
        <v>38989</v>
      </c>
      <c r="B28" s="366">
        <f t="shared" si="2"/>
        <v>1</v>
      </c>
      <c r="C28" s="41">
        <v>240439869</v>
      </c>
      <c r="D28" s="41"/>
      <c r="E28" s="383"/>
      <c r="F28" s="41"/>
      <c r="G28" s="41"/>
      <c r="H28" s="91"/>
      <c r="I28" s="91"/>
      <c r="J28" s="242"/>
    </row>
    <row r="29" spans="1:10" ht="12.75">
      <c r="A29" s="90">
        <v>38990</v>
      </c>
      <c r="B29" s="366">
        <f t="shared" si="2"/>
        <v>1</v>
      </c>
      <c r="C29" s="41">
        <f>C28</f>
        <v>240439869</v>
      </c>
      <c r="D29" s="41"/>
      <c r="E29" s="383">
        <v>0.03011</v>
      </c>
      <c r="F29" s="41">
        <v>774110</v>
      </c>
      <c r="G29" s="41">
        <f>G6</f>
        <v>1055560</v>
      </c>
      <c r="H29" s="91"/>
      <c r="I29" s="91"/>
      <c r="J29" s="242"/>
    </row>
    <row r="30" spans="1:10" ht="12.75">
      <c r="A30" s="462">
        <v>38995</v>
      </c>
      <c r="B30" s="366">
        <f t="shared" si="1"/>
        <v>5</v>
      </c>
      <c r="C30" s="41">
        <v>249676213</v>
      </c>
      <c r="D30" s="41"/>
      <c r="E30" s="383"/>
      <c r="F30" s="41"/>
      <c r="G30" s="41"/>
      <c r="H30" s="91"/>
      <c r="I30" s="91"/>
      <c r="J30" s="242"/>
    </row>
    <row r="31" spans="1:10" ht="12.75">
      <c r="A31" s="462">
        <v>39000</v>
      </c>
      <c r="B31" s="366">
        <f t="shared" si="1"/>
        <v>5</v>
      </c>
      <c r="C31" s="41">
        <v>255331454</v>
      </c>
      <c r="D31" s="41"/>
      <c r="E31" s="383"/>
      <c r="F31" s="41"/>
      <c r="G31" s="41"/>
      <c r="H31" s="91"/>
      <c r="I31" s="91"/>
      <c r="J31" s="263"/>
    </row>
    <row r="32" spans="1:10" ht="12.75">
      <c r="A32" s="462">
        <v>39002</v>
      </c>
      <c r="B32" s="366">
        <f t="shared" si="1"/>
        <v>2</v>
      </c>
      <c r="C32" s="41">
        <v>260378233</v>
      </c>
      <c r="D32" s="41"/>
      <c r="E32" s="383"/>
      <c r="F32" s="41"/>
      <c r="G32" s="41"/>
      <c r="H32" s="91"/>
      <c r="I32" s="91"/>
      <c r="J32" s="263"/>
    </row>
    <row r="33" spans="1:10" ht="12.75">
      <c r="A33" s="462">
        <v>39003</v>
      </c>
      <c r="B33" s="366">
        <f t="shared" si="1"/>
        <v>1</v>
      </c>
      <c r="C33" s="41">
        <v>269820208</v>
      </c>
      <c r="D33" s="41"/>
      <c r="E33" s="383"/>
      <c r="F33" s="41"/>
      <c r="G33" s="41"/>
      <c r="H33" s="91"/>
      <c r="I33" s="91"/>
      <c r="J33" s="263"/>
    </row>
    <row r="34" spans="1:10" ht="12.75">
      <c r="A34" s="462">
        <v>39007</v>
      </c>
      <c r="B34" s="366">
        <f t="shared" si="1"/>
        <v>4</v>
      </c>
      <c r="C34" s="41">
        <v>278586433</v>
      </c>
      <c r="D34" s="41"/>
      <c r="E34" s="383"/>
      <c r="F34" s="41"/>
      <c r="G34" s="41"/>
      <c r="H34" s="91"/>
      <c r="I34" s="91"/>
      <c r="J34" s="263"/>
    </row>
    <row r="35" spans="1:10" ht="12.75">
      <c r="A35" s="462">
        <v>39014</v>
      </c>
      <c r="B35" s="366">
        <f t="shared" si="1"/>
        <v>7</v>
      </c>
      <c r="C35" s="41">
        <v>284345586</v>
      </c>
      <c r="D35" s="41"/>
      <c r="E35" s="383"/>
      <c r="F35" s="41"/>
      <c r="G35" s="41"/>
      <c r="H35" s="91"/>
      <c r="I35" s="91"/>
      <c r="J35" s="263"/>
    </row>
    <row r="36" spans="1:10" ht="12.75">
      <c r="A36" s="462">
        <v>39015</v>
      </c>
      <c r="B36" s="366">
        <f t="shared" si="1"/>
        <v>1</v>
      </c>
      <c r="C36" s="41">
        <v>294116159</v>
      </c>
      <c r="D36" s="41"/>
      <c r="E36" s="383"/>
      <c r="F36" s="41"/>
      <c r="G36" s="41"/>
      <c r="H36" s="91"/>
      <c r="I36" s="91"/>
      <c r="J36" s="263"/>
    </row>
    <row r="37" spans="1:10" ht="12.75">
      <c r="A37" s="462">
        <v>39016</v>
      </c>
      <c r="B37" s="366">
        <f t="shared" si="1"/>
        <v>1</v>
      </c>
      <c r="C37" s="41">
        <v>311225653</v>
      </c>
      <c r="D37" s="41"/>
      <c r="E37" s="383"/>
      <c r="F37" s="41"/>
      <c r="G37" s="41"/>
      <c r="H37" s="91"/>
      <c r="I37" s="91"/>
      <c r="J37" s="263"/>
    </row>
    <row r="38" spans="1:10" ht="12.75">
      <c r="A38" s="462">
        <v>39017</v>
      </c>
      <c r="B38" s="366">
        <f t="shared" si="1"/>
        <v>1</v>
      </c>
      <c r="C38" s="41">
        <v>317960431</v>
      </c>
      <c r="D38" s="41"/>
      <c r="E38" s="383"/>
      <c r="F38" s="41"/>
      <c r="G38" s="41"/>
      <c r="H38" s="91"/>
      <c r="I38" s="91"/>
      <c r="J38" s="263"/>
    </row>
    <row r="39" spans="1:10" ht="12.75">
      <c r="A39" s="462">
        <v>39023</v>
      </c>
      <c r="B39" s="366">
        <f t="shared" si="1"/>
        <v>6</v>
      </c>
      <c r="C39" s="41">
        <v>337470449</v>
      </c>
      <c r="D39" s="41"/>
      <c r="E39" s="383"/>
      <c r="F39" s="41"/>
      <c r="G39" s="41"/>
      <c r="H39" s="91"/>
      <c r="I39" s="91"/>
      <c r="J39" s="263"/>
    </row>
    <row r="40" spans="1:10" ht="12.75">
      <c r="A40" s="462">
        <v>39029</v>
      </c>
      <c r="B40" s="366">
        <f t="shared" si="1"/>
        <v>6</v>
      </c>
      <c r="C40" s="41">
        <v>356305485</v>
      </c>
      <c r="D40" s="41"/>
      <c r="E40" s="383"/>
      <c r="F40" s="41"/>
      <c r="G40" s="41"/>
      <c r="H40" s="91"/>
      <c r="I40" s="91"/>
      <c r="J40" s="263"/>
    </row>
    <row r="41" spans="1:10" ht="12.75">
      <c r="A41" s="462">
        <v>39037</v>
      </c>
      <c r="B41" s="366">
        <f t="shared" si="1"/>
        <v>8</v>
      </c>
      <c r="C41" s="41">
        <v>370604737</v>
      </c>
      <c r="D41" s="41"/>
      <c r="E41" s="383"/>
      <c r="F41" s="41"/>
      <c r="G41" s="41"/>
      <c r="H41" s="91"/>
      <c r="I41" s="91"/>
      <c r="J41" s="263"/>
    </row>
    <row r="42" spans="1:10" ht="12.75">
      <c r="A42" s="462">
        <v>39043</v>
      </c>
      <c r="B42" s="366">
        <f t="shared" si="1"/>
        <v>6</v>
      </c>
      <c r="C42" s="41">
        <v>380141470</v>
      </c>
      <c r="D42" s="41"/>
      <c r="E42" s="383"/>
      <c r="F42" s="41"/>
      <c r="G42" s="41"/>
      <c r="H42" s="91"/>
      <c r="I42" s="91"/>
      <c r="J42" s="263"/>
    </row>
    <row r="43" spans="1:10" ht="12.75">
      <c r="A43" s="462">
        <v>39049</v>
      </c>
      <c r="B43" s="366">
        <f t="shared" si="1"/>
        <v>6</v>
      </c>
      <c r="C43" s="41">
        <v>400241609</v>
      </c>
      <c r="D43" s="41"/>
      <c r="E43" s="383"/>
      <c r="F43" s="41"/>
      <c r="G43" s="41"/>
      <c r="H43" s="91"/>
      <c r="I43" s="91"/>
      <c r="J43" s="263"/>
    </row>
    <row r="44" spans="1:10" ht="12.75">
      <c r="A44" s="462">
        <v>39051</v>
      </c>
      <c r="B44" s="366">
        <f t="shared" si="1"/>
        <v>2</v>
      </c>
      <c r="C44" s="41">
        <v>404403757</v>
      </c>
      <c r="D44" s="41"/>
      <c r="E44" s="383"/>
      <c r="F44" s="41"/>
      <c r="G44" s="41"/>
      <c r="H44" s="91"/>
      <c r="I44" s="91"/>
      <c r="J44" s="263"/>
    </row>
    <row r="45" spans="1:10" ht="12.75">
      <c r="A45" s="462">
        <v>39052</v>
      </c>
      <c r="B45" s="366">
        <f t="shared" si="1"/>
        <v>1</v>
      </c>
      <c r="C45" s="41">
        <v>414562018</v>
      </c>
      <c r="D45" s="41"/>
      <c r="E45" s="383"/>
      <c r="F45" s="41"/>
      <c r="G45" s="41"/>
      <c r="H45" s="91"/>
      <c r="I45" s="91"/>
      <c r="J45" s="263"/>
    </row>
    <row r="46" spans="1:10" ht="12.75">
      <c r="A46" s="462">
        <v>39057</v>
      </c>
      <c r="B46" s="366">
        <f t="shared" si="1"/>
        <v>5</v>
      </c>
      <c r="C46" s="41">
        <v>416183659</v>
      </c>
      <c r="D46" s="41"/>
      <c r="E46" s="383"/>
      <c r="F46" s="41"/>
      <c r="G46" s="41"/>
      <c r="H46" s="91"/>
      <c r="I46" s="91"/>
      <c r="J46" s="263"/>
    </row>
    <row r="47" spans="1:10" ht="12.75">
      <c r="A47" s="462">
        <v>39058</v>
      </c>
      <c r="B47" s="366">
        <f t="shared" si="1"/>
        <v>1</v>
      </c>
      <c r="C47" s="41">
        <v>422934007</v>
      </c>
      <c r="D47" s="41"/>
      <c r="E47" s="383"/>
      <c r="F47" s="41"/>
      <c r="G47" s="41"/>
      <c r="H47" s="91"/>
      <c r="I47" s="91"/>
      <c r="J47" s="263"/>
    </row>
    <row r="48" spans="1:10" ht="12.75">
      <c r="A48" s="462">
        <v>39063</v>
      </c>
      <c r="B48" s="366">
        <f t="shared" si="1"/>
        <v>5</v>
      </c>
      <c r="C48" s="41">
        <v>427826225</v>
      </c>
      <c r="D48" s="41"/>
      <c r="E48" s="383"/>
      <c r="F48" s="41"/>
      <c r="G48" s="41"/>
      <c r="H48" s="91"/>
      <c r="I48" s="91"/>
      <c r="J48" s="263"/>
    </row>
    <row r="49" spans="1:10" ht="12.75">
      <c r="A49" s="462">
        <v>39065</v>
      </c>
      <c r="B49" s="366">
        <f t="shared" si="1"/>
        <v>2</v>
      </c>
      <c r="C49" s="41">
        <v>434743740</v>
      </c>
      <c r="D49" s="41"/>
      <c r="E49" s="383"/>
      <c r="F49" s="41"/>
      <c r="G49" s="41"/>
      <c r="H49" s="91"/>
      <c r="I49" s="91"/>
      <c r="J49" s="263"/>
    </row>
    <row r="50" spans="1:10" ht="12.75">
      <c r="A50" s="462">
        <v>39069</v>
      </c>
      <c r="B50" s="366">
        <f t="shared" si="1"/>
        <v>4</v>
      </c>
      <c r="C50" s="41">
        <v>442404568</v>
      </c>
      <c r="D50" s="41"/>
      <c r="E50" s="383"/>
      <c r="F50" s="41"/>
      <c r="G50" s="41"/>
      <c r="H50" s="91"/>
      <c r="I50" s="91"/>
      <c r="J50" s="263"/>
    </row>
    <row r="51" spans="1:10" ht="12.75">
      <c r="A51" s="462">
        <v>39072</v>
      </c>
      <c r="B51" s="366">
        <f t="shared" si="1"/>
        <v>3</v>
      </c>
      <c r="C51" s="41">
        <v>447710608</v>
      </c>
      <c r="D51" s="41"/>
      <c r="E51" s="383"/>
      <c r="F51" s="41"/>
      <c r="G51" s="41"/>
      <c r="H51" s="91"/>
      <c r="I51" s="91"/>
      <c r="J51" s="263"/>
    </row>
    <row r="52" spans="1:10" ht="12.75">
      <c r="A52" s="90">
        <v>39073</v>
      </c>
      <c r="B52" s="366">
        <f t="shared" si="1"/>
        <v>1</v>
      </c>
      <c r="C52" s="41">
        <v>463457806</v>
      </c>
      <c r="D52" s="41"/>
      <c r="E52" s="383"/>
      <c r="F52" s="41"/>
      <c r="G52" s="41"/>
      <c r="H52" s="91"/>
      <c r="I52" s="91"/>
      <c r="J52" s="263"/>
    </row>
    <row r="53" spans="1:10" ht="12.75">
      <c r="A53" s="97">
        <v>39080</v>
      </c>
      <c r="B53" s="367">
        <f t="shared" si="1"/>
        <v>7</v>
      </c>
      <c r="C53" s="99">
        <v>492390091</v>
      </c>
      <c r="D53" s="99"/>
      <c r="E53" s="384"/>
      <c r="F53" s="99"/>
      <c r="G53" s="99"/>
      <c r="H53" s="359">
        <f>SUM(F6:G53)</f>
        <v>2885230</v>
      </c>
      <c r="I53" s="359">
        <f>SUM(D6:D53)</f>
        <v>0</v>
      </c>
      <c r="J53" s="360">
        <f>SUM(H53:I53)</f>
        <v>2885230</v>
      </c>
    </row>
    <row r="54" spans="1:10" ht="12.75">
      <c r="A54" s="84">
        <v>39084</v>
      </c>
      <c r="B54" s="414">
        <f t="shared" si="1"/>
        <v>4</v>
      </c>
      <c r="C54" s="86">
        <f aca="true" t="shared" si="3" ref="C54:C68">C53-D54</f>
        <v>492390091</v>
      </c>
      <c r="D54" s="86"/>
      <c r="E54" s="435">
        <v>0.03011</v>
      </c>
      <c r="F54" s="86">
        <v>2747680</v>
      </c>
      <c r="G54" s="86">
        <f>G29</f>
        <v>1055560</v>
      </c>
      <c r="H54" s="85"/>
      <c r="I54" s="85"/>
      <c r="J54" s="251"/>
    </row>
    <row r="55" spans="1:10" ht="12.75">
      <c r="A55" s="84">
        <v>39090</v>
      </c>
      <c r="B55" s="414">
        <f>A55-A54</f>
        <v>6</v>
      </c>
      <c r="C55" s="86">
        <v>517200225</v>
      </c>
      <c r="D55" s="86"/>
      <c r="E55" s="435"/>
      <c r="F55" s="86"/>
      <c r="G55" s="86"/>
      <c r="H55" s="436"/>
      <c r="I55" s="436"/>
      <c r="J55" s="437"/>
    </row>
    <row r="56" spans="1:10" ht="12.75">
      <c r="A56" s="90">
        <v>39128</v>
      </c>
      <c r="B56" s="366">
        <f>A56-A55</f>
        <v>38</v>
      </c>
      <c r="C56" s="41">
        <v>633336000</v>
      </c>
      <c r="D56" s="41"/>
      <c r="E56" s="383"/>
      <c r="F56" s="41"/>
      <c r="G56" s="41"/>
      <c r="H56" s="300"/>
      <c r="I56" s="300"/>
      <c r="J56" s="301"/>
    </row>
    <row r="57" spans="1:10" ht="12.75">
      <c r="A57" s="90">
        <v>39172</v>
      </c>
      <c r="B57" s="366">
        <f>A57-A56</f>
        <v>44</v>
      </c>
      <c r="C57" s="41">
        <f>C56-D57</f>
        <v>633336000</v>
      </c>
      <c r="D57" s="41"/>
      <c r="E57" s="383">
        <v>0.03672</v>
      </c>
      <c r="F57" s="41">
        <f>(C54*E57/360*B55)+(C55*E57/360*B56)+(C56*E57/360*B57)</f>
        <v>5148422.775792001</v>
      </c>
      <c r="G57" s="41">
        <f>G54</f>
        <v>1055560</v>
      </c>
      <c r="H57" s="91"/>
      <c r="I57" s="91"/>
      <c r="J57" s="242"/>
    </row>
    <row r="58" spans="1:10" ht="12.75">
      <c r="A58" s="90">
        <v>39263</v>
      </c>
      <c r="B58" s="366">
        <f t="shared" si="1"/>
        <v>91</v>
      </c>
      <c r="C58" s="41">
        <f t="shared" si="3"/>
        <v>633336000</v>
      </c>
      <c r="D58" s="41"/>
      <c r="E58" s="383">
        <f aca="true" t="shared" si="4" ref="E58:E88">E57</f>
        <v>0.03672</v>
      </c>
      <c r="F58" s="41">
        <f aca="true" t="shared" si="5" ref="F58:F88">((C58+D58)*E58/360*B58)</f>
        <v>5878624.752</v>
      </c>
      <c r="G58" s="41">
        <f aca="true" t="shared" si="6" ref="G58:G88">G57</f>
        <v>1055560</v>
      </c>
      <c r="H58" s="91"/>
      <c r="I58" s="91"/>
      <c r="J58" s="242"/>
    </row>
    <row r="59" spans="1:10" ht="12.75">
      <c r="A59" s="90">
        <v>39355</v>
      </c>
      <c r="B59" s="366">
        <f t="shared" si="1"/>
        <v>92</v>
      </c>
      <c r="C59" s="41">
        <f t="shared" si="3"/>
        <v>633336000</v>
      </c>
      <c r="D59" s="41"/>
      <c r="E59" s="383">
        <f t="shared" si="4"/>
        <v>0.03672</v>
      </c>
      <c r="F59" s="41">
        <f t="shared" si="5"/>
        <v>5943225.024</v>
      </c>
      <c r="G59" s="41">
        <f t="shared" si="6"/>
        <v>1055560</v>
      </c>
      <c r="H59" s="91"/>
      <c r="I59" s="91"/>
      <c r="J59" s="242"/>
    </row>
    <row r="60" spans="1:10" ht="12.75">
      <c r="A60" s="97">
        <v>39446</v>
      </c>
      <c r="B60" s="367">
        <f t="shared" si="1"/>
        <v>91</v>
      </c>
      <c r="C60" s="99">
        <f t="shared" si="3"/>
        <v>633336000</v>
      </c>
      <c r="D60" s="99"/>
      <c r="E60" s="384">
        <f t="shared" si="4"/>
        <v>0.03672</v>
      </c>
      <c r="F60" s="99">
        <f t="shared" si="5"/>
        <v>5878624.752</v>
      </c>
      <c r="G60" s="99">
        <f t="shared" si="6"/>
        <v>1055560</v>
      </c>
      <c r="H60" s="359">
        <f>SUM(F54:G60)</f>
        <v>30874377.303792</v>
      </c>
      <c r="I60" s="359">
        <f>SUM(D54:D60)</f>
        <v>0</v>
      </c>
      <c r="J60" s="360">
        <f>SUM(H60:I60)</f>
        <v>30874377.303792</v>
      </c>
    </row>
    <row r="61" spans="1:10" s="56" customFormat="1" ht="12.75">
      <c r="A61" s="103">
        <v>39538</v>
      </c>
      <c r="B61" s="365">
        <f aca="true" t="shared" si="7" ref="B61:B68">A61-A60</f>
        <v>92</v>
      </c>
      <c r="C61" s="42">
        <f t="shared" si="3"/>
        <v>633336000</v>
      </c>
      <c r="D61" s="42"/>
      <c r="E61" s="382">
        <f t="shared" si="4"/>
        <v>0.03672</v>
      </c>
      <c r="F61" s="42">
        <f t="shared" si="5"/>
        <v>5943225.024</v>
      </c>
      <c r="G61" s="42">
        <f t="shared" si="6"/>
        <v>1055560</v>
      </c>
      <c r="H61" s="104"/>
      <c r="I61" s="104"/>
      <c r="J61" s="253"/>
    </row>
    <row r="62" spans="1:10" s="56" customFormat="1" ht="12.75">
      <c r="A62" s="90">
        <v>39629</v>
      </c>
      <c r="B62" s="366">
        <f t="shared" si="7"/>
        <v>91</v>
      </c>
      <c r="C62" s="41">
        <f t="shared" si="3"/>
        <v>633336000</v>
      </c>
      <c r="D62" s="41"/>
      <c r="E62" s="383">
        <f t="shared" si="4"/>
        <v>0.03672</v>
      </c>
      <c r="F62" s="41">
        <f t="shared" si="5"/>
        <v>5878624.752</v>
      </c>
      <c r="G62" s="41">
        <f t="shared" si="6"/>
        <v>1055560</v>
      </c>
      <c r="H62" s="91"/>
      <c r="I62" s="91"/>
      <c r="J62" s="242"/>
    </row>
    <row r="63" spans="1:10" s="56" customFormat="1" ht="12.75">
      <c r="A63" s="90">
        <v>39721</v>
      </c>
      <c r="B63" s="366">
        <f t="shared" si="7"/>
        <v>92</v>
      </c>
      <c r="C63" s="41">
        <f t="shared" si="3"/>
        <v>633336000</v>
      </c>
      <c r="D63" s="41"/>
      <c r="E63" s="383">
        <f t="shared" si="4"/>
        <v>0.03672</v>
      </c>
      <c r="F63" s="41">
        <f t="shared" si="5"/>
        <v>5943225.024</v>
      </c>
      <c r="G63" s="41">
        <f t="shared" si="6"/>
        <v>1055560</v>
      </c>
      <c r="H63" s="91"/>
      <c r="I63" s="91"/>
      <c r="J63" s="242"/>
    </row>
    <row r="64" spans="1:10" s="56" customFormat="1" ht="12.75">
      <c r="A64" s="97">
        <v>39812</v>
      </c>
      <c r="B64" s="367">
        <f t="shared" si="7"/>
        <v>91</v>
      </c>
      <c r="C64" s="99">
        <f t="shared" si="3"/>
        <v>633336000</v>
      </c>
      <c r="D64" s="99"/>
      <c r="E64" s="384">
        <f t="shared" si="4"/>
        <v>0.03672</v>
      </c>
      <c r="F64" s="99">
        <f t="shared" si="5"/>
        <v>5878624.752</v>
      </c>
      <c r="G64" s="99">
        <f t="shared" si="6"/>
        <v>1055560</v>
      </c>
      <c r="H64" s="359">
        <f>SUM(F61:G64)</f>
        <v>27865939.552</v>
      </c>
      <c r="I64" s="359">
        <f>SUM(D61:D64)</f>
        <v>0</v>
      </c>
      <c r="J64" s="360">
        <f>SUM(H64:I64)</f>
        <v>27865939.552</v>
      </c>
    </row>
    <row r="65" spans="1:10" s="56" customFormat="1" ht="12.75">
      <c r="A65" s="103">
        <v>39903</v>
      </c>
      <c r="B65" s="365">
        <f t="shared" si="7"/>
        <v>91</v>
      </c>
      <c r="C65" s="42">
        <f t="shared" si="3"/>
        <v>620411000</v>
      </c>
      <c r="D65" s="42">
        <v>12925000</v>
      </c>
      <c r="E65" s="382">
        <f t="shared" si="4"/>
        <v>0.03672</v>
      </c>
      <c r="F65" s="42">
        <f t="shared" si="5"/>
        <v>5878624.752</v>
      </c>
      <c r="G65" s="42">
        <f t="shared" si="6"/>
        <v>1055560</v>
      </c>
      <c r="H65" s="104"/>
      <c r="I65" s="104"/>
      <c r="J65" s="253"/>
    </row>
    <row r="66" spans="1:10" s="56" customFormat="1" ht="12.75">
      <c r="A66" s="90">
        <v>39994</v>
      </c>
      <c r="B66" s="366">
        <f t="shared" si="7"/>
        <v>91</v>
      </c>
      <c r="C66" s="41">
        <f t="shared" si="3"/>
        <v>607486000</v>
      </c>
      <c r="D66" s="41">
        <f>D65</f>
        <v>12925000</v>
      </c>
      <c r="E66" s="383">
        <f t="shared" si="4"/>
        <v>0.03672</v>
      </c>
      <c r="F66" s="41">
        <f t="shared" si="5"/>
        <v>5758654.902000001</v>
      </c>
      <c r="G66" s="41">
        <f t="shared" si="6"/>
        <v>1055560</v>
      </c>
      <c r="H66" s="91"/>
      <c r="I66" s="91"/>
      <c r="J66" s="242"/>
    </row>
    <row r="67" spans="1:10" s="56" customFormat="1" ht="12.75">
      <c r="A67" s="90">
        <v>40086</v>
      </c>
      <c r="B67" s="366">
        <f t="shared" si="7"/>
        <v>92</v>
      </c>
      <c r="C67" s="41">
        <f t="shared" si="3"/>
        <v>594561000</v>
      </c>
      <c r="D67" s="41">
        <f>D66</f>
        <v>12925000</v>
      </c>
      <c r="E67" s="383">
        <f t="shared" si="4"/>
        <v>0.03672</v>
      </c>
      <c r="F67" s="41">
        <f t="shared" si="5"/>
        <v>5700648.624000001</v>
      </c>
      <c r="G67" s="41">
        <f t="shared" si="6"/>
        <v>1055560</v>
      </c>
      <c r="H67" s="91"/>
      <c r="I67" s="91"/>
      <c r="J67" s="242"/>
    </row>
    <row r="68" spans="1:10" s="56" customFormat="1" ht="12.75">
      <c r="A68" s="97">
        <v>40177</v>
      </c>
      <c r="B68" s="367">
        <f t="shared" si="7"/>
        <v>91</v>
      </c>
      <c r="C68" s="99">
        <f t="shared" si="3"/>
        <v>581636000</v>
      </c>
      <c r="D68" s="99">
        <f>D67</f>
        <v>12925000</v>
      </c>
      <c r="E68" s="384">
        <f t="shared" si="4"/>
        <v>0.03672</v>
      </c>
      <c r="F68" s="99">
        <f t="shared" si="5"/>
        <v>5518715.2020000005</v>
      </c>
      <c r="G68" s="99">
        <f t="shared" si="6"/>
        <v>1055560</v>
      </c>
      <c r="H68" s="359">
        <f>SUM(F65:G68)</f>
        <v>27078883.48</v>
      </c>
      <c r="I68" s="359">
        <f>SUM(D65:D68)</f>
        <v>51700000</v>
      </c>
      <c r="J68" s="360">
        <f>SUM(H68:I68)</f>
        <v>78778883.48</v>
      </c>
    </row>
    <row r="69" spans="1:10" s="56" customFormat="1" ht="12.75">
      <c r="A69" s="103">
        <v>40268</v>
      </c>
      <c r="B69" s="365">
        <f aca="true" t="shared" si="8" ref="B69:B113">A69-A68</f>
        <v>91</v>
      </c>
      <c r="C69" s="42">
        <f aca="true" t="shared" si="9" ref="C69:C113">C68-D69</f>
        <v>568711000</v>
      </c>
      <c r="D69" s="42">
        <v>12925000</v>
      </c>
      <c r="E69" s="382">
        <f t="shared" si="4"/>
        <v>0.03672</v>
      </c>
      <c r="F69" s="42">
        <f t="shared" si="5"/>
        <v>5398745.352</v>
      </c>
      <c r="G69" s="42">
        <f t="shared" si="6"/>
        <v>1055560</v>
      </c>
      <c r="H69" s="104"/>
      <c r="I69" s="104"/>
      <c r="J69" s="253"/>
    </row>
    <row r="70" spans="1:10" s="56" customFormat="1" ht="12.75">
      <c r="A70" s="90">
        <v>40359</v>
      </c>
      <c r="B70" s="366">
        <f t="shared" si="8"/>
        <v>91</v>
      </c>
      <c r="C70" s="41">
        <f t="shared" si="9"/>
        <v>555786000</v>
      </c>
      <c r="D70" s="41">
        <f>D69</f>
        <v>12925000</v>
      </c>
      <c r="E70" s="383">
        <f t="shared" si="4"/>
        <v>0.03672</v>
      </c>
      <c r="F70" s="41">
        <f t="shared" si="5"/>
        <v>5278775.502</v>
      </c>
      <c r="G70" s="41">
        <f t="shared" si="6"/>
        <v>1055560</v>
      </c>
      <c r="H70" s="91"/>
      <c r="I70" s="91"/>
      <c r="J70" s="242"/>
    </row>
    <row r="71" spans="1:10" s="56" customFormat="1" ht="12.75">
      <c r="A71" s="90">
        <v>40451</v>
      </c>
      <c r="B71" s="366">
        <f t="shared" si="8"/>
        <v>92</v>
      </c>
      <c r="C71" s="41">
        <f t="shared" si="9"/>
        <v>542861000</v>
      </c>
      <c r="D71" s="41">
        <f>D70</f>
        <v>12925000</v>
      </c>
      <c r="E71" s="383">
        <f t="shared" si="4"/>
        <v>0.03672</v>
      </c>
      <c r="F71" s="41">
        <f t="shared" si="5"/>
        <v>5215495.824000001</v>
      </c>
      <c r="G71" s="41">
        <f t="shared" si="6"/>
        <v>1055560</v>
      </c>
      <c r="H71" s="91"/>
      <c r="I71" s="91"/>
      <c r="J71" s="242"/>
    </row>
    <row r="72" spans="1:10" s="56" customFormat="1" ht="12.75">
      <c r="A72" s="97">
        <v>40542</v>
      </c>
      <c r="B72" s="367">
        <f t="shared" si="8"/>
        <v>91</v>
      </c>
      <c r="C72" s="99">
        <f t="shared" si="9"/>
        <v>529936000</v>
      </c>
      <c r="D72" s="99">
        <f>D71</f>
        <v>12925000</v>
      </c>
      <c r="E72" s="384">
        <f t="shared" si="4"/>
        <v>0.03672</v>
      </c>
      <c r="F72" s="99">
        <f t="shared" si="5"/>
        <v>5038835.802000001</v>
      </c>
      <c r="G72" s="99">
        <f t="shared" si="6"/>
        <v>1055560</v>
      </c>
      <c r="H72" s="359">
        <f>SUM(F69:G72)</f>
        <v>25154092.480000004</v>
      </c>
      <c r="I72" s="359">
        <f>SUM(D69:D72)</f>
        <v>51700000</v>
      </c>
      <c r="J72" s="360">
        <f>SUM(H72:I72)</f>
        <v>76854092.48</v>
      </c>
    </row>
    <row r="73" spans="1:10" s="56" customFormat="1" ht="12.75">
      <c r="A73" s="103">
        <v>40633</v>
      </c>
      <c r="B73" s="365">
        <f t="shared" si="8"/>
        <v>91</v>
      </c>
      <c r="C73" s="42">
        <f t="shared" si="9"/>
        <v>517011000</v>
      </c>
      <c r="D73" s="42">
        <v>12925000</v>
      </c>
      <c r="E73" s="382">
        <f t="shared" si="4"/>
        <v>0.03672</v>
      </c>
      <c r="F73" s="42">
        <f t="shared" si="5"/>
        <v>4918865.9520000005</v>
      </c>
      <c r="G73" s="42">
        <f t="shared" si="6"/>
        <v>1055560</v>
      </c>
      <c r="H73" s="104"/>
      <c r="I73" s="104"/>
      <c r="J73" s="253"/>
    </row>
    <row r="74" spans="1:10" s="56" customFormat="1" ht="12.75">
      <c r="A74" s="90">
        <v>40724</v>
      </c>
      <c r="B74" s="366">
        <f t="shared" si="8"/>
        <v>91</v>
      </c>
      <c r="C74" s="41">
        <f t="shared" si="9"/>
        <v>504086000</v>
      </c>
      <c r="D74" s="41">
        <f>D73</f>
        <v>12925000</v>
      </c>
      <c r="E74" s="383">
        <f t="shared" si="4"/>
        <v>0.03672</v>
      </c>
      <c r="F74" s="41">
        <f t="shared" si="5"/>
        <v>4798896.102</v>
      </c>
      <c r="G74" s="41">
        <f t="shared" si="6"/>
        <v>1055560</v>
      </c>
      <c r="H74" s="91"/>
      <c r="I74" s="91"/>
      <c r="J74" s="242"/>
    </row>
    <row r="75" spans="1:10" s="56" customFormat="1" ht="12.75">
      <c r="A75" s="90">
        <v>40816</v>
      </c>
      <c r="B75" s="366">
        <f t="shared" si="8"/>
        <v>92</v>
      </c>
      <c r="C75" s="41">
        <f t="shared" si="9"/>
        <v>491161000</v>
      </c>
      <c r="D75" s="41">
        <f>D74</f>
        <v>12925000</v>
      </c>
      <c r="E75" s="383">
        <f t="shared" si="4"/>
        <v>0.03672</v>
      </c>
      <c r="F75" s="41">
        <f t="shared" si="5"/>
        <v>4730343.024</v>
      </c>
      <c r="G75" s="41">
        <f t="shared" si="6"/>
        <v>1055560</v>
      </c>
      <c r="H75" s="91"/>
      <c r="I75" s="91"/>
      <c r="J75" s="242"/>
    </row>
    <row r="76" spans="1:10" s="56" customFormat="1" ht="12.75">
      <c r="A76" s="97">
        <v>40907</v>
      </c>
      <c r="B76" s="367">
        <f t="shared" si="8"/>
        <v>91</v>
      </c>
      <c r="C76" s="99">
        <f t="shared" si="9"/>
        <v>478236000</v>
      </c>
      <c r="D76" s="99">
        <f>D75</f>
        <v>12925000</v>
      </c>
      <c r="E76" s="384">
        <f t="shared" si="4"/>
        <v>0.03672</v>
      </c>
      <c r="F76" s="99">
        <f t="shared" si="5"/>
        <v>4558956.402000001</v>
      </c>
      <c r="G76" s="99">
        <f t="shared" si="6"/>
        <v>1055560</v>
      </c>
      <c r="H76" s="359">
        <f>SUM(F73:G76)</f>
        <v>23229301.480000004</v>
      </c>
      <c r="I76" s="359">
        <f>SUM(D73:D76)</f>
        <v>51700000</v>
      </c>
      <c r="J76" s="360">
        <f>SUM(H76:I76)</f>
        <v>74929301.48</v>
      </c>
    </row>
    <row r="77" spans="1:10" s="56" customFormat="1" ht="12.75">
      <c r="A77" s="103">
        <v>40999</v>
      </c>
      <c r="B77" s="365">
        <f t="shared" si="8"/>
        <v>92</v>
      </c>
      <c r="C77" s="42">
        <f t="shared" si="9"/>
        <v>465311000</v>
      </c>
      <c r="D77" s="42">
        <v>12925000</v>
      </c>
      <c r="E77" s="382">
        <f t="shared" si="4"/>
        <v>0.03672</v>
      </c>
      <c r="F77" s="42">
        <f t="shared" si="5"/>
        <v>4487766.624000001</v>
      </c>
      <c r="G77" s="42">
        <f t="shared" si="6"/>
        <v>1055560</v>
      </c>
      <c r="H77" s="104"/>
      <c r="I77" s="104"/>
      <c r="J77" s="253"/>
    </row>
    <row r="78" spans="1:10" s="56" customFormat="1" ht="12.75">
      <c r="A78" s="90">
        <v>41090</v>
      </c>
      <c r="B78" s="366">
        <f t="shared" si="8"/>
        <v>91</v>
      </c>
      <c r="C78" s="41">
        <f t="shared" si="9"/>
        <v>452386000</v>
      </c>
      <c r="D78" s="41">
        <f>D77</f>
        <v>12925000</v>
      </c>
      <c r="E78" s="383">
        <f t="shared" si="4"/>
        <v>0.03672</v>
      </c>
      <c r="F78" s="41">
        <f t="shared" si="5"/>
        <v>4319016.7020000005</v>
      </c>
      <c r="G78" s="41">
        <f t="shared" si="6"/>
        <v>1055560</v>
      </c>
      <c r="H78" s="91"/>
      <c r="I78" s="91"/>
      <c r="J78" s="242"/>
    </row>
    <row r="79" spans="1:10" s="56" customFormat="1" ht="12.75">
      <c r="A79" s="90">
        <v>41182</v>
      </c>
      <c r="B79" s="366">
        <f t="shared" si="8"/>
        <v>92</v>
      </c>
      <c r="C79" s="41">
        <f t="shared" si="9"/>
        <v>439461000</v>
      </c>
      <c r="D79" s="41">
        <f>D78</f>
        <v>12925000</v>
      </c>
      <c r="E79" s="383">
        <f t="shared" si="4"/>
        <v>0.03672</v>
      </c>
      <c r="F79" s="41">
        <f t="shared" si="5"/>
        <v>4245190.224</v>
      </c>
      <c r="G79" s="41">
        <f t="shared" si="6"/>
        <v>1055560</v>
      </c>
      <c r="H79" s="91"/>
      <c r="I79" s="91"/>
      <c r="J79" s="242"/>
    </row>
    <row r="80" spans="1:10" s="56" customFormat="1" ht="12.75">
      <c r="A80" s="97">
        <v>41273</v>
      </c>
      <c r="B80" s="367">
        <f t="shared" si="8"/>
        <v>91</v>
      </c>
      <c r="C80" s="99">
        <f t="shared" si="9"/>
        <v>426536000</v>
      </c>
      <c r="D80" s="99">
        <f>D79</f>
        <v>12925000</v>
      </c>
      <c r="E80" s="384">
        <f t="shared" si="4"/>
        <v>0.03672</v>
      </c>
      <c r="F80" s="99">
        <f t="shared" si="5"/>
        <v>4079077.0020000003</v>
      </c>
      <c r="G80" s="99">
        <f t="shared" si="6"/>
        <v>1055560</v>
      </c>
      <c r="H80" s="359">
        <f>SUM(F77:G80)</f>
        <v>21353290.552</v>
      </c>
      <c r="I80" s="359">
        <f>SUM(D77:D80)</f>
        <v>51700000</v>
      </c>
      <c r="J80" s="360">
        <f>SUM(H80:I80)</f>
        <v>73053290.552</v>
      </c>
    </row>
    <row r="81" spans="1:10" s="56" customFormat="1" ht="12.75">
      <c r="A81" s="103">
        <v>41364</v>
      </c>
      <c r="B81" s="365">
        <f t="shared" si="8"/>
        <v>91</v>
      </c>
      <c r="C81" s="42">
        <f t="shared" si="9"/>
        <v>413611000</v>
      </c>
      <c r="D81" s="42">
        <v>12925000</v>
      </c>
      <c r="E81" s="382">
        <f t="shared" si="4"/>
        <v>0.03672</v>
      </c>
      <c r="F81" s="42">
        <f t="shared" si="5"/>
        <v>3959107.1520000007</v>
      </c>
      <c r="G81" s="42">
        <f t="shared" si="6"/>
        <v>1055560</v>
      </c>
      <c r="H81" s="104"/>
      <c r="I81" s="104"/>
      <c r="J81" s="253"/>
    </row>
    <row r="82" spans="1:10" s="56" customFormat="1" ht="12.75">
      <c r="A82" s="90">
        <v>41455</v>
      </c>
      <c r="B82" s="366">
        <f t="shared" si="8"/>
        <v>91</v>
      </c>
      <c r="C82" s="41">
        <f t="shared" si="9"/>
        <v>400686000</v>
      </c>
      <c r="D82" s="41">
        <f>D81</f>
        <v>12925000</v>
      </c>
      <c r="E82" s="383">
        <f t="shared" si="4"/>
        <v>0.03672</v>
      </c>
      <c r="F82" s="41">
        <f t="shared" si="5"/>
        <v>3839137.3020000006</v>
      </c>
      <c r="G82" s="41">
        <f t="shared" si="6"/>
        <v>1055560</v>
      </c>
      <c r="H82" s="91"/>
      <c r="I82" s="91"/>
      <c r="J82" s="242"/>
    </row>
    <row r="83" spans="1:10" s="56" customFormat="1" ht="12.75">
      <c r="A83" s="90">
        <v>41547</v>
      </c>
      <c r="B83" s="366">
        <f t="shared" si="8"/>
        <v>92</v>
      </c>
      <c r="C83" s="41">
        <f t="shared" si="9"/>
        <v>387761000</v>
      </c>
      <c r="D83" s="41">
        <f>D82</f>
        <v>12925000</v>
      </c>
      <c r="E83" s="383">
        <f t="shared" si="4"/>
        <v>0.03672</v>
      </c>
      <c r="F83" s="41">
        <f t="shared" si="5"/>
        <v>3760037.424</v>
      </c>
      <c r="G83" s="41">
        <f t="shared" si="6"/>
        <v>1055560</v>
      </c>
      <c r="H83" s="91"/>
      <c r="I83" s="91"/>
      <c r="J83" s="242"/>
    </row>
    <row r="84" spans="1:10" s="56" customFormat="1" ht="12.75">
      <c r="A84" s="97">
        <v>41638</v>
      </c>
      <c r="B84" s="367">
        <f t="shared" si="8"/>
        <v>91</v>
      </c>
      <c r="C84" s="99">
        <f t="shared" si="9"/>
        <v>374836000</v>
      </c>
      <c r="D84" s="99">
        <f>D83</f>
        <v>12925000</v>
      </c>
      <c r="E84" s="384">
        <f t="shared" si="4"/>
        <v>0.03672</v>
      </c>
      <c r="F84" s="99">
        <f t="shared" si="5"/>
        <v>3599197.6020000004</v>
      </c>
      <c r="G84" s="99">
        <f t="shared" si="6"/>
        <v>1055560</v>
      </c>
      <c r="H84" s="359">
        <f>SUM(F81:G84)</f>
        <v>19379719.480000004</v>
      </c>
      <c r="I84" s="359">
        <f>SUM(D81:D84)</f>
        <v>51700000</v>
      </c>
      <c r="J84" s="360">
        <f>SUM(H84:I84)</f>
        <v>71079719.48</v>
      </c>
    </row>
    <row r="85" spans="1:10" s="56" customFormat="1" ht="12.75">
      <c r="A85" s="103">
        <v>41729</v>
      </c>
      <c r="B85" s="365">
        <f t="shared" si="8"/>
        <v>91</v>
      </c>
      <c r="C85" s="42">
        <f t="shared" si="9"/>
        <v>361911000</v>
      </c>
      <c r="D85" s="42">
        <v>12925000</v>
      </c>
      <c r="E85" s="382">
        <f t="shared" si="4"/>
        <v>0.03672</v>
      </c>
      <c r="F85" s="42">
        <f t="shared" si="5"/>
        <v>3479227.7520000003</v>
      </c>
      <c r="G85" s="42">
        <f t="shared" si="6"/>
        <v>1055560</v>
      </c>
      <c r="H85" s="104"/>
      <c r="I85" s="104"/>
      <c r="J85" s="253"/>
    </row>
    <row r="86" spans="1:10" s="56" customFormat="1" ht="12.75">
      <c r="A86" s="90">
        <v>41820</v>
      </c>
      <c r="B86" s="366">
        <f t="shared" si="8"/>
        <v>91</v>
      </c>
      <c r="C86" s="41">
        <f t="shared" si="9"/>
        <v>348986000</v>
      </c>
      <c r="D86" s="41">
        <f>D85</f>
        <v>12925000</v>
      </c>
      <c r="E86" s="383">
        <f t="shared" si="4"/>
        <v>0.03672</v>
      </c>
      <c r="F86" s="41">
        <f t="shared" si="5"/>
        <v>3359257.9020000007</v>
      </c>
      <c r="G86" s="41">
        <f t="shared" si="6"/>
        <v>1055560</v>
      </c>
      <c r="H86" s="91"/>
      <c r="I86" s="91"/>
      <c r="J86" s="242"/>
    </row>
    <row r="87" spans="1:10" s="56" customFormat="1" ht="12.75">
      <c r="A87" s="90">
        <v>41912</v>
      </c>
      <c r="B87" s="366">
        <f t="shared" si="8"/>
        <v>92</v>
      </c>
      <c r="C87" s="41">
        <f t="shared" si="9"/>
        <v>336061000</v>
      </c>
      <c r="D87" s="41">
        <f>D86</f>
        <v>12925000</v>
      </c>
      <c r="E87" s="383">
        <f t="shared" si="4"/>
        <v>0.03672</v>
      </c>
      <c r="F87" s="41">
        <f t="shared" si="5"/>
        <v>3274884.624000001</v>
      </c>
      <c r="G87" s="41">
        <f t="shared" si="6"/>
        <v>1055560</v>
      </c>
      <c r="H87" s="91"/>
      <c r="I87" s="91"/>
      <c r="J87" s="242"/>
    </row>
    <row r="88" spans="1:10" s="56" customFormat="1" ht="12.75">
      <c r="A88" s="97">
        <v>42003</v>
      </c>
      <c r="B88" s="367">
        <f t="shared" si="8"/>
        <v>91</v>
      </c>
      <c r="C88" s="99">
        <f t="shared" si="9"/>
        <v>323136000</v>
      </c>
      <c r="D88" s="99">
        <f>D87</f>
        <v>12925000</v>
      </c>
      <c r="E88" s="384">
        <f t="shared" si="4"/>
        <v>0.03672</v>
      </c>
      <c r="F88" s="99">
        <f t="shared" si="5"/>
        <v>3119318.202</v>
      </c>
      <c r="G88" s="99">
        <f t="shared" si="6"/>
        <v>1055560</v>
      </c>
      <c r="H88" s="359">
        <f>SUM(F85:G88)</f>
        <v>17454928.48</v>
      </c>
      <c r="I88" s="359">
        <f>SUM(D85:D88)</f>
        <v>51700000</v>
      </c>
      <c r="J88" s="360">
        <f>SUM(H88:I88)</f>
        <v>69154928.48</v>
      </c>
    </row>
    <row r="89" spans="1:10" s="56" customFormat="1" ht="12.75">
      <c r="A89" s="103">
        <v>42094</v>
      </c>
      <c r="B89" s="365">
        <f t="shared" si="8"/>
        <v>91</v>
      </c>
      <c r="C89" s="42">
        <f t="shared" si="9"/>
        <v>310211000</v>
      </c>
      <c r="D89" s="42">
        <v>12925000</v>
      </c>
      <c r="E89" s="382">
        <f aca="true" t="shared" si="10" ref="E89:E113">E88</f>
        <v>0.03672</v>
      </c>
      <c r="F89" s="42">
        <f aca="true" t="shared" si="11" ref="F89:F113">((C89+D89)*E89/360*B89)</f>
        <v>2999348.3520000004</v>
      </c>
      <c r="G89" s="42">
        <f aca="true" t="shared" si="12" ref="G89:G113">G88</f>
        <v>1055560</v>
      </c>
      <c r="H89" s="104"/>
      <c r="I89" s="104"/>
      <c r="J89" s="253"/>
    </row>
    <row r="90" spans="1:10" s="56" customFormat="1" ht="12.75">
      <c r="A90" s="90">
        <v>42185</v>
      </c>
      <c r="B90" s="366">
        <f t="shared" si="8"/>
        <v>91</v>
      </c>
      <c r="C90" s="41">
        <f t="shared" si="9"/>
        <v>297286000</v>
      </c>
      <c r="D90" s="41">
        <f>D89</f>
        <v>12925000</v>
      </c>
      <c r="E90" s="383">
        <f t="shared" si="10"/>
        <v>0.03672</v>
      </c>
      <c r="F90" s="41">
        <f t="shared" si="11"/>
        <v>2879378.502</v>
      </c>
      <c r="G90" s="41">
        <f t="shared" si="12"/>
        <v>1055560</v>
      </c>
      <c r="H90" s="91"/>
      <c r="I90" s="91"/>
      <c r="J90" s="242"/>
    </row>
    <row r="91" spans="1:10" s="56" customFormat="1" ht="12.75">
      <c r="A91" s="90">
        <v>42277</v>
      </c>
      <c r="B91" s="366">
        <f t="shared" si="8"/>
        <v>92</v>
      </c>
      <c r="C91" s="41">
        <f t="shared" si="9"/>
        <v>284361000</v>
      </c>
      <c r="D91" s="41">
        <f>D90</f>
        <v>12925000</v>
      </c>
      <c r="E91" s="383">
        <f t="shared" si="10"/>
        <v>0.03672</v>
      </c>
      <c r="F91" s="41">
        <f t="shared" si="11"/>
        <v>2789731.824</v>
      </c>
      <c r="G91" s="41">
        <f t="shared" si="12"/>
        <v>1055560</v>
      </c>
      <c r="H91" s="91"/>
      <c r="I91" s="91"/>
      <c r="J91" s="242"/>
    </row>
    <row r="92" spans="1:10" s="56" customFormat="1" ht="12.75">
      <c r="A92" s="97">
        <v>42368</v>
      </c>
      <c r="B92" s="367">
        <f t="shared" si="8"/>
        <v>91</v>
      </c>
      <c r="C92" s="99">
        <f t="shared" si="9"/>
        <v>271436000</v>
      </c>
      <c r="D92" s="99">
        <f>D91</f>
        <v>12925000</v>
      </c>
      <c r="E92" s="384">
        <f t="shared" si="10"/>
        <v>0.03672</v>
      </c>
      <c r="F92" s="99">
        <f t="shared" si="11"/>
        <v>2639438.802</v>
      </c>
      <c r="G92" s="99">
        <f t="shared" si="12"/>
        <v>1055560</v>
      </c>
      <c r="H92" s="359">
        <f>SUM(F89:G92)</f>
        <v>15530137.48</v>
      </c>
      <c r="I92" s="359">
        <f>SUM(D89:D92)</f>
        <v>51700000</v>
      </c>
      <c r="J92" s="360">
        <f>SUM(H92:I92)</f>
        <v>67230137.48</v>
      </c>
    </row>
    <row r="93" spans="1:10" s="56" customFormat="1" ht="12.75">
      <c r="A93" s="103">
        <v>42460</v>
      </c>
      <c r="B93" s="365">
        <f t="shared" si="8"/>
        <v>92</v>
      </c>
      <c r="C93" s="42">
        <f t="shared" si="9"/>
        <v>258511000</v>
      </c>
      <c r="D93" s="42">
        <v>12925000</v>
      </c>
      <c r="E93" s="382">
        <f t="shared" si="10"/>
        <v>0.03672</v>
      </c>
      <c r="F93" s="42">
        <f t="shared" si="11"/>
        <v>2547155.424</v>
      </c>
      <c r="G93" s="42">
        <f t="shared" si="12"/>
        <v>1055560</v>
      </c>
      <c r="H93" s="104"/>
      <c r="I93" s="104"/>
      <c r="J93" s="253"/>
    </row>
    <row r="94" spans="1:10" s="56" customFormat="1" ht="12.75">
      <c r="A94" s="90">
        <v>42551</v>
      </c>
      <c r="B94" s="366">
        <f t="shared" si="8"/>
        <v>91</v>
      </c>
      <c r="C94" s="41">
        <f t="shared" si="9"/>
        <v>245586000</v>
      </c>
      <c r="D94" s="41">
        <f>D93</f>
        <v>12925000</v>
      </c>
      <c r="E94" s="383">
        <f t="shared" si="10"/>
        <v>0.03672</v>
      </c>
      <c r="F94" s="41">
        <f t="shared" si="11"/>
        <v>2399499.102</v>
      </c>
      <c r="G94" s="41">
        <f t="shared" si="12"/>
        <v>1055560</v>
      </c>
      <c r="H94" s="91"/>
      <c r="I94" s="91"/>
      <c r="J94" s="242"/>
    </row>
    <row r="95" spans="1:10" s="56" customFormat="1" ht="12.75">
      <c r="A95" s="90">
        <v>42643</v>
      </c>
      <c r="B95" s="366">
        <f t="shared" si="8"/>
        <v>92</v>
      </c>
      <c r="C95" s="41">
        <f t="shared" si="9"/>
        <v>232661000</v>
      </c>
      <c r="D95" s="41">
        <f>D94</f>
        <v>12925000</v>
      </c>
      <c r="E95" s="383">
        <f t="shared" si="10"/>
        <v>0.03672</v>
      </c>
      <c r="F95" s="41">
        <f t="shared" si="11"/>
        <v>2304579.024</v>
      </c>
      <c r="G95" s="41">
        <f t="shared" si="12"/>
        <v>1055560</v>
      </c>
      <c r="H95" s="91"/>
      <c r="I95" s="91"/>
      <c r="J95" s="242"/>
    </row>
    <row r="96" spans="1:10" s="56" customFormat="1" ht="12.75">
      <c r="A96" s="97">
        <v>42734</v>
      </c>
      <c r="B96" s="367">
        <f t="shared" si="8"/>
        <v>91</v>
      </c>
      <c r="C96" s="99">
        <f t="shared" si="9"/>
        <v>219736000</v>
      </c>
      <c r="D96" s="99">
        <f>D95</f>
        <v>12925000</v>
      </c>
      <c r="E96" s="384">
        <f t="shared" si="10"/>
        <v>0.03672</v>
      </c>
      <c r="F96" s="99">
        <f t="shared" si="11"/>
        <v>2159559.402</v>
      </c>
      <c r="G96" s="99">
        <f t="shared" si="12"/>
        <v>1055560</v>
      </c>
      <c r="H96" s="359">
        <f>SUM(F93:G96)</f>
        <v>13633032.952</v>
      </c>
      <c r="I96" s="359">
        <f>SUM(D93:D96)</f>
        <v>51700000</v>
      </c>
      <c r="J96" s="360">
        <f>SUM(H96:I96)</f>
        <v>65333032.952</v>
      </c>
    </row>
    <row r="97" spans="1:10" s="56" customFormat="1" ht="12.75">
      <c r="A97" s="103">
        <v>42825</v>
      </c>
      <c r="B97" s="365">
        <f t="shared" si="8"/>
        <v>91</v>
      </c>
      <c r="C97" s="42">
        <f t="shared" si="9"/>
        <v>206811000</v>
      </c>
      <c r="D97" s="42">
        <v>12925000</v>
      </c>
      <c r="E97" s="382">
        <f t="shared" si="10"/>
        <v>0.03672</v>
      </c>
      <c r="F97" s="42">
        <f t="shared" si="11"/>
        <v>2039589.5520000004</v>
      </c>
      <c r="G97" s="42">
        <f t="shared" si="12"/>
        <v>1055560</v>
      </c>
      <c r="H97" s="104"/>
      <c r="I97" s="104"/>
      <c r="J97" s="253"/>
    </row>
    <row r="98" spans="1:10" s="56" customFormat="1" ht="12.75">
      <c r="A98" s="90">
        <v>42916</v>
      </c>
      <c r="B98" s="366">
        <f t="shared" si="8"/>
        <v>91</v>
      </c>
      <c r="C98" s="41">
        <f t="shared" si="9"/>
        <v>193886000</v>
      </c>
      <c r="D98" s="41">
        <f>D97</f>
        <v>12925000</v>
      </c>
      <c r="E98" s="383">
        <f t="shared" si="10"/>
        <v>0.03672</v>
      </c>
      <c r="F98" s="41">
        <f t="shared" si="11"/>
        <v>1919619.702</v>
      </c>
      <c r="G98" s="41">
        <f t="shared" si="12"/>
        <v>1055560</v>
      </c>
      <c r="H98" s="91"/>
      <c r="I98" s="91"/>
      <c r="J98" s="242"/>
    </row>
    <row r="99" spans="1:10" s="56" customFormat="1" ht="12.75">
      <c r="A99" s="90">
        <v>43008</v>
      </c>
      <c r="B99" s="366">
        <f t="shared" si="8"/>
        <v>92</v>
      </c>
      <c r="C99" s="41">
        <f t="shared" si="9"/>
        <v>180961000</v>
      </c>
      <c r="D99" s="41">
        <f>D98</f>
        <v>12925000</v>
      </c>
      <c r="E99" s="383">
        <f t="shared" si="10"/>
        <v>0.03672</v>
      </c>
      <c r="F99" s="41">
        <f t="shared" si="11"/>
        <v>1819426.2240000004</v>
      </c>
      <c r="G99" s="41">
        <f t="shared" si="12"/>
        <v>1055560</v>
      </c>
      <c r="H99" s="91"/>
      <c r="I99" s="91"/>
      <c r="J99" s="242"/>
    </row>
    <row r="100" spans="1:10" s="56" customFormat="1" ht="12.75">
      <c r="A100" s="97">
        <v>43099</v>
      </c>
      <c r="B100" s="367">
        <f t="shared" si="8"/>
        <v>91</v>
      </c>
      <c r="C100" s="99">
        <f t="shared" si="9"/>
        <v>168036000</v>
      </c>
      <c r="D100" s="99">
        <f>D99</f>
        <v>12925000</v>
      </c>
      <c r="E100" s="384">
        <f t="shared" si="10"/>
        <v>0.03672</v>
      </c>
      <c r="F100" s="99">
        <f t="shared" si="11"/>
        <v>1679680.002</v>
      </c>
      <c r="G100" s="99">
        <f t="shared" si="12"/>
        <v>1055560</v>
      </c>
      <c r="H100" s="359">
        <f>SUM(F97:G100)</f>
        <v>11680555.48</v>
      </c>
      <c r="I100" s="359">
        <f>SUM(D97:D100)</f>
        <v>51700000</v>
      </c>
      <c r="J100" s="360">
        <f>SUM(H100:I100)</f>
        <v>63380555.480000004</v>
      </c>
    </row>
    <row r="101" spans="1:10" s="56" customFormat="1" ht="12.75">
      <c r="A101" s="103">
        <v>43190</v>
      </c>
      <c r="B101" s="365">
        <f t="shared" si="8"/>
        <v>91</v>
      </c>
      <c r="C101" s="42">
        <f t="shared" si="9"/>
        <v>155111000</v>
      </c>
      <c r="D101" s="42">
        <v>12925000</v>
      </c>
      <c r="E101" s="382">
        <f t="shared" si="10"/>
        <v>0.03672</v>
      </c>
      <c r="F101" s="42">
        <f t="shared" si="11"/>
        <v>1559710.1520000002</v>
      </c>
      <c r="G101" s="42">
        <f t="shared" si="12"/>
        <v>1055560</v>
      </c>
      <c r="H101" s="104"/>
      <c r="I101" s="104"/>
      <c r="J101" s="253"/>
    </row>
    <row r="102" spans="1:10" s="56" customFormat="1" ht="12.75">
      <c r="A102" s="90">
        <v>43281</v>
      </c>
      <c r="B102" s="366">
        <f t="shared" si="8"/>
        <v>91</v>
      </c>
      <c r="C102" s="41">
        <f t="shared" si="9"/>
        <v>142186000</v>
      </c>
      <c r="D102" s="41">
        <f>D101</f>
        <v>12925000</v>
      </c>
      <c r="E102" s="383">
        <f t="shared" si="10"/>
        <v>0.03672</v>
      </c>
      <c r="F102" s="41">
        <f t="shared" si="11"/>
        <v>1439740.3020000001</v>
      </c>
      <c r="G102" s="41">
        <f t="shared" si="12"/>
        <v>1055560</v>
      </c>
      <c r="H102" s="91"/>
      <c r="I102" s="91"/>
      <c r="J102" s="242"/>
    </row>
    <row r="103" spans="1:10" s="56" customFormat="1" ht="12.75">
      <c r="A103" s="90">
        <v>43373</v>
      </c>
      <c r="B103" s="366">
        <f t="shared" si="8"/>
        <v>92</v>
      </c>
      <c r="C103" s="41">
        <f t="shared" si="9"/>
        <v>129261000</v>
      </c>
      <c r="D103" s="41">
        <f>D102</f>
        <v>12925000</v>
      </c>
      <c r="E103" s="383">
        <f t="shared" si="10"/>
        <v>0.03672</v>
      </c>
      <c r="F103" s="41">
        <f t="shared" si="11"/>
        <v>1334273.4239999999</v>
      </c>
      <c r="G103" s="41">
        <f t="shared" si="12"/>
        <v>1055560</v>
      </c>
      <c r="H103" s="91"/>
      <c r="I103" s="91"/>
      <c r="J103" s="242"/>
    </row>
    <row r="104" spans="1:10" s="56" customFormat="1" ht="12.75">
      <c r="A104" s="97">
        <v>43464</v>
      </c>
      <c r="B104" s="367">
        <f t="shared" si="8"/>
        <v>91</v>
      </c>
      <c r="C104" s="99">
        <f t="shared" si="9"/>
        <v>116336000</v>
      </c>
      <c r="D104" s="99">
        <f>D103</f>
        <v>12925000</v>
      </c>
      <c r="E104" s="384">
        <f t="shared" si="10"/>
        <v>0.03672</v>
      </c>
      <c r="F104" s="99">
        <f t="shared" si="11"/>
        <v>1199800.602</v>
      </c>
      <c r="G104" s="99">
        <f t="shared" si="12"/>
        <v>1055560</v>
      </c>
      <c r="H104" s="359">
        <f>SUM(F101:G104)</f>
        <v>9755764.48</v>
      </c>
      <c r="I104" s="359">
        <f>SUM(D101:D104)</f>
        <v>51700000</v>
      </c>
      <c r="J104" s="360">
        <f>SUM(H104:I104)</f>
        <v>61455764.480000004</v>
      </c>
    </row>
    <row r="105" spans="1:10" s="56" customFormat="1" ht="12.75">
      <c r="A105" s="103">
        <v>43555</v>
      </c>
      <c r="B105" s="365">
        <f t="shared" si="8"/>
        <v>91</v>
      </c>
      <c r="C105" s="42">
        <f t="shared" si="9"/>
        <v>103411000</v>
      </c>
      <c r="D105" s="42">
        <v>12925000</v>
      </c>
      <c r="E105" s="382">
        <f t="shared" si="10"/>
        <v>0.03672</v>
      </c>
      <c r="F105" s="42">
        <f t="shared" si="11"/>
        <v>1079830.7519999999</v>
      </c>
      <c r="G105" s="42">
        <f t="shared" si="12"/>
        <v>1055560</v>
      </c>
      <c r="H105" s="104"/>
      <c r="I105" s="104"/>
      <c r="J105" s="253"/>
    </row>
    <row r="106" spans="1:10" s="56" customFormat="1" ht="12.75">
      <c r="A106" s="90">
        <v>43646</v>
      </c>
      <c r="B106" s="366">
        <f t="shared" si="8"/>
        <v>91</v>
      </c>
      <c r="C106" s="41">
        <f t="shared" si="9"/>
        <v>90486000</v>
      </c>
      <c r="D106" s="41">
        <f>D105</f>
        <v>12925000</v>
      </c>
      <c r="E106" s="383">
        <f t="shared" si="10"/>
        <v>0.03672</v>
      </c>
      <c r="F106" s="41">
        <f t="shared" si="11"/>
        <v>959860.902</v>
      </c>
      <c r="G106" s="41">
        <f t="shared" si="12"/>
        <v>1055560</v>
      </c>
      <c r="H106" s="91"/>
      <c r="I106" s="91"/>
      <c r="J106" s="242"/>
    </row>
    <row r="107" spans="1:10" s="56" customFormat="1" ht="12.75">
      <c r="A107" s="90">
        <v>43738</v>
      </c>
      <c r="B107" s="366">
        <f t="shared" si="8"/>
        <v>92</v>
      </c>
      <c r="C107" s="41">
        <f t="shared" si="9"/>
        <v>77561000</v>
      </c>
      <c r="D107" s="41">
        <f>D106</f>
        <v>12925000</v>
      </c>
      <c r="E107" s="383">
        <f t="shared" si="10"/>
        <v>0.03672</v>
      </c>
      <c r="F107" s="41">
        <f t="shared" si="11"/>
        <v>849120.6240000002</v>
      </c>
      <c r="G107" s="41">
        <f t="shared" si="12"/>
        <v>1055560</v>
      </c>
      <c r="H107" s="91"/>
      <c r="I107" s="91"/>
      <c r="J107" s="242"/>
    </row>
    <row r="108" spans="1:10" s="56" customFormat="1" ht="12.75">
      <c r="A108" s="97">
        <v>43829</v>
      </c>
      <c r="B108" s="367">
        <f t="shared" si="8"/>
        <v>91</v>
      </c>
      <c r="C108" s="99">
        <f t="shared" si="9"/>
        <v>64636000</v>
      </c>
      <c r="D108" s="99">
        <f>D107</f>
        <v>12925000</v>
      </c>
      <c r="E108" s="384">
        <f t="shared" si="10"/>
        <v>0.03672</v>
      </c>
      <c r="F108" s="99">
        <f t="shared" si="11"/>
        <v>719921.202</v>
      </c>
      <c r="G108" s="99">
        <f t="shared" si="12"/>
        <v>1055560</v>
      </c>
      <c r="H108" s="359">
        <f>SUM(F105:G108)</f>
        <v>7830973.48</v>
      </c>
      <c r="I108" s="359">
        <f>SUM(D105:D108)</f>
        <v>51700000</v>
      </c>
      <c r="J108" s="360">
        <f>SUM(H108:I108)</f>
        <v>59530973.480000004</v>
      </c>
    </row>
    <row r="109" spans="1:10" s="56" customFormat="1" ht="12.75">
      <c r="A109" s="103">
        <v>43921</v>
      </c>
      <c r="B109" s="365">
        <f t="shared" si="8"/>
        <v>92</v>
      </c>
      <c r="C109" s="42">
        <f t="shared" si="9"/>
        <v>51711000</v>
      </c>
      <c r="D109" s="42">
        <v>12925000</v>
      </c>
      <c r="E109" s="382">
        <f t="shared" si="10"/>
        <v>0.03672</v>
      </c>
      <c r="F109" s="42">
        <f t="shared" si="11"/>
        <v>606544.2240000002</v>
      </c>
      <c r="G109" s="42">
        <f t="shared" si="12"/>
        <v>1055560</v>
      </c>
      <c r="H109" s="104"/>
      <c r="I109" s="104"/>
      <c r="J109" s="253"/>
    </row>
    <row r="110" spans="1:10" s="56" customFormat="1" ht="12.75">
      <c r="A110" s="90">
        <v>44012</v>
      </c>
      <c r="B110" s="366">
        <f t="shared" si="8"/>
        <v>91</v>
      </c>
      <c r="C110" s="41">
        <f t="shared" si="9"/>
        <v>38786000</v>
      </c>
      <c r="D110" s="41">
        <f>D109</f>
        <v>12925000</v>
      </c>
      <c r="E110" s="383">
        <f t="shared" si="10"/>
        <v>0.03672</v>
      </c>
      <c r="F110" s="41">
        <f t="shared" si="11"/>
        <v>479981.5020000001</v>
      </c>
      <c r="G110" s="41">
        <f t="shared" si="12"/>
        <v>1055560</v>
      </c>
      <c r="H110" s="91"/>
      <c r="I110" s="91"/>
      <c r="J110" s="242"/>
    </row>
    <row r="111" spans="1:10" s="56" customFormat="1" ht="12.75">
      <c r="A111" s="90">
        <v>44104</v>
      </c>
      <c r="B111" s="366">
        <f t="shared" si="8"/>
        <v>92</v>
      </c>
      <c r="C111" s="41">
        <f t="shared" si="9"/>
        <v>25861000</v>
      </c>
      <c r="D111" s="41">
        <f>D110</f>
        <v>12925000</v>
      </c>
      <c r="E111" s="383">
        <f t="shared" si="10"/>
        <v>0.03672</v>
      </c>
      <c r="F111" s="41">
        <f t="shared" si="11"/>
        <v>363967.824</v>
      </c>
      <c r="G111" s="41">
        <f t="shared" si="12"/>
        <v>1055560</v>
      </c>
      <c r="H111" s="91"/>
      <c r="I111" s="91"/>
      <c r="J111" s="242"/>
    </row>
    <row r="112" spans="1:10" s="56" customFormat="1" ht="12.75">
      <c r="A112" s="97">
        <v>44195</v>
      </c>
      <c r="B112" s="367">
        <f t="shared" si="8"/>
        <v>91</v>
      </c>
      <c r="C112" s="99">
        <f t="shared" si="9"/>
        <v>12936000</v>
      </c>
      <c r="D112" s="99">
        <f>D111</f>
        <v>12925000</v>
      </c>
      <c r="E112" s="384">
        <f t="shared" si="10"/>
        <v>0.03672</v>
      </c>
      <c r="F112" s="99">
        <f t="shared" si="11"/>
        <v>240041.80200000003</v>
      </c>
      <c r="G112" s="99">
        <f t="shared" si="12"/>
        <v>1055560</v>
      </c>
      <c r="H112" s="359">
        <f>SUM(F109:G112)</f>
        <v>5912775.352000001</v>
      </c>
      <c r="I112" s="359">
        <f>SUM(D109:D112)</f>
        <v>51700000</v>
      </c>
      <c r="J112" s="360">
        <f>SUM(H112:I112)</f>
        <v>57612775.352</v>
      </c>
    </row>
    <row r="113" spans="1:10" s="56" customFormat="1" ht="13.5" thickBot="1">
      <c r="A113" s="103">
        <v>44286</v>
      </c>
      <c r="B113" s="365">
        <f t="shared" si="8"/>
        <v>91</v>
      </c>
      <c r="C113" s="42">
        <f t="shared" si="9"/>
        <v>0</v>
      </c>
      <c r="D113" s="42">
        <v>12936000</v>
      </c>
      <c r="E113" s="382">
        <f t="shared" si="10"/>
        <v>0.03672</v>
      </c>
      <c r="F113" s="42">
        <f t="shared" si="11"/>
        <v>120071.95200000002</v>
      </c>
      <c r="G113" s="42">
        <f t="shared" si="12"/>
        <v>1055560</v>
      </c>
      <c r="H113" s="394">
        <f>SUM(F113:G113)</f>
        <v>1175631.952</v>
      </c>
      <c r="I113" s="394">
        <f>SUM(D113)</f>
        <v>12936000</v>
      </c>
      <c r="J113" s="395">
        <f>SUM(H113:I113)</f>
        <v>14111631.952</v>
      </c>
    </row>
    <row r="114" spans="1:10" ht="13.5" thickTop="1">
      <c r="A114" s="471" t="s">
        <v>14</v>
      </c>
      <c r="B114" s="472"/>
      <c r="C114" s="473"/>
      <c r="D114" s="120">
        <f>SUM(D15:D113)</f>
        <v>633336000</v>
      </c>
      <c r="E114" s="385"/>
      <c r="F114" s="120">
        <f>SUM(F15:F113)</f>
        <v>197461033.98379204</v>
      </c>
      <c r="G114" s="120">
        <f>SUM(G6:G113)</f>
        <v>63333600</v>
      </c>
      <c r="H114" s="120">
        <f>SUM(H15:H113)</f>
        <v>260794633.98379198</v>
      </c>
      <c r="I114" s="120">
        <f>SUM(I15:I113)</f>
        <v>633336000</v>
      </c>
      <c r="J114" s="122">
        <f>SUM(J15:J113)</f>
        <v>894130633.9837922</v>
      </c>
    </row>
    <row r="115" spans="1:10" ht="12.75">
      <c r="A115" s="123"/>
      <c r="B115" s="124"/>
      <c r="E115" s="386"/>
      <c r="H115" s="124"/>
      <c r="J115" s="124"/>
    </row>
    <row r="116" spans="1:4" ht="12.75">
      <c r="A116" s="124"/>
      <c r="C116" s="58"/>
      <c r="D116" s="58"/>
    </row>
    <row r="117" spans="1:8" ht="12.75">
      <c r="A117" s="124"/>
      <c r="C117" s="58"/>
      <c r="D117" s="380" t="s">
        <v>3</v>
      </c>
      <c r="F117" s="380" t="s">
        <v>131</v>
      </c>
      <c r="G117" s="380" t="s">
        <v>169</v>
      </c>
      <c r="H117" s="380" t="s">
        <v>170</v>
      </c>
    </row>
    <row r="118" spans="1:8" ht="12.75">
      <c r="A118" s="275"/>
      <c r="B118" s="402"/>
      <c r="C118" s="402"/>
      <c r="D118" s="402"/>
      <c r="E118" s="403"/>
      <c r="F118" s="403" t="s">
        <v>167</v>
      </c>
      <c r="G118" s="403" t="s">
        <v>168</v>
      </c>
      <c r="H118" s="403" t="s">
        <v>171</v>
      </c>
    </row>
    <row r="119" spans="1:8" ht="12.75">
      <c r="A119" s="124" t="s">
        <v>158</v>
      </c>
      <c r="C119" s="58"/>
      <c r="D119" s="396">
        <v>38903</v>
      </c>
      <c r="F119" s="124">
        <v>5443230</v>
      </c>
      <c r="G119" s="124">
        <f>F119</f>
        <v>5443230</v>
      </c>
      <c r="H119" s="124">
        <f>633336000-G119</f>
        <v>627892770</v>
      </c>
    </row>
    <row r="120" spans="1:8" ht="12.75">
      <c r="A120" s="124" t="s">
        <v>159</v>
      </c>
      <c r="C120" s="58"/>
      <c r="D120" s="396">
        <v>38911</v>
      </c>
      <c r="F120" s="124">
        <v>14861674</v>
      </c>
      <c r="G120" s="124">
        <f>G119+F120</f>
        <v>20304904</v>
      </c>
      <c r="H120" s="124">
        <f aca="true" t="shared" si="13" ref="H120:H166">633336000-G120</f>
        <v>613031096</v>
      </c>
    </row>
    <row r="121" spans="1:8" ht="12.75">
      <c r="A121" s="124" t="s">
        <v>160</v>
      </c>
      <c r="C121" s="58"/>
      <c r="D121" s="396">
        <v>38912</v>
      </c>
      <c r="F121" s="124">
        <v>7286853</v>
      </c>
      <c r="G121" s="124">
        <f aca="true" t="shared" si="14" ref="G121:G127">G120+F121</f>
        <v>27591757</v>
      </c>
      <c r="H121" s="124">
        <f t="shared" si="13"/>
        <v>605744243</v>
      </c>
    </row>
    <row r="122" spans="1:8" ht="12.75">
      <c r="A122" s="124" t="s">
        <v>161</v>
      </c>
      <c r="C122" s="58"/>
      <c r="D122" s="396">
        <v>38915</v>
      </c>
      <c r="F122" s="124">
        <v>4178872</v>
      </c>
      <c r="G122" s="124">
        <f t="shared" si="14"/>
        <v>31770629</v>
      </c>
      <c r="H122" s="124">
        <f t="shared" si="13"/>
        <v>601565371</v>
      </c>
    </row>
    <row r="123" spans="1:8" ht="12.75">
      <c r="A123" s="124" t="s">
        <v>162</v>
      </c>
      <c r="C123" s="58"/>
      <c r="D123" s="396">
        <v>38917</v>
      </c>
      <c r="F123" s="124">
        <v>6994279</v>
      </c>
      <c r="G123" s="124">
        <f t="shared" si="14"/>
        <v>38764908</v>
      </c>
      <c r="H123" s="124">
        <f t="shared" si="13"/>
        <v>594571092</v>
      </c>
    </row>
    <row r="124" spans="1:8" ht="12.75">
      <c r="A124" s="124" t="s">
        <v>163</v>
      </c>
      <c r="C124" s="58"/>
      <c r="D124" s="396">
        <v>38918</v>
      </c>
      <c r="F124" s="124">
        <v>14509404</v>
      </c>
      <c r="G124" s="124">
        <f t="shared" si="14"/>
        <v>53274312</v>
      </c>
      <c r="H124" s="124">
        <f t="shared" si="13"/>
        <v>580061688</v>
      </c>
    </row>
    <row r="125" spans="1:8" ht="12.75">
      <c r="A125" s="124" t="s">
        <v>164</v>
      </c>
      <c r="C125" s="58"/>
      <c r="D125" s="396">
        <v>38923</v>
      </c>
      <c r="F125" s="124">
        <v>5009304</v>
      </c>
      <c r="G125" s="124">
        <f t="shared" si="14"/>
        <v>58283616</v>
      </c>
      <c r="H125" s="124">
        <f t="shared" si="13"/>
        <v>575052384</v>
      </c>
    </row>
    <row r="126" spans="1:8" ht="12.75">
      <c r="A126" s="124" t="s">
        <v>165</v>
      </c>
      <c r="C126" s="58"/>
      <c r="D126" s="396">
        <v>38931</v>
      </c>
      <c r="F126" s="124">
        <v>15582464</v>
      </c>
      <c r="G126" s="124">
        <f t="shared" si="14"/>
        <v>73866080</v>
      </c>
      <c r="H126" s="124">
        <f t="shared" si="13"/>
        <v>559469920</v>
      </c>
    </row>
    <row r="127" spans="1:8" ht="12.75">
      <c r="A127" s="124" t="s">
        <v>166</v>
      </c>
      <c r="C127" s="58"/>
      <c r="D127" s="396">
        <v>38937</v>
      </c>
      <c r="F127" s="124">
        <v>22312179</v>
      </c>
      <c r="G127" s="124">
        <f t="shared" si="14"/>
        <v>96178259</v>
      </c>
      <c r="H127" s="124">
        <f t="shared" si="13"/>
        <v>537157741</v>
      </c>
    </row>
    <row r="128" spans="1:8" ht="12.75">
      <c r="A128" s="124" t="s">
        <v>173</v>
      </c>
      <c r="C128" s="58"/>
      <c r="D128" s="396">
        <v>38958</v>
      </c>
      <c r="F128" s="124">
        <v>10837236</v>
      </c>
      <c r="G128" s="124">
        <f aca="true" t="shared" si="15" ref="G128:G135">G127+F128</f>
        <v>107015495</v>
      </c>
      <c r="H128" s="124">
        <f t="shared" si="13"/>
        <v>526320505</v>
      </c>
    </row>
    <row r="129" spans="1:8" ht="12.75">
      <c r="A129" s="124" t="s">
        <v>174</v>
      </c>
      <c r="C129" s="58"/>
      <c r="D129" s="396">
        <v>38959</v>
      </c>
      <c r="F129" s="124">
        <v>9704640</v>
      </c>
      <c r="G129" s="124">
        <f t="shared" si="15"/>
        <v>116720135</v>
      </c>
      <c r="H129" s="124">
        <f t="shared" si="13"/>
        <v>516615865</v>
      </c>
    </row>
    <row r="130" spans="1:8" ht="12.75">
      <c r="A130" s="124" t="s">
        <v>175</v>
      </c>
      <c r="C130" s="58"/>
      <c r="D130" s="396">
        <v>38960</v>
      </c>
      <c r="F130" s="124">
        <v>10112226</v>
      </c>
      <c r="G130" s="124">
        <f t="shared" si="15"/>
        <v>126832361</v>
      </c>
      <c r="H130" s="124">
        <f t="shared" si="13"/>
        <v>506503639</v>
      </c>
    </row>
    <row r="131" spans="1:8" ht="12.75">
      <c r="A131" s="124" t="s">
        <v>176</v>
      </c>
      <c r="C131" s="58"/>
      <c r="D131" s="396">
        <v>38961</v>
      </c>
      <c r="F131" s="124">
        <v>18167143</v>
      </c>
      <c r="G131" s="124">
        <f t="shared" si="15"/>
        <v>144999504</v>
      </c>
      <c r="H131" s="124">
        <f t="shared" si="13"/>
        <v>488336496</v>
      </c>
    </row>
    <row r="132" spans="1:8" ht="12.75">
      <c r="A132" s="124" t="s">
        <v>177</v>
      </c>
      <c r="C132" s="58"/>
      <c r="D132" s="396">
        <v>38964</v>
      </c>
      <c r="F132" s="124">
        <v>6055020</v>
      </c>
      <c r="G132" s="124">
        <f t="shared" si="15"/>
        <v>151054524</v>
      </c>
      <c r="H132" s="124">
        <f t="shared" si="13"/>
        <v>482281476</v>
      </c>
    </row>
    <row r="133" spans="1:8" ht="12.75">
      <c r="A133" s="124" t="s">
        <v>178</v>
      </c>
      <c r="C133" s="58"/>
      <c r="D133" s="396">
        <v>38968</v>
      </c>
      <c r="F133" s="124">
        <v>13292685</v>
      </c>
      <c r="G133" s="124">
        <f t="shared" si="15"/>
        <v>164347209</v>
      </c>
      <c r="H133" s="124">
        <f t="shared" si="13"/>
        <v>468988791</v>
      </c>
    </row>
    <row r="134" spans="1:8" ht="12.75">
      <c r="A134" s="124" t="s">
        <v>179</v>
      </c>
      <c r="C134" s="58"/>
      <c r="D134" s="396">
        <v>38971</v>
      </c>
      <c r="F134" s="124">
        <v>9983821</v>
      </c>
      <c r="G134" s="124">
        <f t="shared" si="15"/>
        <v>174331030</v>
      </c>
      <c r="H134" s="124">
        <f t="shared" si="13"/>
        <v>459004970</v>
      </c>
    </row>
    <row r="135" spans="1:8" ht="12.75">
      <c r="A135" s="124" t="s">
        <v>180</v>
      </c>
      <c r="C135" s="58"/>
      <c r="D135" s="396">
        <v>38973</v>
      </c>
      <c r="F135" s="124">
        <v>19303536</v>
      </c>
      <c r="G135" s="124">
        <f t="shared" si="15"/>
        <v>193634566</v>
      </c>
      <c r="H135" s="124">
        <f t="shared" si="13"/>
        <v>439701434</v>
      </c>
    </row>
    <row r="136" spans="1:8" ht="12.75">
      <c r="A136" s="124" t="s">
        <v>190</v>
      </c>
      <c r="C136" s="58"/>
      <c r="D136" s="396">
        <v>38980</v>
      </c>
      <c r="F136" s="124">
        <v>12352928</v>
      </c>
      <c r="G136" s="124">
        <f aca="true" t="shared" si="16" ref="G136:G151">G135+F136</f>
        <v>205987494</v>
      </c>
      <c r="H136" s="124">
        <f t="shared" si="13"/>
        <v>427348506</v>
      </c>
    </row>
    <row r="137" spans="1:8" ht="12.75">
      <c r="A137" s="124" t="s">
        <v>191</v>
      </c>
      <c r="C137" s="58"/>
      <c r="D137" s="396">
        <v>38982</v>
      </c>
      <c r="F137" s="124">
        <v>15572471</v>
      </c>
      <c r="G137" s="124">
        <f t="shared" si="16"/>
        <v>221559965</v>
      </c>
      <c r="H137" s="124">
        <f t="shared" si="13"/>
        <v>411776035</v>
      </c>
    </row>
    <row r="138" spans="1:8" ht="12.75">
      <c r="A138" s="124" t="s">
        <v>192</v>
      </c>
      <c r="C138" s="58"/>
      <c r="D138" s="396">
        <v>38986</v>
      </c>
      <c r="F138" s="124">
        <v>3519464</v>
      </c>
      <c r="G138" s="124">
        <f t="shared" si="16"/>
        <v>225079429</v>
      </c>
      <c r="H138" s="124">
        <f t="shared" si="13"/>
        <v>408256571</v>
      </c>
    </row>
    <row r="139" spans="1:8" ht="12.75">
      <c r="A139" s="124" t="s">
        <v>193</v>
      </c>
      <c r="C139" s="58"/>
      <c r="D139" s="396">
        <v>38988</v>
      </c>
      <c r="F139" s="124">
        <v>10058693</v>
      </c>
      <c r="G139" s="124">
        <f t="shared" si="16"/>
        <v>235138122</v>
      </c>
      <c r="H139" s="124">
        <f t="shared" si="13"/>
        <v>398197878</v>
      </c>
    </row>
    <row r="140" spans="1:8" ht="12.75">
      <c r="A140" s="124" t="s">
        <v>194</v>
      </c>
      <c r="C140" s="58"/>
      <c r="D140" s="396">
        <v>38989</v>
      </c>
      <c r="F140" s="124">
        <v>5301747</v>
      </c>
      <c r="G140" s="124">
        <f t="shared" si="16"/>
        <v>240439869</v>
      </c>
      <c r="H140" s="124">
        <f t="shared" si="13"/>
        <v>392896131</v>
      </c>
    </row>
    <row r="141" spans="1:8" ht="12.75">
      <c r="A141" s="124" t="s">
        <v>195</v>
      </c>
      <c r="C141" s="58"/>
      <c r="D141" s="396">
        <v>38995</v>
      </c>
      <c r="F141" s="124">
        <v>9236344</v>
      </c>
      <c r="G141" s="124">
        <f t="shared" si="16"/>
        <v>249676213</v>
      </c>
      <c r="H141" s="124">
        <f t="shared" si="13"/>
        <v>383659787</v>
      </c>
    </row>
    <row r="142" spans="1:8" ht="12.75">
      <c r="A142" s="124" t="s">
        <v>196</v>
      </c>
      <c r="C142" s="58"/>
      <c r="D142" s="396">
        <v>39000</v>
      </c>
      <c r="F142" s="124">
        <v>5655241</v>
      </c>
      <c r="G142" s="124">
        <f t="shared" si="16"/>
        <v>255331454</v>
      </c>
      <c r="H142" s="124">
        <f t="shared" si="13"/>
        <v>378004546</v>
      </c>
    </row>
    <row r="143" spans="1:8" ht="12.75">
      <c r="A143" s="124" t="s">
        <v>197</v>
      </c>
      <c r="C143" s="58"/>
      <c r="D143" s="396">
        <v>39002</v>
      </c>
      <c r="F143" s="124">
        <v>5046779</v>
      </c>
      <c r="G143" s="124">
        <f t="shared" si="16"/>
        <v>260378233</v>
      </c>
      <c r="H143" s="124">
        <f t="shared" si="13"/>
        <v>372957767</v>
      </c>
    </row>
    <row r="144" spans="1:8" ht="12.75">
      <c r="A144" s="124" t="s">
        <v>198</v>
      </c>
      <c r="C144" s="58"/>
      <c r="D144" s="396">
        <v>39003</v>
      </c>
      <c r="F144" s="124">
        <v>9441975</v>
      </c>
      <c r="G144" s="124">
        <f t="shared" si="16"/>
        <v>269820208</v>
      </c>
      <c r="H144" s="124">
        <f t="shared" si="13"/>
        <v>363515792</v>
      </c>
    </row>
    <row r="145" spans="1:8" ht="12.75">
      <c r="A145" s="124" t="s">
        <v>199</v>
      </c>
      <c r="C145" s="58"/>
      <c r="D145" s="396">
        <v>39007</v>
      </c>
      <c r="F145" s="124">
        <v>8766225</v>
      </c>
      <c r="G145" s="124">
        <f t="shared" si="16"/>
        <v>278586433</v>
      </c>
      <c r="H145" s="124">
        <f t="shared" si="13"/>
        <v>354749567</v>
      </c>
    </row>
    <row r="146" spans="1:8" ht="12.75">
      <c r="A146" s="124" t="s">
        <v>200</v>
      </c>
      <c r="C146" s="58"/>
      <c r="D146" s="396">
        <v>39014</v>
      </c>
      <c r="F146" s="124">
        <v>5759153</v>
      </c>
      <c r="G146" s="124">
        <f t="shared" si="16"/>
        <v>284345586</v>
      </c>
      <c r="H146" s="124">
        <f t="shared" si="13"/>
        <v>348990414</v>
      </c>
    </row>
    <row r="147" spans="1:8" ht="12.75">
      <c r="A147" s="124" t="s">
        <v>201</v>
      </c>
      <c r="C147" s="58"/>
      <c r="D147" s="396">
        <v>39015</v>
      </c>
      <c r="F147" s="124">
        <v>9770573</v>
      </c>
      <c r="G147" s="124">
        <f t="shared" si="16"/>
        <v>294116159</v>
      </c>
      <c r="H147" s="124">
        <f t="shared" si="13"/>
        <v>339219841</v>
      </c>
    </row>
    <row r="148" spans="1:8" ht="12.75">
      <c r="A148" s="124" t="s">
        <v>202</v>
      </c>
      <c r="C148" s="58"/>
      <c r="D148" s="396">
        <v>39016</v>
      </c>
      <c r="F148" s="124">
        <v>17109494</v>
      </c>
      <c r="G148" s="124">
        <f t="shared" si="16"/>
        <v>311225653</v>
      </c>
      <c r="H148" s="124">
        <f t="shared" si="13"/>
        <v>322110347</v>
      </c>
    </row>
    <row r="149" spans="1:8" ht="12.75">
      <c r="A149" s="124" t="s">
        <v>203</v>
      </c>
      <c r="C149" s="58"/>
      <c r="D149" s="396">
        <v>39017</v>
      </c>
      <c r="F149" s="124">
        <v>6734778</v>
      </c>
      <c r="G149" s="124">
        <f t="shared" si="16"/>
        <v>317960431</v>
      </c>
      <c r="H149" s="124">
        <f t="shared" si="13"/>
        <v>315375569</v>
      </c>
    </row>
    <row r="150" spans="1:8" ht="12.75">
      <c r="A150" s="124" t="s">
        <v>204</v>
      </c>
      <c r="C150" s="58"/>
      <c r="D150" s="396">
        <v>39023</v>
      </c>
      <c r="F150" s="124">
        <v>19510018</v>
      </c>
      <c r="G150" s="124">
        <f t="shared" si="16"/>
        <v>337470449</v>
      </c>
      <c r="H150" s="124">
        <f t="shared" si="13"/>
        <v>295865551</v>
      </c>
    </row>
    <row r="151" spans="1:8" ht="12.75">
      <c r="A151" s="124" t="s">
        <v>205</v>
      </c>
      <c r="C151" s="58"/>
      <c r="D151" s="396">
        <v>39029</v>
      </c>
      <c r="F151" s="124">
        <v>18835036</v>
      </c>
      <c r="G151" s="124">
        <f t="shared" si="16"/>
        <v>356305485</v>
      </c>
      <c r="H151" s="124">
        <f t="shared" si="13"/>
        <v>277030515</v>
      </c>
    </row>
    <row r="152" spans="1:8" ht="12.75">
      <c r="A152" s="124" t="s">
        <v>229</v>
      </c>
      <c r="C152" s="58"/>
      <c r="D152" s="396">
        <v>39037</v>
      </c>
      <c r="F152" s="124">
        <v>14299252</v>
      </c>
      <c r="G152" s="124">
        <f aca="true" t="shared" si="17" ref="G152:G165">G151+F152</f>
        <v>370604737</v>
      </c>
      <c r="H152" s="124">
        <f t="shared" si="13"/>
        <v>262731263</v>
      </c>
    </row>
    <row r="153" spans="1:8" ht="12.75">
      <c r="A153" s="124" t="s">
        <v>230</v>
      </c>
      <c r="C153" s="58"/>
      <c r="D153" s="396">
        <v>39043</v>
      </c>
      <c r="F153" s="124">
        <v>9536733</v>
      </c>
      <c r="G153" s="124">
        <f t="shared" si="17"/>
        <v>380141470</v>
      </c>
      <c r="H153" s="124">
        <f t="shared" si="13"/>
        <v>253194530</v>
      </c>
    </row>
    <row r="154" spans="1:8" ht="12.75">
      <c r="A154" s="124" t="s">
        <v>231</v>
      </c>
      <c r="C154" s="58"/>
      <c r="D154" s="396">
        <v>39049</v>
      </c>
      <c r="F154" s="124">
        <v>20100139</v>
      </c>
      <c r="G154" s="124">
        <f t="shared" si="17"/>
        <v>400241609</v>
      </c>
      <c r="H154" s="124">
        <f t="shared" si="13"/>
        <v>233094391</v>
      </c>
    </row>
    <row r="155" spans="1:8" ht="12.75">
      <c r="A155" s="124" t="s">
        <v>232</v>
      </c>
      <c r="C155" s="58"/>
      <c r="D155" s="396">
        <v>39051</v>
      </c>
      <c r="F155" s="124">
        <v>4162148</v>
      </c>
      <c r="G155" s="124">
        <f t="shared" si="17"/>
        <v>404403757</v>
      </c>
      <c r="H155" s="124">
        <f t="shared" si="13"/>
        <v>228932243</v>
      </c>
    </row>
    <row r="156" spans="1:8" ht="12.75">
      <c r="A156" s="124" t="s">
        <v>233</v>
      </c>
      <c r="C156" s="58"/>
      <c r="D156" s="396">
        <v>39052</v>
      </c>
      <c r="F156" s="124">
        <v>10158261</v>
      </c>
      <c r="G156" s="124">
        <f t="shared" si="17"/>
        <v>414562018</v>
      </c>
      <c r="H156" s="124">
        <f t="shared" si="13"/>
        <v>218773982</v>
      </c>
    </row>
    <row r="157" spans="1:8" ht="12.75">
      <c r="A157" s="124" t="s">
        <v>234</v>
      </c>
      <c r="C157" s="58"/>
      <c r="D157" s="396">
        <v>39057</v>
      </c>
      <c r="F157" s="124">
        <v>1621641</v>
      </c>
      <c r="G157" s="124">
        <f t="shared" si="17"/>
        <v>416183659</v>
      </c>
      <c r="H157" s="124">
        <f t="shared" si="13"/>
        <v>217152341</v>
      </c>
    </row>
    <row r="158" spans="1:8" ht="12.75">
      <c r="A158" s="124" t="s">
        <v>235</v>
      </c>
      <c r="C158" s="58"/>
      <c r="D158" s="396">
        <v>39058</v>
      </c>
      <c r="F158" s="124">
        <v>6750348</v>
      </c>
      <c r="G158" s="124">
        <f t="shared" si="17"/>
        <v>422934007</v>
      </c>
      <c r="H158" s="124">
        <f t="shared" si="13"/>
        <v>210401993</v>
      </c>
    </row>
    <row r="159" spans="1:8" ht="12.75">
      <c r="A159" s="124" t="s">
        <v>236</v>
      </c>
      <c r="C159" s="58"/>
      <c r="D159" s="396">
        <v>39063</v>
      </c>
      <c r="F159" s="124">
        <v>4892218</v>
      </c>
      <c r="G159" s="124">
        <f t="shared" si="17"/>
        <v>427826225</v>
      </c>
      <c r="H159" s="124">
        <f t="shared" si="13"/>
        <v>205509775</v>
      </c>
    </row>
    <row r="160" spans="1:8" ht="12.75">
      <c r="A160" s="124" t="s">
        <v>237</v>
      </c>
      <c r="C160" s="58"/>
      <c r="D160" s="396">
        <v>39065</v>
      </c>
      <c r="F160" s="124">
        <v>6917515</v>
      </c>
      <c r="G160" s="124">
        <f t="shared" si="17"/>
        <v>434743740</v>
      </c>
      <c r="H160" s="124">
        <f t="shared" si="13"/>
        <v>198592260</v>
      </c>
    </row>
    <row r="161" spans="1:8" ht="12.75">
      <c r="A161" s="124" t="s">
        <v>238</v>
      </c>
      <c r="C161" s="58"/>
      <c r="D161" s="396">
        <v>39069</v>
      </c>
      <c r="F161" s="124">
        <v>7660828</v>
      </c>
      <c r="G161" s="124">
        <f t="shared" si="17"/>
        <v>442404568</v>
      </c>
      <c r="H161" s="124">
        <f t="shared" si="13"/>
        <v>190931432</v>
      </c>
    </row>
    <row r="162" spans="1:8" ht="12.75">
      <c r="A162" s="124" t="s">
        <v>239</v>
      </c>
      <c r="C162" s="58"/>
      <c r="D162" s="396">
        <v>39072</v>
      </c>
      <c r="F162" s="124">
        <v>5306040</v>
      </c>
      <c r="G162" s="124">
        <f t="shared" si="17"/>
        <v>447710608</v>
      </c>
      <c r="H162" s="124">
        <f t="shared" si="13"/>
        <v>185625392</v>
      </c>
    </row>
    <row r="163" spans="1:8" ht="12.75">
      <c r="A163" s="124" t="s">
        <v>240</v>
      </c>
      <c r="C163" s="58"/>
      <c r="D163" s="396">
        <v>39073</v>
      </c>
      <c r="F163" s="124">
        <v>15747198</v>
      </c>
      <c r="G163" s="124">
        <f t="shared" si="17"/>
        <v>463457806</v>
      </c>
      <c r="H163" s="124">
        <f t="shared" si="13"/>
        <v>169878194</v>
      </c>
    </row>
    <row r="164" spans="1:8" ht="12.75">
      <c r="A164" s="124" t="s">
        <v>241</v>
      </c>
      <c r="C164" s="58"/>
      <c r="D164" s="396">
        <v>39080</v>
      </c>
      <c r="F164" s="124">
        <v>28932285</v>
      </c>
      <c r="G164" s="124">
        <f t="shared" si="17"/>
        <v>492390091</v>
      </c>
      <c r="H164" s="124">
        <f t="shared" si="13"/>
        <v>140945909</v>
      </c>
    </row>
    <row r="165" spans="1:8" ht="12.75">
      <c r="A165" s="124" t="s">
        <v>242</v>
      </c>
      <c r="C165" s="58"/>
      <c r="D165" s="396">
        <v>39090</v>
      </c>
      <c r="F165" s="124">
        <v>24810134</v>
      </c>
      <c r="G165" s="124">
        <f t="shared" si="17"/>
        <v>517200225</v>
      </c>
      <c r="H165" s="124">
        <f t="shared" si="13"/>
        <v>116135775</v>
      </c>
    </row>
    <row r="166" spans="1:8" ht="13.5" thickBot="1">
      <c r="A166" s="124" t="s">
        <v>206</v>
      </c>
      <c r="D166" s="396">
        <v>39128</v>
      </c>
      <c r="F166" s="124">
        <v>116135775</v>
      </c>
      <c r="G166" s="124">
        <f>G165+F166</f>
        <v>633336000</v>
      </c>
      <c r="H166" s="124">
        <f t="shared" si="13"/>
        <v>0</v>
      </c>
    </row>
    <row r="167" spans="1:6" ht="13.5" thickTop="1">
      <c r="A167" s="129" t="s">
        <v>14</v>
      </c>
      <c r="B167" s="129"/>
      <c r="C167" s="127"/>
      <c r="D167" s="127"/>
      <c r="E167" s="397"/>
      <c r="F167" s="127">
        <f>SUM(F119:F166)</f>
        <v>633336000</v>
      </c>
    </row>
  </sheetData>
  <mergeCells count="1">
    <mergeCell ref="A114:C114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90" r:id="rId1"/>
  <headerFooter alignWithMargins="0">
    <oddHeader>&amp;C&amp;"Times New Roman CE,Félkövér dőlt"&amp;12Adósságszolgálat számítása
Panel Plusz Programhoz kapcsolódó 633.336 ezer Ft hitel</oddHeader>
    <oddFooter>&amp;L&amp;8Készült: 2006. július 14.&amp;C&amp;8C:\Andi\adósságszolgálat\&amp;F\&amp;A    Oláhné P. Andrea&amp;R&amp;8&amp;P/&amp;N</oddFooter>
  </headerFooter>
  <rowBreaks count="2" manualBreakCount="2">
    <brk id="60" max="255" man="1"/>
    <brk id="11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3"/>
  <sheetViews>
    <sheetView zoomScaleSheetLayoutView="100" workbookViewId="0" topLeftCell="A1">
      <pane ySplit="5" topLeftCell="BM6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7.875" style="380" customWidth="1"/>
    <col min="6" max="7" width="12.625" style="58" customWidth="1"/>
    <col min="8" max="8" width="13.00390625" style="58" customWidth="1"/>
    <col min="9" max="10" width="12.625" style="58" bestFit="1" customWidth="1"/>
    <col min="11" max="16384" width="9.375" style="58" customWidth="1"/>
  </cols>
  <sheetData>
    <row r="1" spans="1:10" ht="12.75">
      <c r="A1" s="166" t="s">
        <v>137</v>
      </c>
      <c r="B1" s="165"/>
      <c r="C1" s="166" t="s">
        <v>157</v>
      </c>
      <c r="D1" s="166"/>
      <c r="H1" s="166"/>
      <c r="I1" s="166"/>
      <c r="J1" s="166"/>
    </row>
    <row r="2" spans="1:10" ht="12.75">
      <c r="A2" s="166" t="s">
        <v>260</v>
      </c>
      <c r="B2" s="136"/>
      <c r="C2" s="135"/>
      <c r="D2" s="135"/>
      <c r="E2" s="381"/>
      <c r="F2" s="135"/>
      <c r="G2" s="135"/>
      <c r="H2" s="135"/>
      <c r="I2" s="135"/>
      <c r="J2" s="135"/>
    </row>
    <row r="3" spans="1:10" ht="12.75">
      <c r="A3" s="66" t="s">
        <v>3</v>
      </c>
      <c r="B3" s="67" t="s">
        <v>4</v>
      </c>
      <c r="C3" s="68" t="s">
        <v>5</v>
      </c>
      <c r="D3" s="68" t="s">
        <v>21</v>
      </c>
      <c r="E3" s="68" t="s">
        <v>18</v>
      </c>
      <c r="F3" s="69" t="s">
        <v>20</v>
      </c>
      <c r="G3" s="69" t="s">
        <v>152</v>
      </c>
      <c r="H3" s="70" t="s">
        <v>6</v>
      </c>
      <c r="I3" s="70" t="s">
        <v>6</v>
      </c>
      <c r="J3" s="71" t="s">
        <v>6</v>
      </c>
    </row>
    <row r="4" spans="1:10" ht="12.75">
      <c r="A4" s="72"/>
      <c r="B4" s="73" t="s">
        <v>7</v>
      </c>
      <c r="C4" s="74" t="s">
        <v>8</v>
      </c>
      <c r="D4" s="74" t="s">
        <v>13</v>
      </c>
      <c r="E4" s="74" t="s">
        <v>19</v>
      </c>
      <c r="F4" s="75" t="s">
        <v>13</v>
      </c>
      <c r="G4" s="75" t="s">
        <v>153</v>
      </c>
      <c r="H4" s="76" t="s">
        <v>9</v>
      </c>
      <c r="I4" s="76" t="s">
        <v>11</v>
      </c>
      <c r="J4" s="77" t="s">
        <v>10</v>
      </c>
    </row>
    <row r="5" spans="1:10" ht="12.75">
      <c r="A5" s="78"/>
      <c r="B5" s="79"/>
      <c r="C5" s="80"/>
      <c r="D5" s="80"/>
      <c r="E5" s="80"/>
      <c r="F5" s="81"/>
      <c r="G5" s="139" t="s">
        <v>183</v>
      </c>
      <c r="H5" s="139" t="s">
        <v>155</v>
      </c>
      <c r="I5" s="82" t="s">
        <v>13</v>
      </c>
      <c r="J5" s="83" t="s">
        <v>12</v>
      </c>
    </row>
    <row r="6" spans="1:10" ht="12.75">
      <c r="A6" s="103">
        <v>39263</v>
      </c>
      <c r="B6" s="365"/>
      <c r="C6" s="42">
        <v>164972160</v>
      </c>
      <c r="D6" s="42"/>
      <c r="E6" s="382"/>
      <c r="F6" s="42"/>
      <c r="G6" s="42">
        <v>164972</v>
      </c>
      <c r="H6" s="104"/>
      <c r="I6" s="104"/>
      <c r="J6" s="253"/>
    </row>
    <row r="7" spans="1:10" ht="12.75">
      <c r="A7" s="90">
        <v>39294</v>
      </c>
      <c r="B7" s="366">
        <f aca="true" t="shared" si="0" ref="B7:B27">A7-A6</f>
        <v>31</v>
      </c>
      <c r="C7" s="41">
        <v>329944320</v>
      </c>
      <c r="D7" s="41"/>
      <c r="E7" s="383"/>
      <c r="F7" s="41"/>
      <c r="G7" s="41"/>
      <c r="H7" s="91"/>
      <c r="I7" s="91"/>
      <c r="J7" s="242"/>
    </row>
    <row r="8" spans="1:10" ht="12.75">
      <c r="A8" s="90">
        <v>39325</v>
      </c>
      <c r="B8" s="366">
        <f t="shared" si="0"/>
        <v>31</v>
      </c>
      <c r="C8" s="41">
        <v>494917000</v>
      </c>
      <c r="D8" s="41"/>
      <c r="E8" s="383"/>
      <c r="F8" s="41"/>
      <c r="G8" s="41"/>
      <c r="H8" s="91"/>
      <c r="I8" s="91"/>
      <c r="J8" s="242"/>
    </row>
    <row r="9" spans="1:10" ht="12.75">
      <c r="A9" s="254">
        <v>39355</v>
      </c>
      <c r="B9" s="366">
        <f t="shared" si="0"/>
        <v>30</v>
      </c>
      <c r="C9" s="41">
        <v>494916480</v>
      </c>
      <c r="D9" s="41"/>
      <c r="E9" s="383">
        <v>0.04659</v>
      </c>
      <c r="F9" s="41">
        <f>((C6)*E9/360*B7)+((C7)*E9/360*B8)+((C8)*E9/360*B9)</f>
        <v>3907078.92722</v>
      </c>
      <c r="G9" s="41">
        <f>G6</f>
        <v>164972</v>
      </c>
      <c r="H9" s="91"/>
      <c r="I9" s="91"/>
      <c r="J9" s="242"/>
    </row>
    <row r="10" spans="1:10" ht="12.75">
      <c r="A10" s="97">
        <v>39446</v>
      </c>
      <c r="B10" s="367">
        <f t="shared" si="0"/>
        <v>91</v>
      </c>
      <c r="C10" s="99">
        <f>C8-D10</f>
        <v>494917000</v>
      </c>
      <c r="D10" s="99"/>
      <c r="E10" s="384">
        <f aca="true" t="shared" si="1" ref="E10:E17">E9</f>
        <v>0.04659</v>
      </c>
      <c r="F10" s="99">
        <f aca="true" t="shared" si="2" ref="F10:F17">((C10+D10)*E10/360*B10)</f>
        <v>5828596.265916667</v>
      </c>
      <c r="G10" s="99">
        <f>G9</f>
        <v>164972</v>
      </c>
      <c r="H10" s="359">
        <f>SUM(F6:G10)</f>
        <v>10230591.193136666</v>
      </c>
      <c r="I10" s="359">
        <f>SUM(D6:D10)</f>
        <v>0</v>
      </c>
      <c r="J10" s="360">
        <f>SUM(H10:I10)</f>
        <v>10230591.193136666</v>
      </c>
    </row>
    <row r="11" spans="1:10" s="56" customFormat="1" ht="12.75">
      <c r="A11" s="103">
        <v>39538</v>
      </c>
      <c r="B11" s="365">
        <f t="shared" si="0"/>
        <v>92</v>
      </c>
      <c r="C11" s="42">
        <f aca="true" t="shared" si="3" ref="C11:C27">C10-D11</f>
        <v>494917000</v>
      </c>
      <c r="D11" s="42"/>
      <c r="E11" s="382">
        <f t="shared" si="1"/>
        <v>0.04659</v>
      </c>
      <c r="F11" s="42">
        <f t="shared" si="2"/>
        <v>5892646.774333334</v>
      </c>
      <c r="G11" s="42">
        <f aca="true" t="shared" si="4" ref="G11:G17">G10</f>
        <v>164972</v>
      </c>
      <c r="H11" s="104"/>
      <c r="I11" s="104"/>
      <c r="J11" s="253"/>
    </row>
    <row r="12" spans="1:10" s="56" customFormat="1" ht="12.75">
      <c r="A12" s="90">
        <v>39629</v>
      </c>
      <c r="B12" s="366">
        <f t="shared" si="0"/>
        <v>91</v>
      </c>
      <c r="C12" s="41">
        <f t="shared" si="3"/>
        <v>494917000</v>
      </c>
      <c r="D12" s="41"/>
      <c r="E12" s="383">
        <f t="shared" si="1"/>
        <v>0.04659</v>
      </c>
      <c r="F12" s="41">
        <f t="shared" si="2"/>
        <v>5828596.265916667</v>
      </c>
      <c r="G12" s="41">
        <f t="shared" si="4"/>
        <v>164972</v>
      </c>
      <c r="H12" s="91"/>
      <c r="I12" s="91"/>
      <c r="J12" s="242"/>
    </row>
    <row r="13" spans="1:10" s="56" customFormat="1" ht="12.75">
      <c r="A13" s="90">
        <v>39721</v>
      </c>
      <c r="B13" s="366">
        <f t="shared" si="0"/>
        <v>92</v>
      </c>
      <c r="C13" s="41">
        <f t="shared" si="3"/>
        <v>494917000</v>
      </c>
      <c r="D13" s="41"/>
      <c r="E13" s="383">
        <f t="shared" si="1"/>
        <v>0.04659</v>
      </c>
      <c r="F13" s="41">
        <f t="shared" si="2"/>
        <v>5892646.774333334</v>
      </c>
      <c r="G13" s="41">
        <f t="shared" si="4"/>
        <v>164972</v>
      </c>
      <c r="H13" s="91"/>
      <c r="I13" s="91"/>
      <c r="J13" s="242"/>
    </row>
    <row r="14" spans="1:10" s="56" customFormat="1" ht="12.75">
      <c r="A14" s="97">
        <v>39812</v>
      </c>
      <c r="B14" s="367">
        <f t="shared" si="0"/>
        <v>91</v>
      </c>
      <c r="C14" s="99">
        <f t="shared" si="3"/>
        <v>494917000</v>
      </c>
      <c r="D14" s="99"/>
      <c r="E14" s="384">
        <f t="shared" si="1"/>
        <v>0.04659</v>
      </c>
      <c r="F14" s="99">
        <f t="shared" si="2"/>
        <v>5828596.265916667</v>
      </c>
      <c r="G14" s="99">
        <f t="shared" si="4"/>
        <v>164972</v>
      </c>
      <c r="H14" s="359">
        <f>SUM(F11:G14)</f>
        <v>24102374.0805</v>
      </c>
      <c r="I14" s="359">
        <f>SUM(D11:D14)</f>
        <v>0</v>
      </c>
      <c r="J14" s="360">
        <f>SUM(H14:I14)</f>
        <v>24102374.0805</v>
      </c>
    </row>
    <row r="15" spans="1:10" s="56" customFormat="1" ht="12.75">
      <c r="A15" s="103">
        <v>39903</v>
      </c>
      <c r="B15" s="365">
        <f t="shared" si="0"/>
        <v>91</v>
      </c>
      <c r="C15" s="42">
        <f t="shared" si="3"/>
        <v>494917000</v>
      </c>
      <c r="D15" s="42"/>
      <c r="E15" s="382">
        <f t="shared" si="1"/>
        <v>0.04659</v>
      </c>
      <c r="F15" s="42">
        <f t="shared" si="2"/>
        <v>5828596.265916667</v>
      </c>
      <c r="G15" s="42">
        <f t="shared" si="4"/>
        <v>164972</v>
      </c>
      <c r="H15" s="104"/>
      <c r="I15" s="104"/>
      <c r="J15" s="253"/>
    </row>
    <row r="16" spans="1:10" s="56" customFormat="1" ht="12.75">
      <c r="A16" s="90">
        <v>39994</v>
      </c>
      <c r="B16" s="366">
        <f t="shared" si="0"/>
        <v>91</v>
      </c>
      <c r="C16" s="41">
        <f t="shared" si="3"/>
        <v>494917000</v>
      </c>
      <c r="D16" s="41"/>
      <c r="E16" s="383">
        <f t="shared" si="1"/>
        <v>0.04659</v>
      </c>
      <c r="F16" s="41">
        <f t="shared" si="2"/>
        <v>5828596.265916667</v>
      </c>
      <c r="G16" s="41">
        <f t="shared" si="4"/>
        <v>164972</v>
      </c>
      <c r="H16" s="91"/>
      <c r="I16" s="91"/>
      <c r="J16" s="242"/>
    </row>
    <row r="17" spans="1:10" s="56" customFormat="1" ht="12.75">
      <c r="A17" s="90">
        <v>40086</v>
      </c>
      <c r="B17" s="366">
        <f t="shared" si="0"/>
        <v>92</v>
      </c>
      <c r="C17" s="41">
        <f t="shared" si="3"/>
        <v>494917000</v>
      </c>
      <c r="D17" s="41"/>
      <c r="E17" s="383">
        <f t="shared" si="1"/>
        <v>0.04659</v>
      </c>
      <c r="F17" s="41">
        <f t="shared" si="2"/>
        <v>5892646.774333334</v>
      </c>
      <c r="G17" s="41">
        <f t="shared" si="4"/>
        <v>164972</v>
      </c>
      <c r="H17" s="91"/>
      <c r="I17" s="91"/>
      <c r="J17" s="242"/>
    </row>
    <row r="18" spans="1:10" s="56" customFormat="1" ht="12.75">
      <c r="A18" s="90">
        <v>40152</v>
      </c>
      <c r="B18" s="366">
        <f t="shared" si="0"/>
        <v>66</v>
      </c>
      <c r="C18" s="41">
        <f t="shared" si="3"/>
        <v>484800000</v>
      </c>
      <c r="D18" s="41">
        <v>10117000</v>
      </c>
      <c r="E18" s="383"/>
      <c r="F18" s="41"/>
      <c r="G18" s="41"/>
      <c r="H18" s="91"/>
      <c r="I18" s="91"/>
      <c r="J18" s="242"/>
    </row>
    <row r="19" spans="1:10" s="56" customFormat="1" ht="12.75">
      <c r="A19" s="97">
        <v>40177</v>
      </c>
      <c r="B19" s="367">
        <f t="shared" si="0"/>
        <v>25</v>
      </c>
      <c r="C19" s="99">
        <f t="shared" si="3"/>
        <v>484800000</v>
      </c>
      <c r="D19" s="99"/>
      <c r="E19" s="384">
        <f>E17</f>
        <v>0.04659</v>
      </c>
      <c r="F19" s="99">
        <f>((C18+D18)*E19/360*B18)+((C19+D19)*E19/360*B19)</f>
        <v>5795863.555500001</v>
      </c>
      <c r="G19" s="99">
        <f>G17</f>
        <v>164972</v>
      </c>
      <c r="H19" s="359">
        <f>SUM(F15:G19)</f>
        <v>24005590.86166667</v>
      </c>
      <c r="I19" s="359">
        <f>SUM(D15:D19)</f>
        <v>10117000</v>
      </c>
      <c r="J19" s="360">
        <f>SUM(H19:I19)</f>
        <v>34122590.861666664</v>
      </c>
    </row>
    <row r="20" spans="1:10" s="56" customFormat="1" ht="12.75">
      <c r="A20" s="103">
        <v>40242</v>
      </c>
      <c r="B20" s="365">
        <f t="shared" si="0"/>
        <v>65</v>
      </c>
      <c r="C20" s="42">
        <f t="shared" si="3"/>
        <v>474700000</v>
      </c>
      <c r="D20" s="42">
        <v>10100000</v>
      </c>
      <c r="E20" s="382"/>
      <c r="F20" s="42"/>
      <c r="G20" s="42"/>
      <c r="H20" s="394"/>
      <c r="I20" s="394"/>
      <c r="J20" s="395"/>
    </row>
    <row r="21" spans="1:10" s="56" customFormat="1" ht="12.75">
      <c r="A21" s="90">
        <v>40268</v>
      </c>
      <c r="B21" s="366">
        <f t="shared" si="0"/>
        <v>26</v>
      </c>
      <c r="C21" s="41">
        <f t="shared" si="3"/>
        <v>474700000</v>
      </c>
      <c r="D21" s="41"/>
      <c r="E21" s="383">
        <f>E19</f>
        <v>0.04659</v>
      </c>
      <c r="F21" s="41">
        <f>((C20+D20)*E21/360*B20)+((C21+D21)*E21/360*B21)</f>
        <v>5675464.383333333</v>
      </c>
      <c r="G21" s="41">
        <f>G19</f>
        <v>164972</v>
      </c>
      <c r="H21" s="91"/>
      <c r="I21" s="91"/>
      <c r="J21" s="242"/>
    </row>
    <row r="22" spans="1:10" s="56" customFormat="1" ht="12.75">
      <c r="A22" s="90">
        <v>40334</v>
      </c>
      <c r="B22" s="366">
        <f t="shared" si="0"/>
        <v>66</v>
      </c>
      <c r="C22" s="41">
        <f t="shared" si="3"/>
        <v>464600000</v>
      </c>
      <c r="D22" s="41">
        <f>D20</f>
        <v>10100000</v>
      </c>
      <c r="E22" s="383"/>
      <c r="F22" s="41"/>
      <c r="G22" s="41"/>
      <c r="H22" s="91"/>
      <c r="I22" s="91"/>
      <c r="J22" s="242"/>
    </row>
    <row r="23" spans="1:10" s="56" customFormat="1" ht="12.75">
      <c r="A23" s="90">
        <v>40359</v>
      </c>
      <c r="B23" s="366">
        <f t="shared" si="0"/>
        <v>25</v>
      </c>
      <c r="C23" s="41">
        <f t="shared" si="3"/>
        <v>464600000</v>
      </c>
      <c r="D23" s="41"/>
      <c r="E23" s="383">
        <f>E21</f>
        <v>0.04659</v>
      </c>
      <c r="F23" s="41">
        <f>((C22+D22)*E23/360*B22)+((C23+D23)*E23/360*B23)</f>
        <v>5557824.633333333</v>
      </c>
      <c r="G23" s="41">
        <f>G21</f>
        <v>164972</v>
      </c>
      <c r="H23" s="91"/>
      <c r="I23" s="91"/>
      <c r="J23" s="242"/>
    </row>
    <row r="24" spans="1:10" s="56" customFormat="1" ht="12.75">
      <c r="A24" s="90">
        <v>40426</v>
      </c>
      <c r="B24" s="366">
        <f t="shared" si="0"/>
        <v>67</v>
      </c>
      <c r="C24" s="41">
        <f t="shared" si="3"/>
        <v>454500000</v>
      </c>
      <c r="D24" s="41">
        <f>D22</f>
        <v>10100000</v>
      </c>
      <c r="E24" s="383"/>
      <c r="F24" s="41"/>
      <c r="G24" s="41"/>
      <c r="H24" s="91"/>
      <c r="I24" s="91"/>
      <c r="J24" s="242"/>
    </row>
    <row r="25" spans="1:10" s="56" customFormat="1" ht="12.75">
      <c r="A25" s="90">
        <v>40451</v>
      </c>
      <c r="B25" s="366">
        <f t="shared" si="0"/>
        <v>25</v>
      </c>
      <c r="C25" s="41">
        <f t="shared" si="3"/>
        <v>454500000</v>
      </c>
      <c r="D25" s="41"/>
      <c r="E25" s="383">
        <f>E23</f>
        <v>0.04659</v>
      </c>
      <c r="F25" s="41">
        <f>((C24+D24)*E25/360*B24)+((C25+D25)*E25/360*B25)</f>
        <v>5499004.758333333</v>
      </c>
      <c r="G25" s="41">
        <f>G23</f>
        <v>164972</v>
      </c>
      <c r="H25" s="91"/>
      <c r="I25" s="91"/>
      <c r="J25" s="242"/>
    </row>
    <row r="26" spans="1:10" s="56" customFormat="1" ht="12.75">
      <c r="A26" s="90">
        <v>40517</v>
      </c>
      <c r="B26" s="366">
        <f t="shared" si="0"/>
        <v>66</v>
      </c>
      <c r="C26" s="41">
        <f t="shared" si="3"/>
        <v>444400000</v>
      </c>
      <c r="D26" s="41">
        <f>D24</f>
        <v>10100000</v>
      </c>
      <c r="E26" s="383"/>
      <c r="F26" s="41"/>
      <c r="G26" s="41"/>
      <c r="H26" s="91"/>
      <c r="I26" s="91"/>
      <c r="J26" s="242"/>
    </row>
    <row r="27" spans="1:10" s="56" customFormat="1" ht="12.75">
      <c r="A27" s="97">
        <v>40542</v>
      </c>
      <c r="B27" s="367">
        <f t="shared" si="0"/>
        <v>25</v>
      </c>
      <c r="C27" s="99">
        <f t="shared" si="3"/>
        <v>444400000</v>
      </c>
      <c r="D27" s="99"/>
      <c r="E27" s="384">
        <f>E25</f>
        <v>0.04659</v>
      </c>
      <c r="F27" s="99">
        <f>((C26+D26)*E27/360*B26)+((C27+D27)*E27/360*B27)</f>
        <v>5319930.916666667</v>
      </c>
      <c r="G27" s="99">
        <f>G25</f>
        <v>164972</v>
      </c>
      <c r="H27" s="359">
        <f>SUM(F21:G27)</f>
        <v>22712112.691666666</v>
      </c>
      <c r="I27" s="359">
        <f>SUM(D20:D27)</f>
        <v>40400000</v>
      </c>
      <c r="J27" s="360">
        <f>SUM(H27:I27)</f>
        <v>63112112.69166666</v>
      </c>
    </row>
    <row r="28" spans="1:10" s="56" customFormat="1" ht="12.75">
      <c r="A28" s="103">
        <v>40607</v>
      </c>
      <c r="B28" s="365">
        <f aca="true" t="shared" si="5" ref="B28:B91">A28-A27</f>
        <v>65</v>
      </c>
      <c r="C28" s="42">
        <f aca="true" t="shared" si="6" ref="C28:C91">C27-D28</f>
        <v>434300000</v>
      </c>
      <c r="D28" s="42">
        <v>10100000</v>
      </c>
      <c r="E28" s="382"/>
      <c r="F28" s="42"/>
      <c r="G28" s="42"/>
      <c r="H28" s="394"/>
      <c r="I28" s="394"/>
      <c r="J28" s="395"/>
    </row>
    <row r="29" spans="1:10" s="56" customFormat="1" ht="12.75">
      <c r="A29" s="90">
        <v>40633</v>
      </c>
      <c r="B29" s="366">
        <f t="shared" si="5"/>
        <v>26</v>
      </c>
      <c r="C29" s="41">
        <f t="shared" si="6"/>
        <v>434300000</v>
      </c>
      <c r="D29" s="41"/>
      <c r="E29" s="383">
        <f>E27</f>
        <v>0.04659</v>
      </c>
      <c r="F29" s="41">
        <f>((C28+D28)*E29/360*B28)+((C29+D29)*E29/360*B29)</f>
        <v>5199676.95</v>
      </c>
      <c r="G29" s="41">
        <f>G27</f>
        <v>164972</v>
      </c>
      <c r="H29" s="91"/>
      <c r="I29" s="91"/>
      <c r="J29" s="242"/>
    </row>
    <row r="30" spans="1:10" s="56" customFormat="1" ht="12.75">
      <c r="A30" s="90">
        <v>40699</v>
      </c>
      <c r="B30" s="366">
        <f t="shared" si="5"/>
        <v>66</v>
      </c>
      <c r="C30" s="41">
        <f t="shared" si="6"/>
        <v>424200000</v>
      </c>
      <c r="D30" s="41">
        <f>D28</f>
        <v>10100000</v>
      </c>
      <c r="E30" s="383"/>
      <c r="F30" s="41"/>
      <c r="G30" s="41"/>
      <c r="H30" s="91"/>
      <c r="I30" s="91"/>
      <c r="J30" s="242"/>
    </row>
    <row r="31" spans="1:10" s="56" customFormat="1" ht="12.75">
      <c r="A31" s="90">
        <v>40724</v>
      </c>
      <c r="B31" s="366">
        <f t="shared" si="5"/>
        <v>25</v>
      </c>
      <c r="C31" s="41">
        <f t="shared" si="6"/>
        <v>424200000</v>
      </c>
      <c r="D31" s="41"/>
      <c r="E31" s="383">
        <f>E29</f>
        <v>0.04659</v>
      </c>
      <c r="F31" s="41">
        <f>((C30+D30)*E31/360*B30)+((C31+D31)*E31/360*B31)</f>
        <v>5082037.2</v>
      </c>
      <c r="G31" s="41">
        <f>G29</f>
        <v>164972</v>
      </c>
      <c r="H31" s="91"/>
      <c r="I31" s="91"/>
      <c r="J31" s="242"/>
    </row>
    <row r="32" spans="1:10" s="56" customFormat="1" ht="12.75">
      <c r="A32" s="90">
        <v>40791</v>
      </c>
      <c r="B32" s="366">
        <f t="shared" si="5"/>
        <v>67</v>
      </c>
      <c r="C32" s="41">
        <f t="shared" si="6"/>
        <v>414100000</v>
      </c>
      <c r="D32" s="41">
        <f>D30</f>
        <v>10100000</v>
      </c>
      <c r="E32" s="383"/>
      <c r="F32" s="41"/>
      <c r="G32" s="41"/>
      <c r="H32" s="91"/>
      <c r="I32" s="91"/>
      <c r="J32" s="242"/>
    </row>
    <row r="33" spans="1:10" s="56" customFormat="1" ht="12.75">
      <c r="A33" s="90">
        <v>40816</v>
      </c>
      <c r="B33" s="366">
        <f t="shared" si="5"/>
        <v>25</v>
      </c>
      <c r="C33" s="41">
        <f t="shared" si="6"/>
        <v>414100000</v>
      </c>
      <c r="D33" s="41"/>
      <c r="E33" s="383">
        <f>E31</f>
        <v>0.04659</v>
      </c>
      <c r="F33" s="41">
        <f>((C32+D32)*E33/360*B32)+((C33+D33)*E33/360*B33)</f>
        <v>5017988.891666667</v>
      </c>
      <c r="G33" s="41">
        <f>G31</f>
        <v>164972</v>
      </c>
      <c r="H33" s="91"/>
      <c r="I33" s="91"/>
      <c r="J33" s="242"/>
    </row>
    <row r="34" spans="1:10" s="56" customFormat="1" ht="12.75">
      <c r="A34" s="90">
        <v>40882</v>
      </c>
      <c r="B34" s="366">
        <f t="shared" si="5"/>
        <v>66</v>
      </c>
      <c r="C34" s="41">
        <f t="shared" si="6"/>
        <v>404000000</v>
      </c>
      <c r="D34" s="41">
        <f>D32</f>
        <v>10100000</v>
      </c>
      <c r="E34" s="383"/>
      <c r="F34" s="41"/>
      <c r="G34" s="41"/>
      <c r="H34" s="91"/>
      <c r="I34" s="91"/>
      <c r="J34" s="242"/>
    </row>
    <row r="35" spans="1:10" s="56" customFormat="1" ht="12.75">
      <c r="A35" s="97">
        <v>40907</v>
      </c>
      <c r="B35" s="367">
        <f t="shared" si="5"/>
        <v>25</v>
      </c>
      <c r="C35" s="99">
        <f t="shared" si="6"/>
        <v>404000000</v>
      </c>
      <c r="D35" s="99"/>
      <c r="E35" s="384">
        <f>E33</f>
        <v>0.04659</v>
      </c>
      <c r="F35" s="99">
        <f>((C34+D34)*E35/360*B34)+((C35+D35)*E35/360*B35)</f>
        <v>4844143.483333333</v>
      </c>
      <c r="G35" s="99">
        <f>G33</f>
        <v>164972</v>
      </c>
      <c r="H35" s="359">
        <f>SUM(F29:G35)</f>
        <v>20803734.525000002</v>
      </c>
      <c r="I35" s="359">
        <f>SUM(D28:D35)</f>
        <v>40400000</v>
      </c>
      <c r="J35" s="360">
        <f>SUM(H35:I35)</f>
        <v>61203734.525000006</v>
      </c>
    </row>
    <row r="36" spans="1:10" s="56" customFormat="1" ht="12.75">
      <c r="A36" s="103">
        <v>40973</v>
      </c>
      <c r="B36" s="365">
        <f t="shared" si="5"/>
        <v>66</v>
      </c>
      <c r="C36" s="42">
        <f t="shared" si="6"/>
        <v>393900000</v>
      </c>
      <c r="D36" s="42">
        <v>10100000</v>
      </c>
      <c r="E36" s="382"/>
      <c r="F36" s="42"/>
      <c r="G36" s="42"/>
      <c r="H36" s="394"/>
      <c r="I36" s="394"/>
      <c r="J36" s="395"/>
    </row>
    <row r="37" spans="1:10" s="56" customFormat="1" ht="12.75">
      <c r="A37" s="90">
        <v>40999</v>
      </c>
      <c r="B37" s="366">
        <f t="shared" si="5"/>
        <v>26</v>
      </c>
      <c r="C37" s="41">
        <f t="shared" si="6"/>
        <v>393900000</v>
      </c>
      <c r="D37" s="41"/>
      <c r="E37" s="383">
        <f>E35</f>
        <v>0.04659</v>
      </c>
      <c r="F37" s="41">
        <f>((C36+D36)*E37/360*B36)+((C37+D37)*E37/360*B37)</f>
        <v>4776173.85</v>
      </c>
      <c r="G37" s="41">
        <f>G35</f>
        <v>164972</v>
      </c>
      <c r="H37" s="91"/>
      <c r="I37" s="91"/>
      <c r="J37" s="242"/>
    </row>
    <row r="38" spans="1:10" s="56" customFormat="1" ht="12.75">
      <c r="A38" s="90">
        <v>41065</v>
      </c>
      <c r="B38" s="366">
        <f t="shared" si="5"/>
        <v>66</v>
      </c>
      <c r="C38" s="41">
        <f t="shared" si="6"/>
        <v>383800000</v>
      </c>
      <c r="D38" s="41">
        <f>D36</f>
        <v>10100000</v>
      </c>
      <c r="E38" s="383"/>
      <c r="F38" s="41"/>
      <c r="G38" s="41"/>
      <c r="H38" s="91"/>
      <c r="I38" s="91"/>
      <c r="J38" s="242"/>
    </row>
    <row r="39" spans="1:10" s="56" customFormat="1" ht="12.75">
      <c r="A39" s="90">
        <v>41090</v>
      </c>
      <c r="B39" s="366">
        <f t="shared" si="5"/>
        <v>25</v>
      </c>
      <c r="C39" s="41">
        <f t="shared" si="6"/>
        <v>383800000</v>
      </c>
      <c r="D39" s="41"/>
      <c r="E39" s="383">
        <f>E37</f>
        <v>0.04659</v>
      </c>
      <c r="F39" s="41">
        <f>((C38+D38)*E39/360*B38)+((C39+D39)*E39/360*B39)</f>
        <v>4606249.766666667</v>
      </c>
      <c r="G39" s="41">
        <f>G37</f>
        <v>164972</v>
      </c>
      <c r="H39" s="91"/>
      <c r="I39" s="91"/>
      <c r="J39" s="242"/>
    </row>
    <row r="40" spans="1:10" s="56" customFormat="1" ht="12.75">
      <c r="A40" s="90">
        <v>41157</v>
      </c>
      <c r="B40" s="366">
        <f t="shared" si="5"/>
        <v>67</v>
      </c>
      <c r="C40" s="41">
        <f t="shared" si="6"/>
        <v>373700000</v>
      </c>
      <c r="D40" s="41">
        <f>D38</f>
        <v>10100000</v>
      </c>
      <c r="E40" s="383"/>
      <c r="F40" s="41"/>
      <c r="G40" s="41"/>
      <c r="H40" s="91"/>
      <c r="I40" s="91"/>
      <c r="J40" s="242"/>
    </row>
    <row r="41" spans="1:10" s="56" customFormat="1" ht="12.75">
      <c r="A41" s="90">
        <v>41182</v>
      </c>
      <c r="B41" s="366">
        <f t="shared" si="5"/>
        <v>25</v>
      </c>
      <c r="C41" s="41">
        <f t="shared" si="6"/>
        <v>373700000</v>
      </c>
      <c r="D41" s="41"/>
      <c r="E41" s="383">
        <f>E39</f>
        <v>0.04659</v>
      </c>
      <c r="F41" s="41">
        <f>((C40+D40)*E41/360*B40)+((C41+D41)*E41/360*B41)</f>
        <v>4536973.025</v>
      </c>
      <c r="G41" s="41">
        <f>G39</f>
        <v>164972</v>
      </c>
      <c r="H41" s="91"/>
      <c r="I41" s="91"/>
      <c r="J41" s="242"/>
    </row>
    <row r="42" spans="1:10" s="56" customFormat="1" ht="12.75">
      <c r="A42" s="90">
        <v>41248</v>
      </c>
      <c r="B42" s="366">
        <f t="shared" si="5"/>
        <v>66</v>
      </c>
      <c r="C42" s="41">
        <f t="shared" si="6"/>
        <v>363600000</v>
      </c>
      <c r="D42" s="41">
        <f>D40</f>
        <v>10100000</v>
      </c>
      <c r="E42" s="383"/>
      <c r="F42" s="41"/>
      <c r="G42" s="41"/>
      <c r="H42" s="91"/>
      <c r="I42" s="91"/>
      <c r="J42" s="242"/>
    </row>
    <row r="43" spans="1:10" s="56" customFormat="1" ht="12.75">
      <c r="A43" s="97">
        <v>41273</v>
      </c>
      <c r="B43" s="367">
        <f t="shared" si="5"/>
        <v>25</v>
      </c>
      <c r="C43" s="99">
        <f t="shared" si="6"/>
        <v>363600000</v>
      </c>
      <c r="D43" s="99"/>
      <c r="E43" s="384">
        <f>E41</f>
        <v>0.04659</v>
      </c>
      <c r="F43" s="99">
        <f>((C42+D42)*E43/360*B42)+((C43+D43)*E43/360*B43)</f>
        <v>4368356.05</v>
      </c>
      <c r="G43" s="99">
        <f>G41</f>
        <v>164972</v>
      </c>
      <c r="H43" s="359">
        <f>SUM(F37:G43)</f>
        <v>18947640.691666666</v>
      </c>
      <c r="I43" s="359">
        <f>SUM(D36:D43)</f>
        <v>40400000</v>
      </c>
      <c r="J43" s="360">
        <f>SUM(H43:I43)</f>
        <v>59347640.69166666</v>
      </c>
    </row>
    <row r="44" spans="1:10" s="56" customFormat="1" ht="12.75">
      <c r="A44" s="103">
        <v>41338</v>
      </c>
      <c r="B44" s="365">
        <f t="shared" si="5"/>
        <v>65</v>
      </c>
      <c r="C44" s="42">
        <f t="shared" si="6"/>
        <v>353500000</v>
      </c>
      <c r="D44" s="42">
        <v>10100000</v>
      </c>
      <c r="E44" s="382"/>
      <c r="F44" s="42"/>
      <c r="G44" s="42"/>
      <c r="H44" s="394"/>
      <c r="I44" s="394"/>
      <c r="J44" s="395"/>
    </row>
    <row r="45" spans="1:10" s="56" customFormat="1" ht="12.75">
      <c r="A45" s="90">
        <v>41364</v>
      </c>
      <c r="B45" s="366">
        <f t="shared" si="5"/>
        <v>26</v>
      </c>
      <c r="C45" s="41">
        <f t="shared" si="6"/>
        <v>353500000</v>
      </c>
      <c r="D45" s="41"/>
      <c r="E45" s="383">
        <f>E43</f>
        <v>0.04659</v>
      </c>
      <c r="F45" s="41">
        <f>((C44+D44)*E45/360*B44)+((C45+D45)*E45/360*B45)</f>
        <v>4248102.083333333</v>
      </c>
      <c r="G45" s="41">
        <f>G43</f>
        <v>164972</v>
      </c>
      <c r="H45" s="91"/>
      <c r="I45" s="91"/>
      <c r="J45" s="242"/>
    </row>
    <row r="46" spans="1:10" s="56" customFormat="1" ht="12.75">
      <c r="A46" s="90">
        <v>41430</v>
      </c>
      <c r="B46" s="366">
        <f t="shared" si="5"/>
        <v>66</v>
      </c>
      <c r="C46" s="41">
        <f t="shared" si="6"/>
        <v>343400000</v>
      </c>
      <c r="D46" s="41">
        <f>D44</f>
        <v>10100000</v>
      </c>
      <c r="E46" s="383"/>
      <c r="F46" s="41"/>
      <c r="G46" s="41"/>
      <c r="H46" s="91"/>
      <c r="I46" s="91"/>
      <c r="J46" s="242"/>
    </row>
    <row r="47" spans="1:10" s="56" customFormat="1" ht="12.75">
      <c r="A47" s="90">
        <v>41455</v>
      </c>
      <c r="B47" s="366">
        <f t="shared" si="5"/>
        <v>25</v>
      </c>
      <c r="C47" s="41">
        <f t="shared" si="6"/>
        <v>343400000</v>
      </c>
      <c r="D47" s="41"/>
      <c r="E47" s="383">
        <f>E45</f>
        <v>0.04659</v>
      </c>
      <c r="F47" s="41">
        <f>((C46+D46)*E47/360*B46)+((C47+D47)*E47/360*B47)</f>
        <v>4130462.333333333</v>
      </c>
      <c r="G47" s="41">
        <f>G45</f>
        <v>164972</v>
      </c>
      <c r="H47" s="91"/>
      <c r="I47" s="91"/>
      <c r="J47" s="242"/>
    </row>
    <row r="48" spans="1:10" s="56" customFormat="1" ht="12.75">
      <c r="A48" s="90">
        <v>41522</v>
      </c>
      <c r="B48" s="366">
        <f t="shared" si="5"/>
        <v>67</v>
      </c>
      <c r="C48" s="41">
        <f t="shared" si="6"/>
        <v>333300000</v>
      </c>
      <c r="D48" s="41">
        <f>D46</f>
        <v>10100000</v>
      </c>
      <c r="E48" s="383"/>
      <c r="F48" s="41"/>
      <c r="G48" s="41"/>
      <c r="H48" s="91"/>
      <c r="I48" s="91"/>
      <c r="J48" s="242"/>
    </row>
    <row r="49" spans="1:10" s="56" customFormat="1" ht="12.75">
      <c r="A49" s="90">
        <v>41547</v>
      </c>
      <c r="B49" s="366">
        <f t="shared" si="5"/>
        <v>25</v>
      </c>
      <c r="C49" s="41">
        <f t="shared" si="6"/>
        <v>333300000</v>
      </c>
      <c r="D49" s="41"/>
      <c r="E49" s="383">
        <f>E47</f>
        <v>0.04659</v>
      </c>
      <c r="F49" s="41">
        <f>((C48+D48)*E49/360*B48)+((C49+D49)*E49/360*B49)</f>
        <v>4055957.158333333</v>
      </c>
      <c r="G49" s="41">
        <f>G47</f>
        <v>164972</v>
      </c>
      <c r="H49" s="91"/>
      <c r="I49" s="91"/>
      <c r="J49" s="242"/>
    </row>
    <row r="50" spans="1:10" s="56" customFormat="1" ht="12.75">
      <c r="A50" s="90">
        <v>41613</v>
      </c>
      <c r="B50" s="366">
        <f t="shared" si="5"/>
        <v>66</v>
      </c>
      <c r="C50" s="41">
        <f t="shared" si="6"/>
        <v>323200000</v>
      </c>
      <c r="D50" s="41">
        <f>D48</f>
        <v>10100000</v>
      </c>
      <c r="E50" s="383"/>
      <c r="F50" s="41"/>
      <c r="G50" s="41"/>
      <c r="H50" s="91"/>
      <c r="I50" s="91"/>
      <c r="J50" s="242"/>
    </row>
    <row r="51" spans="1:10" s="56" customFormat="1" ht="12.75">
      <c r="A51" s="97">
        <v>41638</v>
      </c>
      <c r="B51" s="367">
        <f t="shared" si="5"/>
        <v>25</v>
      </c>
      <c r="C51" s="99">
        <f t="shared" si="6"/>
        <v>323200000</v>
      </c>
      <c r="D51" s="99"/>
      <c r="E51" s="384">
        <f>E49</f>
        <v>0.04659</v>
      </c>
      <c r="F51" s="99">
        <f>((C50+D50)*E51/360*B50)+((C51+D51)*E51/360*B51)</f>
        <v>3892568.616666666</v>
      </c>
      <c r="G51" s="99">
        <f>G49</f>
        <v>164972</v>
      </c>
      <c r="H51" s="359">
        <f>SUM(F45:G51)</f>
        <v>16986978.191666666</v>
      </c>
      <c r="I51" s="359">
        <f>SUM(D44:D51)</f>
        <v>40400000</v>
      </c>
      <c r="J51" s="360">
        <f>SUM(H51:I51)</f>
        <v>57386978.19166666</v>
      </c>
    </row>
    <row r="52" spans="1:10" s="56" customFormat="1" ht="12.75">
      <c r="A52" s="103">
        <v>41703</v>
      </c>
      <c r="B52" s="365">
        <f t="shared" si="5"/>
        <v>65</v>
      </c>
      <c r="C52" s="42">
        <f t="shared" si="6"/>
        <v>313100000</v>
      </c>
      <c r="D52" s="42">
        <v>10100000</v>
      </c>
      <c r="E52" s="382"/>
      <c r="F52" s="42"/>
      <c r="G52" s="42"/>
      <c r="H52" s="394"/>
      <c r="I52" s="394"/>
      <c r="J52" s="395"/>
    </row>
    <row r="53" spans="1:10" s="56" customFormat="1" ht="12.75">
      <c r="A53" s="90">
        <v>41729</v>
      </c>
      <c r="B53" s="366">
        <f t="shared" si="5"/>
        <v>26</v>
      </c>
      <c r="C53" s="41">
        <f t="shared" si="6"/>
        <v>313100000</v>
      </c>
      <c r="D53" s="41"/>
      <c r="E53" s="383">
        <f>E51</f>
        <v>0.04659</v>
      </c>
      <c r="F53" s="41">
        <f>((C52+D52)*E53/360*B52)+((C53+D53)*E53/360*B53)</f>
        <v>3772314.6500000004</v>
      </c>
      <c r="G53" s="41">
        <f>G51</f>
        <v>164972</v>
      </c>
      <c r="H53" s="91"/>
      <c r="I53" s="91"/>
      <c r="J53" s="242"/>
    </row>
    <row r="54" spans="1:10" s="56" customFormat="1" ht="12.75">
      <c r="A54" s="90">
        <v>41795</v>
      </c>
      <c r="B54" s="366">
        <f t="shared" si="5"/>
        <v>66</v>
      </c>
      <c r="C54" s="41">
        <f t="shared" si="6"/>
        <v>303000000</v>
      </c>
      <c r="D54" s="41">
        <f>D52</f>
        <v>10100000</v>
      </c>
      <c r="E54" s="383"/>
      <c r="F54" s="41"/>
      <c r="G54" s="41"/>
      <c r="H54" s="91"/>
      <c r="I54" s="91"/>
      <c r="J54" s="242"/>
    </row>
    <row r="55" spans="1:10" s="56" customFormat="1" ht="12.75">
      <c r="A55" s="90">
        <v>41820</v>
      </c>
      <c r="B55" s="366">
        <f t="shared" si="5"/>
        <v>25</v>
      </c>
      <c r="C55" s="41">
        <f t="shared" si="6"/>
        <v>303000000</v>
      </c>
      <c r="D55" s="41"/>
      <c r="E55" s="383">
        <f>E53</f>
        <v>0.04659</v>
      </c>
      <c r="F55" s="41">
        <f>((C54+D54)*E55/360*B54)+((C55+D55)*E55/360*B55)</f>
        <v>3654674.9</v>
      </c>
      <c r="G55" s="41">
        <f>G53</f>
        <v>164972</v>
      </c>
      <c r="H55" s="91"/>
      <c r="I55" s="91"/>
      <c r="J55" s="242"/>
    </row>
    <row r="56" spans="1:10" s="56" customFormat="1" ht="12.75">
      <c r="A56" s="90">
        <v>41887</v>
      </c>
      <c r="B56" s="366">
        <f t="shared" si="5"/>
        <v>67</v>
      </c>
      <c r="C56" s="41">
        <f t="shared" si="6"/>
        <v>292900000</v>
      </c>
      <c r="D56" s="41">
        <f>D54</f>
        <v>10100000</v>
      </c>
      <c r="E56" s="383"/>
      <c r="F56" s="41"/>
      <c r="G56" s="41"/>
      <c r="H56" s="91"/>
      <c r="I56" s="91"/>
      <c r="J56" s="242"/>
    </row>
    <row r="57" spans="1:10" s="56" customFormat="1" ht="12.75">
      <c r="A57" s="90">
        <v>41912</v>
      </c>
      <c r="B57" s="366">
        <f t="shared" si="5"/>
        <v>25</v>
      </c>
      <c r="C57" s="41">
        <f t="shared" si="6"/>
        <v>292900000</v>
      </c>
      <c r="D57" s="41"/>
      <c r="E57" s="383">
        <f>E55</f>
        <v>0.04659</v>
      </c>
      <c r="F57" s="41">
        <f>((C56+D56)*E57/360*B56)+((C57+D57)*E57/360*B57)</f>
        <v>3574941.291666667</v>
      </c>
      <c r="G57" s="41">
        <f>G55</f>
        <v>164972</v>
      </c>
      <c r="H57" s="91"/>
      <c r="I57" s="91"/>
      <c r="J57" s="242"/>
    </row>
    <row r="58" spans="1:10" s="56" customFormat="1" ht="12.75">
      <c r="A58" s="90">
        <v>41978</v>
      </c>
      <c r="B58" s="366">
        <f t="shared" si="5"/>
        <v>66</v>
      </c>
      <c r="C58" s="41">
        <f t="shared" si="6"/>
        <v>282800000</v>
      </c>
      <c r="D58" s="41">
        <f>D56</f>
        <v>10100000</v>
      </c>
      <c r="E58" s="383"/>
      <c r="F58" s="41"/>
      <c r="G58" s="41"/>
      <c r="H58" s="91"/>
      <c r="I58" s="91"/>
      <c r="J58" s="242"/>
    </row>
    <row r="59" spans="1:10" s="56" customFormat="1" ht="12.75">
      <c r="A59" s="97">
        <v>42003</v>
      </c>
      <c r="B59" s="367">
        <f t="shared" si="5"/>
        <v>25</v>
      </c>
      <c r="C59" s="99">
        <f t="shared" si="6"/>
        <v>282800000</v>
      </c>
      <c r="D59" s="99"/>
      <c r="E59" s="384">
        <f>E57</f>
        <v>0.04659</v>
      </c>
      <c r="F59" s="99">
        <f>((C58+D58)*E59/360*B58)+((C59+D59)*E59/360*B59)</f>
        <v>3416781.1833333336</v>
      </c>
      <c r="G59" s="99">
        <f>G57</f>
        <v>164972</v>
      </c>
      <c r="H59" s="359">
        <f>SUM(F53:G59)</f>
        <v>15078600.025000002</v>
      </c>
      <c r="I59" s="359">
        <f>SUM(D52:D59)</f>
        <v>40400000</v>
      </c>
      <c r="J59" s="360">
        <f>SUM(H59:I59)</f>
        <v>55478600.025000006</v>
      </c>
    </row>
    <row r="60" spans="1:10" s="56" customFormat="1" ht="12.75">
      <c r="A60" s="103">
        <v>42068</v>
      </c>
      <c r="B60" s="365">
        <f t="shared" si="5"/>
        <v>65</v>
      </c>
      <c r="C60" s="42">
        <f t="shared" si="6"/>
        <v>272700000</v>
      </c>
      <c r="D60" s="42">
        <v>10100000</v>
      </c>
      <c r="E60" s="382"/>
      <c r="F60" s="42"/>
      <c r="G60" s="42"/>
      <c r="H60" s="394"/>
      <c r="I60" s="394"/>
      <c r="J60" s="395"/>
    </row>
    <row r="61" spans="1:10" s="56" customFormat="1" ht="12.75">
      <c r="A61" s="90">
        <v>42094</v>
      </c>
      <c r="B61" s="366">
        <f t="shared" si="5"/>
        <v>26</v>
      </c>
      <c r="C61" s="41">
        <f t="shared" si="6"/>
        <v>272700000</v>
      </c>
      <c r="D61" s="41"/>
      <c r="E61" s="383">
        <f>E59</f>
        <v>0.04659</v>
      </c>
      <c r="F61" s="41">
        <f>((C60+D60)*E61/360*B60)+((C61+D61)*E61/360*B61)</f>
        <v>3296527.216666667</v>
      </c>
      <c r="G61" s="41">
        <f>G59</f>
        <v>164972</v>
      </c>
      <c r="H61" s="91"/>
      <c r="I61" s="91"/>
      <c r="J61" s="242"/>
    </row>
    <row r="62" spans="1:10" s="56" customFormat="1" ht="12.75">
      <c r="A62" s="90">
        <v>42160</v>
      </c>
      <c r="B62" s="366">
        <f t="shared" si="5"/>
        <v>66</v>
      </c>
      <c r="C62" s="41">
        <f t="shared" si="6"/>
        <v>262600000</v>
      </c>
      <c r="D62" s="41">
        <f>D60</f>
        <v>10100000</v>
      </c>
      <c r="E62" s="383"/>
      <c r="F62" s="41"/>
      <c r="G62" s="41"/>
      <c r="H62" s="91"/>
      <c r="I62" s="91"/>
      <c r="J62" s="242"/>
    </row>
    <row r="63" spans="1:10" s="56" customFormat="1" ht="12.75">
      <c r="A63" s="90">
        <v>42185</v>
      </c>
      <c r="B63" s="366">
        <f t="shared" si="5"/>
        <v>25</v>
      </c>
      <c r="C63" s="41">
        <f t="shared" si="6"/>
        <v>262600000</v>
      </c>
      <c r="D63" s="41"/>
      <c r="E63" s="383">
        <f>E61</f>
        <v>0.04659</v>
      </c>
      <c r="F63" s="41">
        <f>((C62+D62)*E63/360*B62)+((C63+D63)*E63/360*B63)</f>
        <v>3178887.466666667</v>
      </c>
      <c r="G63" s="41">
        <f>G61</f>
        <v>164972</v>
      </c>
      <c r="H63" s="91"/>
      <c r="I63" s="91"/>
      <c r="J63" s="242"/>
    </row>
    <row r="64" spans="1:10" s="56" customFormat="1" ht="12.75">
      <c r="A64" s="90">
        <v>42252</v>
      </c>
      <c r="B64" s="366">
        <f t="shared" si="5"/>
        <v>67</v>
      </c>
      <c r="C64" s="41">
        <f t="shared" si="6"/>
        <v>252500000</v>
      </c>
      <c r="D64" s="41">
        <f>D62</f>
        <v>10100000</v>
      </c>
      <c r="E64" s="383"/>
      <c r="F64" s="41"/>
      <c r="G64" s="41"/>
      <c r="H64" s="91"/>
      <c r="I64" s="91"/>
      <c r="J64" s="242"/>
    </row>
    <row r="65" spans="1:10" s="56" customFormat="1" ht="12.75">
      <c r="A65" s="90">
        <v>42277</v>
      </c>
      <c r="B65" s="366">
        <f t="shared" si="5"/>
        <v>25</v>
      </c>
      <c r="C65" s="41">
        <f t="shared" si="6"/>
        <v>252500000</v>
      </c>
      <c r="D65" s="41"/>
      <c r="E65" s="383">
        <f>E63</f>
        <v>0.04659</v>
      </c>
      <c r="F65" s="41">
        <f>((C64+D64)*E65/360*B64)+((C65+D65)*E65/360*B65)</f>
        <v>3093925.425</v>
      </c>
      <c r="G65" s="41">
        <f>G63</f>
        <v>164972</v>
      </c>
      <c r="H65" s="91"/>
      <c r="I65" s="91"/>
      <c r="J65" s="242"/>
    </row>
    <row r="66" spans="1:10" s="56" customFormat="1" ht="12.75">
      <c r="A66" s="90">
        <v>42343</v>
      </c>
      <c r="B66" s="366">
        <f t="shared" si="5"/>
        <v>66</v>
      </c>
      <c r="C66" s="41">
        <f t="shared" si="6"/>
        <v>242400000</v>
      </c>
      <c r="D66" s="41">
        <f>D64</f>
        <v>10100000</v>
      </c>
      <c r="E66" s="383"/>
      <c r="F66" s="41"/>
      <c r="G66" s="41"/>
      <c r="H66" s="91"/>
      <c r="I66" s="91"/>
      <c r="J66" s="242"/>
    </row>
    <row r="67" spans="1:10" s="56" customFormat="1" ht="12.75">
      <c r="A67" s="97">
        <v>42368</v>
      </c>
      <c r="B67" s="367">
        <f t="shared" si="5"/>
        <v>25</v>
      </c>
      <c r="C67" s="99">
        <f t="shared" si="6"/>
        <v>242400000</v>
      </c>
      <c r="D67" s="99"/>
      <c r="E67" s="384">
        <f>E65</f>
        <v>0.04659</v>
      </c>
      <c r="F67" s="99">
        <f>((C66+D66)*E67/360*B66)+((C67+D67)*E67/360*B67)</f>
        <v>2940993.75</v>
      </c>
      <c r="G67" s="99">
        <f>G65</f>
        <v>164972</v>
      </c>
      <c r="H67" s="359">
        <f>SUM(F61:G67)</f>
        <v>13170221.858333334</v>
      </c>
      <c r="I67" s="359">
        <f>SUM(D60:D67)</f>
        <v>40400000</v>
      </c>
      <c r="J67" s="360">
        <f>SUM(H67:I67)</f>
        <v>53570221.858333334</v>
      </c>
    </row>
    <row r="68" spans="1:10" s="56" customFormat="1" ht="12.75">
      <c r="A68" s="103">
        <v>42434</v>
      </c>
      <c r="B68" s="365">
        <f t="shared" si="5"/>
        <v>66</v>
      </c>
      <c r="C68" s="42">
        <f t="shared" si="6"/>
        <v>232300000</v>
      </c>
      <c r="D68" s="42">
        <v>10100000</v>
      </c>
      <c r="E68" s="382"/>
      <c r="F68" s="42"/>
      <c r="G68" s="42"/>
      <c r="H68" s="394"/>
      <c r="I68" s="394"/>
      <c r="J68" s="395"/>
    </row>
    <row r="69" spans="1:10" s="56" customFormat="1" ht="12.75">
      <c r="A69" s="90">
        <v>42460</v>
      </c>
      <c r="B69" s="366">
        <f t="shared" si="5"/>
        <v>26</v>
      </c>
      <c r="C69" s="41">
        <f t="shared" si="6"/>
        <v>232300000</v>
      </c>
      <c r="D69" s="41"/>
      <c r="E69" s="383">
        <f>E67</f>
        <v>0.04659</v>
      </c>
      <c r="F69" s="41">
        <f>((C68+D68)*E69/360*B68)+((C69+D69)*E69/360*B69)</f>
        <v>2852110.3833333333</v>
      </c>
      <c r="G69" s="41">
        <f>G67</f>
        <v>164972</v>
      </c>
      <c r="H69" s="91"/>
      <c r="I69" s="91"/>
      <c r="J69" s="242"/>
    </row>
    <row r="70" spans="1:10" s="56" customFormat="1" ht="12.75">
      <c r="A70" s="90">
        <v>42526</v>
      </c>
      <c r="B70" s="366">
        <f t="shared" si="5"/>
        <v>66</v>
      </c>
      <c r="C70" s="41">
        <f t="shared" si="6"/>
        <v>222200000</v>
      </c>
      <c r="D70" s="41">
        <f>D68</f>
        <v>10100000</v>
      </c>
      <c r="E70" s="383"/>
      <c r="F70" s="41"/>
      <c r="G70" s="41"/>
      <c r="H70" s="91"/>
      <c r="I70" s="91"/>
      <c r="J70" s="242"/>
    </row>
    <row r="71" spans="1:10" s="56" customFormat="1" ht="12.75">
      <c r="A71" s="90">
        <v>42551</v>
      </c>
      <c r="B71" s="366">
        <f t="shared" si="5"/>
        <v>25</v>
      </c>
      <c r="C71" s="41">
        <f t="shared" si="6"/>
        <v>222200000</v>
      </c>
      <c r="D71" s="41"/>
      <c r="E71" s="383">
        <f>E69</f>
        <v>0.04659</v>
      </c>
      <c r="F71" s="41">
        <f>((C70+D70)*E71/360*B70)+((C71+D71)*E71/360*B71)</f>
        <v>2703100.033333333</v>
      </c>
      <c r="G71" s="41">
        <f>G69</f>
        <v>164972</v>
      </c>
      <c r="H71" s="91"/>
      <c r="I71" s="91"/>
      <c r="J71" s="242"/>
    </row>
    <row r="72" spans="1:10" s="56" customFormat="1" ht="12.75">
      <c r="A72" s="90">
        <v>42618</v>
      </c>
      <c r="B72" s="366">
        <f t="shared" si="5"/>
        <v>67</v>
      </c>
      <c r="C72" s="41">
        <f t="shared" si="6"/>
        <v>212100000</v>
      </c>
      <c r="D72" s="41">
        <f>D70</f>
        <v>10100000</v>
      </c>
      <c r="E72" s="383"/>
      <c r="F72" s="41"/>
      <c r="G72" s="41"/>
      <c r="H72" s="91"/>
      <c r="I72" s="91"/>
      <c r="J72" s="242"/>
    </row>
    <row r="73" spans="1:10" s="56" customFormat="1" ht="12.75">
      <c r="A73" s="90">
        <v>42643</v>
      </c>
      <c r="B73" s="366">
        <f t="shared" si="5"/>
        <v>25</v>
      </c>
      <c r="C73" s="41">
        <f t="shared" si="6"/>
        <v>212100000</v>
      </c>
      <c r="D73" s="41"/>
      <c r="E73" s="383">
        <f>E71</f>
        <v>0.04659</v>
      </c>
      <c r="F73" s="41">
        <f>((C72+D72)*E73/360*B72)+((C73+D73)*E73/360*B73)</f>
        <v>2612909.5583333336</v>
      </c>
      <c r="G73" s="41">
        <f>G71</f>
        <v>164972</v>
      </c>
      <c r="H73" s="91"/>
      <c r="I73" s="91"/>
      <c r="J73" s="242"/>
    </row>
    <row r="74" spans="1:10" s="56" customFormat="1" ht="12.75">
      <c r="A74" s="90">
        <v>42709</v>
      </c>
      <c r="B74" s="366">
        <f t="shared" si="5"/>
        <v>66</v>
      </c>
      <c r="C74" s="41">
        <f t="shared" si="6"/>
        <v>202000000</v>
      </c>
      <c r="D74" s="41">
        <f>D72</f>
        <v>10100000</v>
      </c>
      <c r="E74" s="383"/>
      <c r="F74" s="41"/>
      <c r="G74" s="41"/>
      <c r="H74" s="91"/>
      <c r="I74" s="91"/>
      <c r="J74" s="242"/>
    </row>
    <row r="75" spans="1:10" s="56" customFormat="1" ht="12.75">
      <c r="A75" s="97">
        <v>42734</v>
      </c>
      <c r="B75" s="367">
        <f t="shared" si="5"/>
        <v>25</v>
      </c>
      <c r="C75" s="99">
        <f t="shared" si="6"/>
        <v>202000000</v>
      </c>
      <c r="D75" s="99"/>
      <c r="E75" s="384">
        <f>E73</f>
        <v>0.04659</v>
      </c>
      <c r="F75" s="99">
        <f>((C74+D74)*E75/360*B74)+((C75+D75)*E75/360*B75)</f>
        <v>2465206.316666667</v>
      </c>
      <c r="G75" s="99">
        <f>G73</f>
        <v>164972</v>
      </c>
      <c r="H75" s="359">
        <f>SUM(F69:G75)</f>
        <v>11293214.291666666</v>
      </c>
      <c r="I75" s="359">
        <f>SUM(D68:D75)</f>
        <v>40400000</v>
      </c>
      <c r="J75" s="360">
        <f>SUM(H75:I75)</f>
        <v>51693214.291666664</v>
      </c>
    </row>
    <row r="76" spans="1:10" s="56" customFormat="1" ht="12.75">
      <c r="A76" s="103">
        <v>42799</v>
      </c>
      <c r="B76" s="365">
        <f t="shared" si="5"/>
        <v>65</v>
      </c>
      <c r="C76" s="42">
        <f t="shared" si="6"/>
        <v>191900000</v>
      </c>
      <c r="D76" s="42">
        <v>10100000</v>
      </c>
      <c r="E76" s="382"/>
      <c r="F76" s="42"/>
      <c r="G76" s="42"/>
      <c r="H76" s="394"/>
      <c r="I76" s="394"/>
      <c r="J76" s="395"/>
    </row>
    <row r="77" spans="1:10" s="56" customFormat="1" ht="12.75">
      <c r="A77" s="90">
        <v>42825</v>
      </c>
      <c r="B77" s="366">
        <f t="shared" si="5"/>
        <v>26</v>
      </c>
      <c r="C77" s="41">
        <f t="shared" si="6"/>
        <v>191900000</v>
      </c>
      <c r="D77" s="41"/>
      <c r="E77" s="383">
        <f>E75</f>
        <v>0.04659</v>
      </c>
      <c r="F77" s="41">
        <f>((C76+D76)*E77/360*B76)+((C77+D77)*E77/360*B77)</f>
        <v>2344952.35</v>
      </c>
      <c r="G77" s="41">
        <f>G75</f>
        <v>164972</v>
      </c>
      <c r="H77" s="91"/>
      <c r="I77" s="91"/>
      <c r="J77" s="242"/>
    </row>
    <row r="78" spans="1:10" s="56" customFormat="1" ht="12.75">
      <c r="A78" s="90">
        <v>42891</v>
      </c>
      <c r="B78" s="366">
        <f t="shared" si="5"/>
        <v>66</v>
      </c>
      <c r="C78" s="41">
        <f t="shared" si="6"/>
        <v>181800000</v>
      </c>
      <c r="D78" s="41">
        <f>D76</f>
        <v>10100000</v>
      </c>
      <c r="E78" s="383"/>
      <c r="F78" s="41"/>
      <c r="G78" s="41"/>
      <c r="H78" s="91"/>
      <c r="I78" s="91"/>
      <c r="J78" s="242"/>
    </row>
    <row r="79" spans="1:10" s="56" customFormat="1" ht="12.75">
      <c r="A79" s="90">
        <v>42916</v>
      </c>
      <c r="B79" s="366">
        <f t="shared" si="5"/>
        <v>25</v>
      </c>
      <c r="C79" s="41">
        <f t="shared" si="6"/>
        <v>181800000</v>
      </c>
      <c r="D79" s="41"/>
      <c r="E79" s="383">
        <f>E77</f>
        <v>0.04659</v>
      </c>
      <c r="F79" s="41">
        <f>((C78+D78)*E79/360*B78)+((C79+D79)*E79/360*B79)</f>
        <v>2227312.6</v>
      </c>
      <c r="G79" s="41">
        <f>G77</f>
        <v>164972</v>
      </c>
      <c r="H79" s="91"/>
      <c r="I79" s="91"/>
      <c r="J79" s="242"/>
    </row>
    <row r="80" spans="1:10" s="56" customFormat="1" ht="12.75">
      <c r="A80" s="90">
        <v>42983</v>
      </c>
      <c r="B80" s="366">
        <f t="shared" si="5"/>
        <v>67</v>
      </c>
      <c r="C80" s="41">
        <f t="shared" si="6"/>
        <v>171700000</v>
      </c>
      <c r="D80" s="41">
        <f>D78</f>
        <v>10100000</v>
      </c>
      <c r="E80" s="383"/>
      <c r="F80" s="41"/>
      <c r="G80" s="41"/>
      <c r="H80" s="91"/>
      <c r="I80" s="91"/>
      <c r="J80" s="242"/>
    </row>
    <row r="81" spans="1:10" s="56" customFormat="1" ht="12.75">
      <c r="A81" s="90">
        <v>43008</v>
      </c>
      <c r="B81" s="366">
        <f t="shared" si="5"/>
        <v>25</v>
      </c>
      <c r="C81" s="41">
        <f t="shared" si="6"/>
        <v>171700000</v>
      </c>
      <c r="D81" s="41"/>
      <c r="E81" s="383">
        <f>E79</f>
        <v>0.04659</v>
      </c>
      <c r="F81" s="41">
        <f>((C80+D80)*E81/360*B80)+((C81+D81)*E81/360*B81)</f>
        <v>2131893.691666667</v>
      </c>
      <c r="G81" s="41">
        <f>G79</f>
        <v>164972</v>
      </c>
      <c r="H81" s="91"/>
      <c r="I81" s="91"/>
      <c r="J81" s="242"/>
    </row>
    <row r="82" spans="1:10" s="56" customFormat="1" ht="12.75">
      <c r="A82" s="90">
        <v>43074</v>
      </c>
      <c r="B82" s="366">
        <f t="shared" si="5"/>
        <v>66</v>
      </c>
      <c r="C82" s="41">
        <f t="shared" si="6"/>
        <v>161600000</v>
      </c>
      <c r="D82" s="41">
        <f>D80</f>
        <v>10100000</v>
      </c>
      <c r="E82" s="383"/>
      <c r="F82" s="41"/>
      <c r="G82" s="41"/>
      <c r="H82" s="91"/>
      <c r="I82" s="91"/>
      <c r="J82" s="242"/>
    </row>
    <row r="83" spans="1:10" s="56" customFormat="1" ht="12.75">
      <c r="A83" s="97">
        <v>43099</v>
      </c>
      <c r="B83" s="367">
        <f t="shared" si="5"/>
        <v>25</v>
      </c>
      <c r="C83" s="99">
        <f t="shared" si="6"/>
        <v>161600000</v>
      </c>
      <c r="D83" s="99"/>
      <c r="E83" s="384">
        <f>E81</f>
        <v>0.04659</v>
      </c>
      <c r="F83" s="99">
        <f>((C82+D82)*E83/360*B82)+((C83+D83)*E83/360*B83)</f>
        <v>1989418.8833333333</v>
      </c>
      <c r="G83" s="99">
        <f>G81</f>
        <v>164972</v>
      </c>
      <c r="H83" s="359">
        <f>SUM(F77:G83)</f>
        <v>9353465.525</v>
      </c>
      <c r="I83" s="359">
        <f>SUM(D76:D83)</f>
        <v>40400000</v>
      </c>
      <c r="J83" s="360">
        <f>SUM(H83:I83)</f>
        <v>49753465.525</v>
      </c>
    </row>
    <row r="84" spans="1:10" s="56" customFormat="1" ht="12.75">
      <c r="A84" s="103">
        <v>43164</v>
      </c>
      <c r="B84" s="365">
        <f t="shared" si="5"/>
        <v>65</v>
      </c>
      <c r="C84" s="42">
        <f t="shared" si="6"/>
        <v>151500000</v>
      </c>
      <c r="D84" s="42">
        <v>10100000</v>
      </c>
      <c r="E84" s="382"/>
      <c r="F84" s="42"/>
      <c r="G84" s="42"/>
      <c r="H84" s="394"/>
      <c r="I84" s="394"/>
      <c r="J84" s="395"/>
    </row>
    <row r="85" spans="1:10" s="56" customFormat="1" ht="12.75">
      <c r="A85" s="90">
        <v>43190</v>
      </c>
      <c r="B85" s="366">
        <f t="shared" si="5"/>
        <v>26</v>
      </c>
      <c r="C85" s="41">
        <f t="shared" si="6"/>
        <v>151500000</v>
      </c>
      <c r="D85" s="41"/>
      <c r="E85" s="383">
        <f>E83</f>
        <v>0.04659</v>
      </c>
      <c r="F85" s="41">
        <f>((C84+D84)*E85/360*B84)+((C85+D85)*E85/360*B85)</f>
        <v>1869164.9166666667</v>
      </c>
      <c r="G85" s="41">
        <f>G83</f>
        <v>164972</v>
      </c>
      <c r="H85" s="91"/>
      <c r="I85" s="91"/>
      <c r="J85" s="242"/>
    </row>
    <row r="86" spans="1:10" s="56" customFormat="1" ht="12.75">
      <c r="A86" s="90">
        <v>43256</v>
      </c>
      <c r="B86" s="366">
        <f t="shared" si="5"/>
        <v>66</v>
      </c>
      <c r="C86" s="41">
        <f t="shared" si="6"/>
        <v>141400000</v>
      </c>
      <c r="D86" s="41">
        <f>D84</f>
        <v>10100000</v>
      </c>
      <c r="E86" s="383"/>
      <c r="F86" s="41"/>
      <c r="G86" s="41"/>
      <c r="H86" s="91"/>
      <c r="I86" s="91"/>
      <c r="J86" s="242"/>
    </row>
    <row r="87" spans="1:10" s="56" customFormat="1" ht="12.75">
      <c r="A87" s="90">
        <v>43281</v>
      </c>
      <c r="B87" s="366">
        <f t="shared" si="5"/>
        <v>25</v>
      </c>
      <c r="C87" s="41">
        <f t="shared" si="6"/>
        <v>141400000</v>
      </c>
      <c r="D87" s="41"/>
      <c r="E87" s="383">
        <f>E85</f>
        <v>0.04659</v>
      </c>
      <c r="F87" s="41">
        <f>((C86+D86)*E87/360*B86)+((C87+D87)*E87/360*B87)</f>
        <v>1751525.1666666667</v>
      </c>
      <c r="G87" s="41">
        <v>164987</v>
      </c>
      <c r="H87" s="91"/>
      <c r="I87" s="91"/>
      <c r="J87" s="242"/>
    </row>
    <row r="88" spans="1:10" s="56" customFormat="1" ht="12.75">
      <c r="A88" s="90">
        <v>43348</v>
      </c>
      <c r="B88" s="366">
        <f t="shared" si="5"/>
        <v>67</v>
      </c>
      <c r="C88" s="41">
        <f t="shared" si="6"/>
        <v>131300000</v>
      </c>
      <c r="D88" s="41">
        <f>D86</f>
        <v>10100000</v>
      </c>
      <c r="E88" s="383"/>
      <c r="F88" s="41"/>
      <c r="G88" s="41"/>
      <c r="H88" s="91"/>
      <c r="I88" s="91"/>
      <c r="J88" s="242"/>
    </row>
    <row r="89" spans="1:10" s="56" customFormat="1" ht="12.75">
      <c r="A89" s="90">
        <v>43373</v>
      </c>
      <c r="B89" s="366">
        <f t="shared" si="5"/>
        <v>25</v>
      </c>
      <c r="C89" s="41">
        <f t="shared" si="6"/>
        <v>131300000</v>
      </c>
      <c r="D89" s="41"/>
      <c r="E89" s="383">
        <f>E87</f>
        <v>0.04659</v>
      </c>
      <c r="F89" s="41">
        <f>((C88+D88)*E89/360*B88)+((C89+D89)*E89/360*B89)</f>
        <v>1650877.825</v>
      </c>
      <c r="G89" s="41"/>
      <c r="H89" s="91"/>
      <c r="I89" s="91"/>
      <c r="J89" s="242"/>
    </row>
    <row r="90" spans="1:10" s="56" customFormat="1" ht="12.75">
      <c r="A90" s="90">
        <v>43439</v>
      </c>
      <c r="B90" s="366">
        <f t="shared" si="5"/>
        <v>66</v>
      </c>
      <c r="C90" s="41">
        <f t="shared" si="6"/>
        <v>121200000</v>
      </c>
      <c r="D90" s="41">
        <f>D88</f>
        <v>10100000</v>
      </c>
      <c r="E90" s="383"/>
      <c r="F90" s="41"/>
      <c r="G90" s="41"/>
      <c r="H90" s="91"/>
      <c r="I90" s="91"/>
      <c r="J90" s="242"/>
    </row>
    <row r="91" spans="1:10" s="56" customFormat="1" ht="12.75">
      <c r="A91" s="97">
        <v>43464</v>
      </c>
      <c r="B91" s="367">
        <f t="shared" si="5"/>
        <v>25</v>
      </c>
      <c r="C91" s="99">
        <f t="shared" si="6"/>
        <v>121200000</v>
      </c>
      <c r="D91" s="99"/>
      <c r="E91" s="384">
        <f>E89</f>
        <v>0.04659</v>
      </c>
      <c r="F91" s="99">
        <f>((C90+D90)*E91/360*B90)+((C91+D91)*E91/360*B91)</f>
        <v>1513631.45</v>
      </c>
      <c r="G91" s="99"/>
      <c r="H91" s="359">
        <f>SUM(F85:G91)</f>
        <v>7115158.358333333</v>
      </c>
      <c r="I91" s="359">
        <f>SUM(D84:D91)</f>
        <v>40400000</v>
      </c>
      <c r="J91" s="360">
        <f>SUM(H91:I91)</f>
        <v>47515158.358333334</v>
      </c>
    </row>
    <row r="92" spans="1:10" s="56" customFormat="1" ht="12.75">
      <c r="A92" s="103">
        <v>43529</v>
      </c>
      <c r="B92" s="365">
        <f aca="true" t="shared" si="7" ref="B92:B114">A92-A91</f>
        <v>65</v>
      </c>
      <c r="C92" s="42">
        <f aca="true" t="shared" si="8" ref="C92:C114">C91-D92</f>
        <v>111100000</v>
      </c>
      <c r="D92" s="42">
        <v>10100000</v>
      </c>
      <c r="E92" s="382"/>
      <c r="F92" s="42"/>
      <c r="G92" s="42"/>
      <c r="H92" s="394"/>
      <c r="I92" s="394"/>
      <c r="J92" s="395"/>
    </row>
    <row r="93" spans="1:10" s="56" customFormat="1" ht="12.75">
      <c r="A93" s="90">
        <v>43555</v>
      </c>
      <c r="B93" s="366">
        <f t="shared" si="7"/>
        <v>26</v>
      </c>
      <c r="C93" s="41">
        <f t="shared" si="8"/>
        <v>111100000</v>
      </c>
      <c r="D93" s="41"/>
      <c r="E93" s="383">
        <f>E91</f>
        <v>0.04659</v>
      </c>
      <c r="F93" s="41">
        <f>((C92+D92)*E93/360*B92)+((C93+D93)*E93/360*B93)</f>
        <v>1393377.4833333334</v>
      </c>
      <c r="G93" s="41"/>
      <c r="H93" s="91"/>
      <c r="I93" s="91"/>
      <c r="J93" s="242"/>
    </row>
    <row r="94" spans="1:10" s="56" customFormat="1" ht="12.75">
      <c r="A94" s="90">
        <v>43621</v>
      </c>
      <c r="B94" s="366">
        <f t="shared" si="7"/>
        <v>66</v>
      </c>
      <c r="C94" s="41">
        <f t="shared" si="8"/>
        <v>101000000</v>
      </c>
      <c r="D94" s="41">
        <f>D92</f>
        <v>10100000</v>
      </c>
      <c r="E94" s="383"/>
      <c r="F94" s="41"/>
      <c r="G94" s="41"/>
      <c r="H94" s="91"/>
      <c r="I94" s="91"/>
      <c r="J94" s="242"/>
    </row>
    <row r="95" spans="1:10" s="56" customFormat="1" ht="12.75">
      <c r="A95" s="90">
        <v>43646</v>
      </c>
      <c r="B95" s="366">
        <f t="shared" si="7"/>
        <v>25</v>
      </c>
      <c r="C95" s="41">
        <f t="shared" si="8"/>
        <v>101000000</v>
      </c>
      <c r="D95" s="41"/>
      <c r="E95" s="383">
        <f>E93</f>
        <v>0.04659</v>
      </c>
      <c r="F95" s="41">
        <f>((C94+D94)*E95/360*B94)+((C95+D95)*E95/360*B95)</f>
        <v>1275737.7333333334</v>
      </c>
      <c r="G95" s="41"/>
      <c r="H95" s="91"/>
      <c r="I95" s="91"/>
      <c r="J95" s="242"/>
    </row>
    <row r="96" spans="1:10" s="56" customFormat="1" ht="12.75">
      <c r="A96" s="90">
        <v>43713</v>
      </c>
      <c r="B96" s="366">
        <f t="shared" si="7"/>
        <v>67</v>
      </c>
      <c r="C96" s="41">
        <f t="shared" si="8"/>
        <v>90900000</v>
      </c>
      <c r="D96" s="41">
        <f>D94</f>
        <v>10100000</v>
      </c>
      <c r="E96" s="383"/>
      <c r="F96" s="41"/>
      <c r="G96" s="41"/>
      <c r="H96" s="91"/>
      <c r="I96" s="91"/>
      <c r="J96" s="242"/>
    </row>
    <row r="97" spans="1:10" s="56" customFormat="1" ht="12.75">
      <c r="A97" s="90">
        <v>43738</v>
      </c>
      <c r="B97" s="366">
        <f t="shared" si="7"/>
        <v>25</v>
      </c>
      <c r="C97" s="41">
        <f t="shared" si="8"/>
        <v>90900000</v>
      </c>
      <c r="D97" s="41"/>
      <c r="E97" s="383">
        <f>E95</f>
        <v>0.04659</v>
      </c>
      <c r="F97" s="41">
        <f>((C96+D96)*E97/360*B96)+((C97+D97)*E97/360*B97)</f>
        <v>1169861.9583333335</v>
      </c>
      <c r="G97" s="41"/>
      <c r="H97" s="91"/>
      <c r="I97" s="91"/>
      <c r="J97" s="242"/>
    </row>
    <row r="98" spans="1:10" s="56" customFormat="1" ht="12.75">
      <c r="A98" s="90">
        <v>43804</v>
      </c>
      <c r="B98" s="366">
        <f t="shared" si="7"/>
        <v>66</v>
      </c>
      <c r="C98" s="41">
        <f t="shared" si="8"/>
        <v>80800000</v>
      </c>
      <c r="D98" s="41">
        <f>D96</f>
        <v>10100000</v>
      </c>
      <c r="E98" s="383"/>
      <c r="F98" s="41"/>
      <c r="G98" s="41"/>
      <c r="H98" s="91"/>
      <c r="I98" s="91"/>
      <c r="J98" s="242"/>
    </row>
    <row r="99" spans="1:10" s="56" customFormat="1" ht="12.75">
      <c r="A99" s="97">
        <v>43829</v>
      </c>
      <c r="B99" s="367">
        <f t="shared" si="7"/>
        <v>25</v>
      </c>
      <c r="C99" s="99">
        <f t="shared" si="8"/>
        <v>80800000</v>
      </c>
      <c r="D99" s="99"/>
      <c r="E99" s="384">
        <f>E97</f>
        <v>0.04659</v>
      </c>
      <c r="F99" s="99">
        <f>((C98+D98)*E99/360*B98)+((C99+D99)*E99/360*B99)</f>
        <v>1037844.0166666666</v>
      </c>
      <c r="G99" s="99"/>
      <c r="H99" s="359">
        <f>SUM(F93:G99)</f>
        <v>4876821.191666666</v>
      </c>
      <c r="I99" s="359">
        <f>SUM(D92:D99)</f>
        <v>40400000</v>
      </c>
      <c r="J99" s="360">
        <f>SUM(H99:I99)</f>
        <v>45276821.19166666</v>
      </c>
    </row>
    <row r="100" spans="1:10" s="56" customFormat="1" ht="12.75">
      <c r="A100" s="103">
        <v>43895</v>
      </c>
      <c r="B100" s="365">
        <f t="shared" si="7"/>
        <v>66</v>
      </c>
      <c r="C100" s="42">
        <f t="shared" si="8"/>
        <v>70700000</v>
      </c>
      <c r="D100" s="42">
        <v>10100000</v>
      </c>
      <c r="E100" s="382"/>
      <c r="F100" s="42"/>
      <c r="G100" s="42"/>
      <c r="H100" s="394"/>
      <c r="I100" s="394"/>
      <c r="J100" s="395"/>
    </row>
    <row r="101" spans="1:10" s="56" customFormat="1" ht="12.75">
      <c r="A101" s="90">
        <v>43921</v>
      </c>
      <c r="B101" s="366">
        <f t="shared" si="7"/>
        <v>26</v>
      </c>
      <c r="C101" s="41">
        <f t="shared" si="8"/>
        <v>70700000</v>
      </c>
      <c r="D101" s="41"/>
      <c r="E101" s="383">
        <f>E99</f>
        <v>0.04659</v>
      </c>
      <c r="F101" s="41">
        <f>((C100+D100)*E101/360*B100)+((C101+D101)*E101/360*B101)</f>
        <v>928046.9166666666</v>
      </c>
      <c r="G101" s="41"/>
      <c r="H101" s="91"/>
      <c r="I101" s="91"/>
      <c r="J101" s="242"/>
    </row>
    <row r="102" spans="1:10" s="56" customFormat="1" ht="12.75">
      <c r="A102" s="90">
        <v>43987</v>
      </c>
      <c r="B102" s="366">
        <f t="shared" si="7"/>
        <v>66</v>
      </c>
      <c r="C102" s="41">
        <f t="shared" si="8"/>
        <v>60600000</v>
      </c>
      <c r="D102" s="41">
        <f>D100</f>
        <v>10100000</v>
      </c>
      <c r="E102" s="383"/>
      <c r="F102" s="41"/>
      <c r="G102" s="41"/>
      <c r="H102" s="91"/>
      <c r="I102" s="91"/>
      <c r="J102" s="242"/>
    </row>
    <row r="103" spans="1:10" s="56" customFormat="1" ht="12.75">
      <c r="A103" s="90">
        <v>44012</v>
      </c>
      <c r="B103" s="366">
        <f t="shared" si="7"/>
        <v>25</v>
      </c>
      <c r="C103" s="41">
        <f t="shared" si="8"/>
        <v>60600000</v>
      </c>
      <c r="D103" s="41"/>
      <c r="E103" s="383">
        <f>E101</f>
        <v>0.04659</v>
      </c>
      <c r="F103" s="41">
        <f>((C102+D102)*E103/360*B102)+((C103+D103)*E103/360*B103)</f>
        <v>799950.3</v>
      </c>
      <c r="G103" s="41"/>
      <c r="H103" s="91"/>
      <c r="I103" s="91"/>
      <c r="J103" s="242"/>
    </row>
    <row r="104" spans="1:10" s="56" customFormat="1" ht="12.75">
      <c r="A104" s="90">
        <v>44079</v>
      </c>
      <c r="B104" s="366">
        <f t="shared" si="7"/>
        <v>67</v>
      </c>
      <c r="C104" s="41">
        <f t="shared" si="8"/>
        <v>50500000</v>
      </c>
      <c r="D104" s="41">
        <f>D102</f>
        <v>10100000</v>
      </c>
      <c r="E104" s="383"/>
      <c r="F104" s="41"/>
      <c r="G104" s="41"/>
      <c r="H104" s="91"/>
      <c r="I104" s="91"/>
      <c r="J104" s="242"/>
    </row>
    <row r="105" spans="1:10" s="56" customFormat="1" ht="12.75">
      <c r="A105" s="90">
        <v>44104</v>
      </c>
      <c r="B105" s="366">
        <f t="shared" si="7"/>
        <v>25</v>
      </c>
      <c r="C105" s="41">
        <f t="shared" si="8"/>
        <v>50500000</v>
      </c>
      <c r="D105" s="41"/>
      <c r="E105" s="383">
        <f>E103</f>
        <v>0.04659</v>
      </c>
      <c r="F105" s="41">
        <f>((C104+D104)*E105/360*B104)+((C105+D105)*E105/360*B105)</f>
        <v>688846.0916666666</v>
      </c>
      <c r="G105" s="41"/>
      <c r="H105" s="91"/>
      <c r="I105" s="91"/>
      <c r="J105" s="242"/>
    </row>
    <row r="106" spans="1:10" s="56" customFormat="1" ht="12.75">
      <c r="A106" s="90">
        <v>44170</v>
      </c>
      <c r="B106" s="366">
        <f t="shared" si="7"/>
        <v>66</v>
      </c>
      <c r="C106" s="41">
        <f t="shared" si="8"/>
        <v>40400000</v>
      </c>
      <c r="D106" s="41">
        <f>D104</f>
        <v>10100000</v>
      </c>
      <c r="E106" s="383"/>
      <c r="F106" s="41"/>
      <c r="G106" s="41"/>
      <c r="H106" s="91"/>
      <c r="I106" s="91"/>
      <c r="J106" s="242"/>
    </row>
    <row r="107" spans="1:10" s="56" customFormat="1" ht="12.75">
      <c r="A107" s="97">
        <v>44195</v>
      </c>
      <c r="B107" s="367">
        <f t="shared" si="7"/>
        <v>25</v>
      </c>
      <c r="C107" s="99">
        <f t="shared" si="8"/>
        <v>40400000</v>
      </c>
      <c r="D107" s="99"/>
      <c r="E107" s="384">
        <f>E105</f>
        <v>0.04659</v>
      </c>
      <c r="F107" s="99">
        <f>((C106+D106)*E107/360*B106)+((C107+D107)*E107/360*B107)</f>
        <v>562056.5833333334</v>
      </c>
      <c r="G107" s="99"/>
      <c r="H107" s="359">
        <f>SUM(F101:G107)</f>
        <v>2978899.891666667</v>
      </c>
      <c r="I107" s="359">
        <f>SUM(D100:D107)</f>
        <v>40400000</v>
      </c>
      <c r="J107" s="360">
        <f>SUM(H107:I107)</f>
        <v>43378899.891666666</v>
      </c>
    </row>
    <row r="108" spans="1:10" s="56" customFormat="1" ht="12.75">
      <c r="A108" s="103">
        <v>44260</v>
      </c>
      <c r="B108" s="365">
        <f t="shared" si="7"/>
        <v>65</v>
      </c>
      <c r="C108" s="42">
        <f t="shared" si="8"/>
        <v>30300000</v>
      </c>
      <c r="D108" s="42">
        <v>10100000</v>
      </c>
      <c r="E108" s="382"/>
      <c r="F108" s="42"/>
      <c r="G108" s="42"/>
      <c r="H108" s="394"/>
      <c r="I108" s="394"/>
      <c r="J108" s="395"/>
    </row>
    <row r="109" spans="1:10" s="56" customFormat="1" ht="12.75">
      <c r="A109" s="90">
        <v>44286</v>
      </c>
      <c r="B109" s="366">
        <f t="shared" si="7"/>
        <v>26</v>
      </c>
      <c r="C109" s="41">
        <f t="shared" si="8"/>
        <v>30300000</v>
      </c>
      <c r="D109" s="41"/>
      <c r="E109" s="383">
        <f>E107</f>
        <v>0.04659</v>
      </c>
      <c r="F109" s="41">
        <f>((C108+D108)*E109/360*B108)+((C109+D109)*E109/360*B109)</f>
        <v>441802.6166666667</v>
      </c>
      <c r="G109" s="41"/>
      <c r="H109" s="91"/>
      <c r="I109" s="91"/>
      <c r="J109" s="242"/>
    </row>
    <row r="110" spans="1:10" s="56" customFormat="1" ht="12.75">
      <c r="A110" s="90">
        <v>44352</v>
      </c>
      <c r="B110" s="366">
        <f t="shared" si="7"/>
        <v>66</v>
      </c>
      <c r="C110" s="41">
        <f t="shared" si="8"/>
        <v>20200000</v>
      </c>
      <c r="D110" s="41">
        <f>D108</f>
        <v>10100000</v>
      </c>
      <c r="E110" s="383"/>
      <c r="F110" s="41"/>
      <c r="G110" s="41"/>
      <c r="H110" s="91"/>
      <c r="I110" s="91"/>
      <c r="J110" s="242"/>
    </row>
    <row r="111" spans="1:10" s="56" customFormat="1" ht="12.75">
      <c r="A111" s="90">
        <v>44377</v>
      </c>
      <c r="B111" s="366">
        <f t="shared" si="7"/>
        <v>25</v>
      </c>
      <c r="C111" s="41">
        <f t="shared" si="8"/>
        <v>20200000</v>
      </c>
      <c r="D111" s="41"/>
      <c r="E111" s="383">
        <f>E109</f>
        <v>0.04659</v>
      </c>
      <c r="F111" s="41">
        <f>((C110+D110)*E111/360*B110)+((C111+D111)*E111/360*B111)</f>
        <v>324162.86666666664</v>
      </c>
      <c r="G111" s="41"/>
      <c r="H111" s="91"/>
      <c r="I111" s="91"/>
      <c r="J111" s="242"/>
    </row>
    <row r="112" spans="1:10" s="56" customFormat="1" ht="12.75">
      <c r="A112" s="90">
        <v>44444</v>
      </c>
      <c r="B112" s="366">
        <f t="shared" si="7"/>
        <v>67</v>
      </c>
      <c r="C112" s="41">
        <f t="shared" si="8"/>
        <v>10100000</v>
      </c>
      <c r="D112" s="41">
        <f>D110</f>
        <v>10100000</v>
      </c>
      <c r="E112" s="383"/>
      <c r="F112" s="41"/>
      <c r="G112" s="41"/>
      <c r="H112" s="91"/>
      <c r="I112" s="91"/>
      <c r="J112" s="242"/>
    </row>
    <row r="113" spans="1:10" s="56" customFormat="1" ht="12.75">
      <c r="A113" s="90">
        <v>44469</v>
      </c>
      <c r="B113" s="366">
        <f t="shared" si="7"/>
        <v>25</v>
      </c>
      <c r="C113" s="41">
        <f t="shared" si="8"/>
        <v>10100000</v>
      </c>
      <c r="D113" s="41"/>
      <c r="E113" s="383">
        <f>E111</f>
        <v>0.04659</v>
      </c>
      <c r="F113" s="41">
        <f>((C112+D112)*E113/360*B112)+((C113+D113)*E113/360*B113)</f>
        <v>207830.225</v>
      </c>
      <c r="G113" s="41"/>
      <c r="H113" s="91"/>
      <c r="I113" s="91"/>
      <c r="J113" s="242"/>
    </row>
    <row r="114" spans="1:10" s="56" customFormat="1" ht="13.5" thickBot="1">
      <c r="A114" s="90">
        <v>44535</v>
      </c>
      <c r="B114" s="366">
        <f t="shared" si="7"/>
        <v>66</v>
      </c>
      <c r="C114" s="41">
        <f t="shared" si="8"/>
        <v>0</v>
      </c>
      <c r="D114" s="41">
        <f>D112</f>
        <v>10100000</v>
      </c>
      <c r="E114" s="383">
        <f>E113</f>
        <v>0.04659</v>
      </c>
      <c r="F114" s="41">
        <f>((C114+D114)*E114/360*B114)</f>
        <v>86269.15</v>
      </c>
      <c r="G114" s="41"/>
      <c r="H114" s="300">
        <f>SUM(F108:G114)</f>
        <v>1060064.8583333334</v>
      </c>
      <c r="I114" s="300">
        <f>SUM(D108:D114)</f>
        <v>40400000</v>
      </c>
      <c r="J114" s="301">
        <f>SUM(H114:I114)</f>
        <v>41460064.858333334</v>
      </c>
    </row>
    <row r="115" spans="1:10" ht="13.5" thickTop="1">
      <c r="A115" s="471" t="s">
        <v>14</v>
      </c>
      <c r="B115" s="472"/>
      <c r="C115" s="473"/>
      <c r="D115" s="120">
        <f>SUM(D6:D114)</f>
        <v>494917000</v>
      </c>
      <c r="E115" s="385"/>
      <c r="F115" s="120">
        <f>SUM(F6:F114)</f>
        <v>195291713.23530328</v>
      </c>
      <c r="G115" s="120">
        <f>SUM(G6:G114)</f>
        <v>7423755</v>
      </c>
      <c r="H115" s="120">
        <f>SUM(H6:H114)</f>
        <v>202715468.2353033</v>
      </c>
      <c r="I115" s="120">
        <f>SUM(I6:I114)</f>
        <v>494917000</v>
      </c>
      <c r="J115" s="122">
        <f>SUM(J6:J114)</f>
        <v>697632468.2353034</v>
      </c>
    </row>
    <row r="116" spans="1:10" ht="12.75">
      <c r="A116" s="123"/>
      <c r="B116" s="124"/>
      <c r="E116" s="386"/>
      <c r="H116" s="124"/>
      <c r="J116" s="124"/>
    </row>
    <row r="117" spans="1:4" ht="12.75">
      <c r="A117" s="124"/>
      <c r="C117" s="58"/>
      <c r="D117" s="58"/>
    </row>
    <row r="118" spans="1:8" ht="12.75">
      <c r="A118" s="124"/>
      <c r="C118" s="58"/>
      <c r="D118" s="380" t="s">
        <v>3</v>
      </c>
      <c r="F118" s="380" t="s">
        <v>131</v>
      </c>
      <c r="G118" s="380" t="s">
        <v>169</v>
      </c>
      <c r="H118" s="380" t="s">
        <v>170</v>
      </c>
    </row>
    <row r="119" spans="1:8" ht="12.75">
      <c r="A119" s="275"/>
      <c r="B119" s="402"/>
      <c r="C119" s="402"/>
      <c r="D119" s="402"/>
      <c r="E119" s="403"/>
      <c r="F119" s="403" t="s">
        <v>167</v>
      </c>
      <c r="G119" s="403" t="s">
        <v>168</v>
      </c>
      <c r="H119" s="403" t="s">
        <v>171</v>
      </c>
    </row>
    <row r="120" spans="1:8" ht="12.75">
      <c r="A120" s="124" t="s">
        <v>207</v>
      </c>
      <c r="C120" s="58"/>
      <c r="D120" s="396">
        <v>39263</v>
      </c>
      <c r="F120" s="124">
        <v>164972160</v>
      </c>
      <c r="G120" s="124">
        <f>F120</f>
        <v>164972160</v>
      </c>
      <c r="H120" s="124">
        <f>633336000-G120</f>
        <v>468363840</v>
      </c>
    </row>
    <row r="121" spans="1:8" ht="12.75">
      <c r="A121" s="124" t="s">
        <v>208</v>
      </c>
      <c r="C121" s="58"/>
      <c r="D121" s="396">
        <v>39294</v>
      </c>
      <c r="F121" s="124">
        <v>164972160</v>
      </c>
      <c r="G121" s="124">
        <f>G120+F121</f>
        <v>329944320</v>
      </c>
      <c r="H121" s="124">
        <f>633336000-G121</f>
        <v>303391680</v>
      </c>
    </row>
    <row r="122" spans="1:8" ht="13.5" thickBot="1">
      <c r="A122" s="124" t="s">
        <v>209</v>
      </c>
      <c r="C122" s="58"/>
      <c r="D122" s="396">
        <v>39325</v>
      </c>
      <c r="F122" s="124">
        <v>164972680</v>
      </c>
      <c r="G122" s="124">
        <f>G121+F122</f>
        <v>494917000</v>
      </c>
      <c r="H122" s="124">
        <f>633336000-G122</f>
        <v>138419000</v>
      </c>
    </row>
    <row r="123" spans="1:6" ht="13.5" thickTop="1">
      <c r="A123" s="129" t="s">
        <v>14</v>
      </c>
      <c r="B123" s="129"/>
      <c r="C123" s="127"/>
      <c r="D123" s="127"/>
      <c r="E123" s="397"/>
      <c r="F123" s="127">
        <f>SUM(F120:F122)</f>
        <v>494917000</v>
      </c>
    </row>
  </sheetData>
  <mergeCells count="1">
    <mergeCell ref="A115:C115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90" r:id="rId1"/>
  <headerFooter alignWithMargins="0">
    <oddHeader>&amp;C&amp;"Times New Roman CE,Félkövér dőlt"&amp;12Adósságszolgálat számítása
Panel Plusz Programhoz kapcsolódó 494.917 ezer Ft hitel</oddHeader>
    <oddFooter>&amp;L&amp;8Készült: 2006. július 14.&amp;C&amp;8C:\Andi\adósságszolgálat\&amp;F\&amp;A    Oláhné P. Andrea&amp;R&amp;8&amp;P/&amp;N</oddFooter>
  </headerFooter>
  <rowBreaks count="2" manualBreakCount="2">
    <brk id="59" max="255" man="1"/>
    <brk id="11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Z87"/>
  <sheetViews>
    <sheetView tabSelected="1" workbookViewId="0" topLeftCell="A1">
      <pane xSplit="9" topLeftCell="J1" activePane="topRight" state="frozen"/>
      <selection pane="topLeft" activeCell="A1" sqref="A1"/>
      <selection pane="topRight" activeCell="J1" sqref="J1"/>
    </sheetView>
  </sheetViews>
  <sheetFormatPr defaultColWidth="9.00390625" defaultRowHeight="12.75"/>
  <cols>
    <col min="1" max="1" width="49.875" style="4" bestFit="1" customWidth="1"/>
    <col min="2" max="2" width="12.00390625" style="4" hidden="1" customWidth="1"/>
    <col min="3" max="3" width="11.875" style="4" hidden="1" customWidth="1"/>
    <col min="4" max="4" width="10.875" style="18" hidden="1" customWidth="1"/>
    <col min="5" max="5" width="9.875" style="0" hidden="1" customWidth="1"/>
    <col min="6" max="6" width="10.875" style="19" hidden="1" customWidth="1"/>
    <col min="7" max="7" width="10.00390625" style="4" hidden="1" customWidth="1"/>
    <col min="8" max="8" width="10.875" style="19" hidden="1" customWidth="1"/>
    <col min="9" max="9" width="10.375" style="4" hidden="1" customWidth="1"/>
    <col min="10" max="10" width="12.00390625" style="19" customWidth="1"/>
    <col min="11" max="11" width="10.375" style="4" bestFit="1" customWidth="1"/>
    <col min="12" max="12" width="11.00390625" style="19" customWidth="1"/>
    <col min="13" max="13" width="9.50390625" style="4" customWidth="1"/>
    <col min="14" max="14" width="11.125" style="19" customWidth="1"/>
    <col min="15" max="15" width="10.375" style="4" customWidth="1"/>
    <col min="16" max="16" width="11.125" style="19" bestFit="1" customWidth="1"/>
    <col min="17" max="17" width="10.375" style="4" bestFit="1" customWidth="1"/>
    <col min="18" max="18" width="11.125" style="19" bestFit="1" customWidth="1"/>
    <col min="19" max="19" width="10.375" style="4" bestFit="1" customWidth="1"/>
    <col min="20" max="20" width="11.125" style="19" bestFit="1" customWidth="1"/>
    <col min="21" max="21" width="10.375" style="4" bestFit="1" customWidth="1"/>
    <col min="22" max="22" width="10.125" style="19" customWidth="1"/>
    <col min="23" max="23" width="9.50390625" style="4" customWidth="1"/>
    <col min="24" max="24" width="11.125" style="4" customWidth="1"/>
    <col min="25" max="25" width="9.875" style="4" customWidth="1"/>
    <col min="26" max="26" width="10.875" style="4" bestFit="1" customWidth="1"/>
    <col min="27" max="27" width="10.375" style="4" bestFit="1" customWidth="1"/>
    <col min="28" max="28" width="10.875" style="4" bestFit="1" customWidth="1"/>
    <col min="29" max="29" width="10.375" style="4" customWidth="1"/>
    <col min="30" max="30" width="10.875" style="4" bestFit="1" customWidth="1"/>
    <col min="31" max="31" width="10.375" style="4" bestFit="1" customWidth="1"/>
    <col min="32" max="32" width="10.875" style="4" bestFit="1" customWidth="1"/>
    <col min="33" max="33" width="10.375" style="4" customWidth="1"/>
    <col min="34" max="34" width="10.875" style="4" customWidth="1"/>
    <col min="35" max="35" width="10.375" style="4" customWidth="1"/>
    <col min="36" max="36" width="10.875" style="4" customWidth="1"/>
    <col min="37" max="37" width="10.375" style="4" customWidth="1"/>
    <col min="38" max="38" width="11.00390625" style="4" customWidth="1"/>
    <col min="39" max="39" width="10.375" style="4" customWidth="1"/>
    <col min="40" max="40" width="11.125" style="4" customWidth="1"/>
    <col min="41" max="41" width="10.375" style="4" customWidth="1"/>
    <col min="42" max="42" width="10.875" style="4" bestFit="1" customWidth="1"/>
    <col min="43" max="43" width="8.625" style="4" bestFit="1" customWidth="1"/>
    <col min="44" max="44" width="10.875" style="4" bestFit="1" customWidth="1"/>
    <col min="45" max="45" width="8.375" style="4" bestFit="1" customWidth="1"/>
    <col min="46" max="46" width="10.125" style="4" customWidth="1"/>
    <col min="47" max="47" width="8.375" style="4" bestFit="1" customWidth="1"/>
    <col min="48" max="48" width="10.625" style="4" customWidth="1"/>
    <col min="49" max="49" width="8.625" style="4" bestFit="1" customWidth="1"/>
    <col min="50" max="50" width="10.125" style="4" customWidth="1"/>
    <col min="51" max="51" width="7.875" style="4" customWidth="1"/>
    <col min="52" max="16384" width="9.375" style="4" customWidth="1"/>
  </cols>
  <sheetData>
    <row r="1" ht="15.75">
      <c r="A1" s="463" t="s">
        <v>244</v>
      </c>
    </row>
    <row r="2" spans="1:51" ht="12.75">
      <c r="A2" s="3" t="s">
        <v>22</v>
      </c>
      <c r="B2" s="478" t="s">
        <v>69</v>
      </c>
      <c r="C2" s="479"/>
      <c r="D2" s="478" t="s">
        <v>23</v>
      </c>
      <c r="E2" s="479"/>
      <c r="F2" s="478" t="s">
        <v>24</v>
      </c>
      <c r="G2" s="479"/>
      <c r="H2" s="478" t="s">
        <v>25</v>
      </c>
      <c r="I2" s="479"/>
      <c r="J2" s="478" t="s">
        <v>26</v>
      </c>
      <c r="K2" s="479"/>
      <c r="L2" s="475" t="s">
        <v>27</v>
      </c>
      <c r="M2" s="476"/>
      <c r="N2" s="480" t="s">
        <v>28</v>
      </c>
      <c r="O2" s="480"/>
      <c r="P2" s="477" t="s">
        <v>29</v>
      </c>
      <c r="Q2" s="477"/>
      <c r="R2" s="478" t="s">
        <v>30</v>
      </c>
      <c r="S2" s="479"/>
      <c r="T2" s="475" t="s">
        <v>31</v>
      </c>
      <c r="U2" s="476"/>
      <c r="V2" s="475" t="s">
        <v>44</v>
      </c>
      <c r="W2" s="476"/>
      <c r="X2" s="475" t="s">
        <v>45</v>
      </c>
      <c r="Y2" s="476"/>
      <c r="Z2" s="475" t="s">
        <v>46</v>
      </c>
      <c r="AA2" s="476"/>
      <c r="AB2" s="475" t="s">
        <v>47</v>
      </c>
      <c r="AC2" s="476"/>
      <c r="AD2" s="475" t="s">
        <v>48</v>
      </c>
      <c r="AE2" s="476"/>
      <c r="AF2" s="475" t="s">
        <v>49</v>
      </c>
      <c r="AG2" s="476"/>
      <c r="AH2" s="475" t="s">
        <v>50</v>
      </c>
      <c r="AI2" s="476"/>
      <c r="AJ2" s="475" t="s">
        <v>51</v>
      </c>
      <c r="AK2" s="476"/>
      <c r="AL2" s="475" t="s">
        <v>52</v>
      </c>
      <c r="AM2" s="476"/>
      <c r="AN2" s="475" t="s">
        <v>53</v>
      </c>
      <c r="AO2" s="476"/>
      <c r="AP2" s="475" t="s">
        <v>54</v>
      </c>
      <c r="AQ2" s="476"/>
      <c r="AR2" s="475" t="s">
        <v>139</v>
      </c>
      <c r="AS2" s="476"/>
      <c r="AT2" s="475" t="s">
        <v>140</v>
      </c>
      <c r="AU2" s="476"/>
      <c r="AV2" s="475" t="s">
        <v>141</v>
      </c>
      <c r="AW2" s="476"/>
      <c r="AX2" s="475" t="s">
        <v>185</v>
      </c>
      <c r="AY2" s="476"/>
    </row>
    <row r="3" spans="1:51" ht="12.75">
      <c r="A3" s="5"/>
      <c r="B3" s="6" t="s">
        <v>32</v>
      </c>
      <c r="C3" s="21" t="s">
        <v>33</v>
      </c>
      <c r="D3" s="6" t="s">
        <v>32</v>
      </c>
      <c r="E3" s="21" t="s">
        <v>33</v>
      </c>
      <c r="F3" s="6" t="s">
        <v>32</v>
      </c>
      <c r="G3" s="21" t="s">
        <v>33</v>
      </c>
      <c r="H3" s="6" t="s">
        <v>32</v>
      </c>
      <c r="I3" s="21" t="s">
        <v>33</v>
      </c>
      <c r="J3" s="6" t="s">
        <v>32</v>
      </c>
      <c r="K3" s="21" t="s">
        <v>33</v>
      </c>
      <c r="L3" s="6" t="s">
        <v>32</v>
      </c>
      <c r="M3" s="21" t="s">
        <v>33</v>
      </c>
      <c r="N3" s="46" t="s">
        <v>32</v>
      </c>
      <c r="O3" s="21" t="s">
        <v>33</v>
      </c>
      <c r="P3" s="6" t="s">
        <v>32</v>
      </c>
      <c r="Q3" s="49" t="s">
        <v>33</v>
      </c>
      <c r="R3" s="33" t="s">
        <v>32</v>
      </c>
      <c r="S3" s="21" t="s">
        <v>33</v>
      </c>
      <c r="T3" s="6" t="s">
        <v>32</v>
      </c>
      <c r="U3" s="21" t="s">
        <v>33</v>
      </c>
      <c r="V3" s="33" t="s">
        <v>32</v>
      </c>
      <c r="W3" s="21" t="s">
        <v>33</v>
      </c>
      <c r="X3" s="32" t="s">
        <v>32</v>
      </c>
      <c r="Y3" s="34" t="s">
        <v>33</v>
      </c>
      <c r="Z3" s="32" t="s">
        <v>32</v>
      </c>
      <c r="AA3" s="34" t="s">
        <v>33</v>
      </c>
      <c r="AB3" s="32" t="s">
        <v>32</v>
      </c>
      <c r="AC3" s="34" t="s">
        <v>33</v>
      </c>
      <c r="AD3" s="32" t="s">
        <v>32</v>
      </c>
      <c r="AE3" s="34" t="s">
        <v>33</v>
      </c>
      <c r="AF3" s="32" t="s">
        <v>32</v>
      </c>
      <c r="AG3" s="34" t="s">
        <v>33</v>
      </c>
      <c r="AH3" s="32" t="s">
        <v>32</v>
      </c>
      <c r="AI3" s="34" t="s">
        <v>33</v>
      </c>
      <c r="AJ3" s="32" t="s">
        <v>32</v>
      </c>
      <c r="AK3" s="34" t="s">
        <v>33</v>
      </c>
      <c r="AL3" s="32" t="s">
        <v>32</v>
      </c>
      <c r="AM3" s="34" t="s">
        <v>33</v>
      </c>
      <c r="AN3" s="32" t="s">
        <v>32</v>
      </c>
      <c r="AO3" s="34" t="s">
        <v>33</v>
      </c>
      <c r="AP3" s="32" t="s">
        <v>32</v>
      </c>
      <c r="AQ3" s="34" t="s">
        <v>216</v>
      </c>
      <c r="AR3" s="32" t="s">
        <v>32</v>
      </c>
      <c r="AS3" s="34" t="s">
        <v>216</v>
      </c>
      <c r="AT3" s="32" t="s">
        <v>32</v>
      </c>
      <c r="AU3" s="34" t="s">
        <v>216</v>
      </c>
      <c r="AV3" s="32" t="s">
        <v>32</v>
      </c>
      <c r="AW3" s="34" t="s">
        <v>216</v>
      </c>
      <c r="AX3" s="32" t="s">
        <v>32</v>
      </c>
      <c r="AY3" s="34" t="s">
        <v>216</v>
      </c>
    </row>
    <row r="4" spans="1:51" ht="12.75">
      <c r="A4" s="25"/>
      <c r="B4" s="7" t="s">
        <v>34</v>
      </c>
      <c r="C4" s="26"/>
      <c r="D4" s="7" t="s">
        <v>34</v>
      </c>
      <c r="E4" s="26"/>
      <c r="F4" s="7" t="s">
        <v>34</v>
      </c>
      <c r="G4" s="26"/>
      <c r="H4" s="7" t="s">
        <v>34</v>
      </c>
      <c r="I4" s="26"/>
      <c r="J4" s="7" t="s">
        <v>34</v>
      </c>
      <c r="K4" s="26"/>
      <c r="L4" s="1" t="s">
        <v>34</v>
      </c>
      <c r="M4" s="26"/>
      <c r="N4" s="47" t="s">
        <v>34</v>
      </c>
      <c r="O4" s="26"/>
      <c r="P4" s="7" t="s">
        <v>34</v>
      </c>
      <c r="Q4" s="50"/>
      <c r="R4" s="1" t="s">
        <v>34</v>
      </c>
      <c r="S4" s="26"/>
      <c r="T4" s="7" t="s">
        <v>34</v>
      </c>
      <c r="U4" s="26"/>
      <c r="V4" s="1" t="s">
        <v>34</v>
      </c>
      <c r="W4" s="26"/>
      <c r="X4" s="30" t="s">
        <v>34</v>
      </c>
      <c r="Y4" s="31"/>
      <c r="Z4" s="30" t="s">
        <v>34</v>
      </c>
      <c r="AA4" s="31"/>
      <c r="AB4" s="30" t="s">
        <v>34</v>
      </c>
      <c r="AC4" s="31"/>
      <c r="AD4" s="30" t="s">
        <v>34</v>
      </c>
      <c r="AE4" s="31"/>
      <c r="AF4" s="30" t="s">
        <v>34</v>
      </c>
      <c r="AG4" s="31"/>
      <c r="AH4" s="30" t="s">
        <v>34</v>
      </c>
      <c r="AI4" s="31"/>
      <c r="AJ4" s="30" t="s">
        <v>34</v>
      </c>
      <c r="AK4" s="31"/>
      <c r="AL4" s="30" t="s">
        <v>34</v>
      </c>
      <c r="AM4" s="31"/>
      <c r="AN4" s="30" t="s">
        <v>34</v>
      </c>
      <c r="AO4" s="31"/>
      <c r="AP4" s="30" t="s">
        <v>34</v>
      </c>
      <c r="AQ4" s="31" t="s">
        <v>217</v>
      </c>
      <c r="AR4" s="30" t="s">
        <v>34</v>
      </c>
      <c r="AS4" s="31" t="s">
        <v>217</v>
      </c>
      <c r="AT4" s="30" t="s">
        <v>34</v>
      </c>
      <c r="AU4" s="31" t="s">
        <v>217</v>
      </c>
      <c r="AV4" s="30" t="s">
        <v>34</v>
      </c>
      <c r="AW4" s="31" t="s">
        <v>217</v>
      </c>
      <c r="AX4" s="30" t="s">
        <v>34</v>
      </c>
      <c r="AY4" s="31" t="s">
        <v>217</v>
      </c>
    </row>
    <row r="5" spans="1:51" ht="12.75" customHeight="1">
      <c r="A5" s="5" t="s">
        <v>70</v>
      </c>
      <c r="B5" s="8">
        <f>C5+D5</f>
        <v>120000</v>
      </c>
      <c r="C5" s="16">
        <v>40000</v>
      </c>
      <c r="D5" s="8">
        <f>SUM(E5,G5,I5,K5,M5,O5)</f>
        <v>80000</v>
      </c>
      <c r="E5" s="16">
        <v>12760</v>
      </c>
      <c r="F5" s="8">
        <f>D5-E5</f>
        <v>67240</v>
      </c>
      <c r="G5" s="16">
        <v>13120</v>
      </c>
      <c r="H5" s="12">
        <f>F5-G5</f>
        <v>54120</v>
      </c>
      <c r="I5" s="16">
        <v>13120</v>
      </c>
      <c r="J5" s="48">
        <f>H5-I5</f>
        <v>41000</v>
      </c>
      <c r="K5" s="16">
        <v>13120</v>
      </c>
      <c r="L5" s="28">
        <f aca="true" t="shared" si="0" ref="L5:L12">J5-K5</f>
        <v>27880</v>
      </c>
      <c r="M5" s="16">
        <v>13120</v>
      </c>
      <c r="N5" s="48">
        <f>L5-M5</f>
        <v>14760</v>
      </c>
      <c r="O5" s="23">
        <v>14760</v>
      </c>
      <c r="P5" s="13" t="s">
        <v>35</v>
      </c>
      <c r="Q5" s="14" t="s">
        <v>35</v>
      </c>
      <c r="R5" s="20" t="s">
        <v>35</v>
      </c>
      <c r="S5" s="24" t="s">
        <v>35</v>
      </c>
      <c r="T5" s="39" t="s">
        <v>35</v>
      </c>
      <c r="U5" s="24" t="s">
        <v>35</v>
      </c>
      <c r="V5" s="20" t="s">
        <v>35</v>
      </c>
      <c r="W5" s="24" t="s">
        <v>35</v>
      </c>
      <c r="X5" s="39" t="s">
        <v>35</v>
      </c>
      <c r="Y5" s="24" t="s">
        <v>35</v>
      </c>
      <c r="Z5" s="13" t="s">
        <v>35</v>
      </c>
      <c r="AA5" s="14" t="s">
        <v>35</v>
      </c>
      <c r="AB5" s="13" t="s">
        <v>35</v>
      </c>
      <c r="AC5" s="14" t="s">
        <v>35</v>
      </c>
      <c r="AD5" s="13" t="s">
        <v>35</v>
      </c>
      <c r="AE5" s="14" t="s">
        <v>35</v>
      </c>
      <c r="AF5" s="13" t="s">
        <v>35</v>
      </c>
      <c r="AG5" s="14" t="s">
        <v>35</v>
      </c>
      <c r="AH5" s="13" t="s">
        <v>35</v>
      </c>
      <c r="AI5" s="14" t="s">
        <v>35</v>
      </c>
      <c r="AJ5" s="13" t="s">
        <v>35</v>
      </c>
      <c r="AK5" s="14" t="s">
        <v>35</v>
      </c>
      <c r="AL5" s="13" t="s">
        <v>35</v>
      </c>
      <c r="AM5" s="14" t="s">
        <v>35</v>
      </c>
      <c r="AN5" s="13" t="s">
        <v>35</v>
      </c>
      <c r="AO5" s="14" t="s">
        <v>35</v>
      </c>
      <c r="AP5" s="13" t="s">
        <v>35</v>
      </c>
      <c r="AQ5" s="14" t="s">
        <v>35</v>
      </c>
      <c r="AR5" s="13" t="s">
        <v>35</v>
      </c>
      <c r="AS5" s="14" t="s">
        <v>35</v>
      </c>
      <c r="AT5" s="13" t="s">
        <v>35</v>
      </c>
      <c r="AU5" s="14" t="s">
        <v>35</v>
      </c>
      <c r="AV5" s="13" t="s">
        <v>35</v>
      </c>
      <c r="AW5" s="14" t="s">
        <v>35</v>
      </c>
      <c r="AX5" s="13" t="s">
        <v>35</v>
      </c>
      <c r="AY5" s="14" t="s">
        <v>35</v>
      </c>
    </row>
    <row r="6" spans="1:51" ht="12.75">
      <c r="A6" s="5" t="s">
        <v>71</v>
      </c>
      <c r="B6" s="8">
        <f>C6+D6</f>
        <v>136673</v>
      </c>
      <c r="C6" s="16">
        <v>39996</v>
      </c>
      <c r="D6" s="8">
        <f>SUM(E6,G6,I6,K6,M6,O6)</f>
        <v>96677</v>
      </c>
      <c r="E6" s="16">
        <v>15677</v>
      </c>
      <c r="F6" s="8">
        <f>D6-E6</f>
        <v>81000</v>
      </c>
      <c r="G6" s="16">
        <v>16200</v>
      </c>
      <c r="H6" s="12">
        <f aca="true" t="shared" si="1" ref="H6:H11">F6-G6</f>
        <v>64800</v>
      </c>
      <c r="I6" s="16">
        <v>16200</v>
      </c>
      <c r="J6" s="48">
        <f aca="true" t="shared" si="2" ref="J6:J18">H6-I6</f>
        <v>48600</v>
      </c>
      <c r="K6" s="16">
        <v>16200</v>
      </c>
      <c r="L6" s="28">
        <f t="shared" si="0"/>
        <v>32400</v>
      </c>
      <c r="M6" s="16">
        <v>16200</v>
      </c>
      <c r="N6" s="48">
        <f>L6-M6</f>
        <v>16200</v>
      </c>
      <c r="O6" s="23">
        <v>16200</v>
      </c>
      <c r="P6" s="13" t="s">
        <v>35</v>
      </c>
      <c r="Q6" s="14" t="s">
        <v>35</v>
      </c>
      <c r="R6" s="20" t="s">
        <v>35</v>
      </c>
      <c r="S6" s="24" t="s">
        <v>35</v>
      </c>
      <c r="T6" s="20" t="s">
        <v>35</v>
      </c>
      <c r="U6" s="24" t="s">
        <v>35</v>
      </c>
      <c r="V6" s="20" t="s">
        <v>35</v>
      </c>
      <c r="W6" s="24" t="s">
        <v>35</v>
      </c>
      <c r="X6" s="39" t="s">
        <v>35</v>
      </c>
      <c r="Y6" s="24" t="s">
        <v>35</v>
      </c>
      <c r="Z6" s="13" t="s">
        <v>35</v>
      </c>
      <c r="AA6" s="14" t="s">
        <v>35</v>
      </c>
      <c r="AB6" s="13" t="s">
        <v>35</v>
      </c>
      <c r="AC6" s="14" t="s">
        <v>35</v>
      </c>
      <c r="AD6" s="13" t="s">
        <v>35</v>
      </c>
      <c r="AE6" s="14" t="s">
        <v>35</v>
      </c>
      <c r="AF6" s="13" t="s">
        <v>35</v>
      </c>
      <c r="AG6" s="14" t="s">
        <v>35</v>
      </c>
      <c r="AH6" s="13" t="s">
        <v>35</v>
      </c>
      <c r="AI6" s="14" t="s">
        <v>35</v>
      </c>
      <c r="AJ6" s="13" t="s">
        <v>35</v>
      </c>
      <c r="AK6" s="14" t="s">
        <v>35</v>
      </c>
      <c r="AL6" s="13" t="s">
        <v>35</v>
      </c>
      <c r="AM6" s="14" t="s">
        <v>35</v>
      </c>
      <c r="AN6" s="13" t="s">
        <v>35</v>
      </c>
      <c r="AO6" s="14" t="s">
        <v>35</v>
      </c>
      <c r="AP6" s="13" t="s">
        <v>35</v>
      </c>
      <c r="AQ6" s="14" t="s">
        <v>35</v>
      </c>
      <c r="AR6" s="13" t="s">
        <v>35</v>
      </c>
      <c r="AS6" s="14" t="s">
        <v>35</v>
      </c>
      <c r="AT6" s="13" t="s">
        <v>35</v>
      </c>
      <c r="AU6" s="14" t="s">
        <v>35</v>
      </c>
      <c r="AV6" s="13" t="s">
        <v>35</v>
      </c>
      <c r="AW6" s="14" t="s">
        <v>35</v>
      </c>
      <c r="AX6" s="13" t="s">
        <v>35</v>
      </c>
      <c r="AY6" s="14" t="s">
        <v>35</v>
      </c>
    </row>
    <row r="7" spans="1:51" ht="12.75">
      <c r="A7" s="15" t="s">
        <v>72</v>
      </c>
      <c r="B7" s="8">
        <f>C7+D7</f>
        <v>166668</v>
      </c>
      <c r="C7" s="23">
        <v>66664</v>
      </c>
      <c r="D7" s="12">
        <f>SUM(E7,G7,I7,K7,M7)</f>
        <v>100004</v>
      </c>
      <c r="E7" s="16">
        <v>20004</v>
      </c>
      <c r="F7" s="8">
        <f>D7-E7</f>
        <v>80000</v>
      </c>
      <c r="G7" s="16">
        <v>20000</v>
      </c>
      <c r="H7" s="12">
        <f t="shared" si="1"/>
        <v>60000</v>
      </c>
      <c r="I7" s="16">
        <v>20000</v>
      </c>
      <c r="J7" s="48">
        <f t="shared" si="2"/>
        <v>40000</v>
      </c>
      <c r="K7" s="16">
        <v>20000</v>
      </c>
      <c r="L7" s="28">
        <f t="shared" si="0"/>
        <v>20000</v>
      </c>
      <c r="M7" s="23">
        <v>20000</v>
      </c>
      <c r="N7" s="39" t="s">
        <v>35</v>
      </c>
      <c r="O7" s="24" t="s">
        <v>35</v>
      </c>
      <c r="P7" s="13" t="s">
        <v>35</v>
      </c>
      <c r="Q7" s="14" t="s">
        <v>35</v>
      </c>
      <c r="R7" s="20" t="s">
        <v>35</v>
      </c>
      <c r="S7" s="24" t="s">
        <v>35</v>
      </c>
      <c r="T7" s="20" t="s">
        <v>35</v>
      </c>
      <c r="U7" s="24" t="s">
        <v>35</v>
      </c>
      <c r="V7" s="20" t="s">
        <v>35</v>
      </c>
      <c r="W7" s="24" t="s">
        <v>35</v>
      </c>
      <c r="X7" s="39" t="s">
        <v>35</v>
      </c>
      <c r="Y7" s="24" t="s">
        <v>35</v>
      </c>
      <c r="Z7" s="13" t="s">
        <v>35</v>
      </c>
      <c r="AA7" s="14" t="s">
        <v>35</v>
      </c>
      <c r="AB7" s="13" t="s">
        <v>35</v>
      </c>
      <c r="AC7" s="14" t="s">
        <v>35</v>
      </c>
      <c r="AD7" s="13" t="s">
        <v>35</v>
      </c>
      <c r="AE7" s="14" t="s">
        <v>35</v>
      </c>
      <c r="AF7" s="13" t="s">
        <v>35</v>
      </c>
      <c r="AG7" s="14" t="s">
        <v>35</v>
      </c>
      <c r="AH7" s="13" t="s">
        <v>35</v>
      </c>
      <c r="AI7" s="14" t="s">
        <v>35</v>
      </c>
      <c r="AJ7" s="13" t="s">
        <v>35</v>
      </c>
      <c r="AK7" s="14" t="s">
        <v>35</v>
      </c>
      <c r="AL7" s="13" t="s">
        <v>35</v>
      </c>
      <c r="AM7" s="14" t="s">
        <v>35</v>
      </c>
      <c r="AN7" s="13" t="s">
        <v>35</v>
      </c>
      <c r="AO7" s="14" t="s">
        <v>35</v>
      </c>
      <c r="AP7" s="13" t="s">
        <v>35</v>
      </c>
      <c r="AQ7" s="14" t="s">
        <v>35</v>
      </c>
      <c r="AR7" s="13" t="s">
        <v>35</v>
      </c>
      <c r="AS7" s="14" t="s">
        <v>35</v>
      </c>
      <c r="AT7" s="13" t="s">
        <v>35</v>
      </c>
      <c r="AU7" s="14" t="s">
        <v>35</v>
      </c>
      <c r="AV7" s="13" t="s">
        <v>35</v>
      </c>
      <c r="AW7" s="14" t="s">
        <v>35</v>
      </c>
      <c r="AX7" s="13" t="s">
        <v>35</v>
      </c>
      <c r="AY7" s="14" t="s">
        <v>35</v>
      </c>
    </row>
    <row r="8" spans="1:51" ht="12.75">
      <c r="A8" s="15" t="s">
        <v>73</v>
      </c>
      <c r="B8" s="8">
        <f>C8+D8</f>
        <v>237500</v>
      </c>
      <c r="C8" s="23">
        <v>50000</v>
      </c>
      <c r="D8" s="12">
        <f>SUM(E8,G8,I8,K8,M8,O8,Q8)</f>
        <v>187500</v>
      </c>
      <c r="E8" s="16">
        <v>26700</v>
      </c>
      <c r="F8" s="8">
        <f>D8-E8</f>
        <v>160800</v>
      </c>
      <c r="G8" s="16">
        <v>26800</v>
      </c>
      <c r="H8" s="12">
        <f t="shared" si="1"/>
        <v>134000</v>
      </c>
      <c r="I8" s="16">
        <v>26800</v>
      </c>
      <c r="J8" s="48">
        <f t="shared" si="2"/>
        <v>107200</v>
      </c>
      <c r="K8" s="16">
        <v>26800</v>
      </c>
      <c r="L8" s="28">
        <f t="shared" si="0"/>
        <v>80400</v>
      </c>
      <c r="M8" s="16">
        <v>26800</v>
      </c>
      <c r="N8" s="48">
        <f>L8-M8</f>
        <v>53600</v>
      </c>
      <c r="O8" s="16">
        <v>26800</v>
      </c>
      <c r="P8" s="12">
        <f aca="true" t="shared" si="3" ref="P8:P23">N8-O8</f>
        <v>26800</v>
      </c>
      <c r="Q8" s="9">
        <v>26800</v>
      </c>
      <c r="R8" s="20" t="s">
        <v>35</v>
      </c>
      <c r="S8" s="24" t="s">
        <v>35</v>
      </c>
      <c r="T8" s="20" t="s">
        <v>35</v>
      </c>
      <c r="U8" s="24" t="s">
        <v>35</v>
      </c>
      <c r="V8" s="20" t="s">
        <v>35</v>
      </c>
      <c r="W8" s="24" t="s">
        <v>35</v>
      </c>
      <c r="X8" s="39" t="s">
        <v>35</v>
      </c>
      <c r="Y8" s="24" t="s">
        <v>35</v>
      </c>
      <c r="Z8" s="13" t="s">
        <v>35</v>
      </c>
      <c r="AA8" s="14" t="s">
        <v>35</v>
      </c>
      <c r="AB8" s="13" t="s">
        <v>35</v>
      </c>
      <c r="AC8" s="14" t="s">
        <v>35</v>
      </c>
      <c r="AD8" s="13" t="s">
        <v>35</v>
      </c>
      <c r="AE8" s="14" t="s">
        <v>35</v>
      </c>
      <c r="AF8" s="13" t="s">
        <v>35</v>
      </c>
      <c r="AG8" s="14" t="s">
        <v>35</v>
      </c>
      <c r="AH8" s="13" t="s">
        <v>35</v>
      </c>
      <c r="AI8" s="14" t="s">
        <v>35</v>
      </c>
      <c r="AJ8" s="13" t="s">
        <v>35</v>
      </c>
      <c r="AK8" s="14" t="s">
        <v>35</v>
      </c>
      <c r="AL8" s="13" t="s">
        <v>35</v>
      </c>
      <c r="AM8" s="14" t="s">
        <v>35</v>
      </c>
      <c r="AN8" s="13" t="s">
        <v>35</v>
      </c>
      <c r="AO8" s="14" t="s">
        <v>35</v>
      </c>
      <c r="AP8" s="13" t="s">
        <v>35</v>
      </c>
      <c r="AQ8" s="14" t="s">
        <v>35</v>
      </c>
      <c r="AR8" s="13" t="s">
        <v>35</v>
      </c>
      <c r="AS8" s="14" t="s">
        <v>35</v>
      </c>
      <c r="AT8" s="13" t="s">
        <v>35</v>
      </c>
      <c r="AU8" s="14" t="s">
        <v>35</v>
      </c>
      <c r="AV8" s="13" t="s">
        <v>35</v>
      </c>
      <c r="AW8" s="14" t="s">
        <v>35</v>
      </c>
      <c r="AX8" s="13" t="s">
        <v>35</v>
      </c>
      <c r="AY8" s="14" t="s">
        <v>35</v>
      </c>
    </row>
    <row r="9" spans="1:51" ht="12.75">
      <c r="A9" s="15" t="s">
        <v>36</v>
      </c>
      <c r="B9" s="8">
        <v>143500</v>
      </c>
      <c r="C9" s="23">
        <v>17675</v>
      </c>
      <c r="D9" s="12">
        <v>197375</v>
      </c>
      <c r="E9" s="16">
        <v>22955</v>
      </c>
      <c r="F9" s="8">
        <v>206820</v>
      </c>
      <c r="G9" s="16">
        <v>22980</v>
      </c>
      <c r="H9" s="12">
        <f t="shared" si="1"/>
        <v>183840</v>
      </c>
      <c r="I9" s="16">
        <v>22980</v>
      </c>
      <c r="J9" s="48">
        <f t="shared" si="2"/>
        <v>160860</v>
      </c>
      <c r="K9" s="16">
        <v>22980</v>
      </c>
      <c r="L9" s="28">
        <f t="shared" si="0"/>
        <v>137880</v>
      </c>
      <c r="M9" s="16">
        <v>22980</v>
      </c>
      <c r="N9" s="48">
        <f>L9-M9</f>
        <v>114900</v>
      </c>
      <c r="O9" s="16">
        <v>22980</v>
      </c>
      <c r="P9" s="12">
        <f t="shared" si="3"/>
        <v>91920</v>
      </c>
      <c r="Q9" s="9">
        <v>22980</v>
      </c>
      <c r="R9" s="28">
        <f>P9-Q9</f>
        <v>68940</v>
      </c>
      <c r="S9" s="16">
        <v>22980</v>
      </c>
      <c r="T9" s="28">
        <f>R9-S9</f>
        <v>45960</v>
      </c>
      <c r="U9" s="16">
        <v>22980</v>
      </c>
      <c r="V9" s="28">
        <f>T9-U9</f>
        <v>22980</v>
      </c>
      <c r="W9" s="23">
        <v>22980</v>
      </c>
      <c r="X9" s="39" t="s">
        <v>35</v>
      </c>
      <c r="Y9" s="24" t="s">
        <v>35</v>
      </c>
      <c r="Z9" s="13" t="s">
        <v>35</v>
      </c>
      <c r="AA9" s="14" t="s">
        <v>35</v>
      </c>
      <c r="AB9" s="13" t="s">
        <v>35</v>
      </c>
      <c r="AC9" s="14" t="s">
        <v>35</v>
      </c>
      <c r="AD9" s="13" t="s">
        <v>35</v>
      </c>
      <c r="AE9" s="14" t="s">
        <v>35</v>
      </c>
      <c r="AF9" s="13" t="s">
        <v>35</v>
      </c>
      <c r="AG9" s="14" t="s">
        <v>35</v>
      </c>
      <c r="AH9" s="13" t="s">
        <v>35</v>
      </c>
      <c r="AI9" s="14" t="s">
        <v>35</v>
      </c>
      <c r="AJ9" s="13" t="s">
        <v>35</v>
      </c>
      <c r="AK9" s="14" t="s">
        <v>35</v>
      </c>
      <c r="AL9" s="13" t="s">
        <v>35</v>
      </c>
      <c r="AM9" s="14" t="s">
        <v>35</v>
      </c>
      <c r="AN9" s="13" t="s">
        <v>35</v>
      </c>
      <c r="AO9" s="14" t="s">
        <v>35</v>
      </c>
      <c r="AP9" s="13" t="s">
        <v>35</v>
      </c>
      <c r="AQ9" s="14" t="s">
        <v>35</v>
      </c>
      <c r="AR9" s="13" t="s">
        <v>35</v>
      </c>
      <c r="AS9" s="14" t="s">
        <v>35</v>
      </c>
      <c r="AT9" s="13" t="s">
        <v>35</v>
      </c>
      <c r="AU9" s="14" t="s">
        <v>35</v>
      </c>
      <c r="AV9" s="13" t="s">
        <v>35</v>
      </c>
      <c r="AW9" s="14" t="s">
        <v>35</v>
      </c>
      <c r="AX9" s="13" t="s">
        <v>35</v>
      </c>
      <c r="AY9" s="14" t="s">
        <v>35</v>
      </c>
    </row>
    <row r="10" spans="1:51" ht="12.75">
      <c r="A10" s="15" t="s">
        <v>149</v>
      </c>
      <c r="B10" s="8">
        <v>139059</v>
      </c>
      <c r="C10" s="23">
        <v>28666</v>
      </c>
      <c r="D10" s="12">
        <f>SUM(E10,G10,I10,K10,M10,O10,Q10,S10)</f>
        <v>257997</v>
      </c>
      <c r="E10" s="16">
        <v>32233</v>
      </c>
      <c r="F10" s="8">
        <f>D10-E10</f>
        <v>225764</v>
      </c>
      <c r="G10" s="16">
        <v>32252</v>
      </c>
      <c r="H10" s="12">
        <f t="shared" si="1"/>
        <v>193512</v>
      </c>
      <c r="I10" s="16">
        <v>32252</v>
      </c>
      <c r="J10" s="48">
        <f t="shared" si="2"/>
        <v>161260</v>
      </c>
      <c r="K10" s="16">
        <v>32252</v>
      </c>
      <c r="L10" s="28">
        <f t="shared" si="0"/>
        <v>129008</v>
      </c>
      <c r="M10" s="16">
        <v>32252</v>
      </c>
      <c r="N10" s="48">
        <f>L10-M10</f>
        <v>96756</v>
      </c>
      <c r="O10" s="16">
        <v>32252</v>
      </c>
      <c r="P10" s="12">
        <f t="shared" si="3"/>
        <v>64504</v>
      </c>
      <c r="Q10" s="9">
        <v>32252</v>
      </c>
      <c r="R10" s="28">
        <f>P10-Q10</f>
        <v>32252</v>
      </c>
      <c r="S10" s="23">
        <v>32252</v>
      </c>
      <c r="T10" s="20" t="s">
        <v>35</v>
      </c>
      <c r="U10" s="24" t="s">
        <v>35</v>
      </c>
      <c r="V10" s="20" t="s">
        <v>35</v>
      </c>
      <c r="W10" s="24" t="s">
        <v>35</v>
      </c>
      <c r="X10" s="39" t="s">
        <v>35</v>
      </c>
      <c r="Y10" s="24" t="s">
        <v>35</v>
      </c>
      <c r="Z10" s="13" t="s">
        <v>35</v>
      </c>
      <c r="AA10" s="14" t="s">
        <v>35</v>
      </c>
      <c r="AB10" s="13" t="s">
        <v>35</v>
      </c>
      <c r="AC10" s="14" t="s">
        <v>35</v>
      </c>
      <c r="AD10" s="13" t="s">
        <v>35</v>
      </c>
      <c r="AE10" s="14" t="s">
        <v>35</v>
      </c>
      <c r="AF10" s="13" t="s">
        <v>35</v>
      </c>
      <c r="AG10" s="14" t="s">
        <v>35</v>
      </c>
      <c r="AH10" s="13" t="s">
        <v>35</v>
      </c>
      <c r="AI10" s="14" t="s">
        <v>35</v>
      </c>
      <c r="AJ10" s="13" t="s">
        <v>35</v>
      </c>
      <c r="AK10" s="14" t="s">
        <v>35</v>
      </c>
      <c r="AL10" s="13" t="s">
        <v>35</v>
      </c>
      <c r="AM10" s="14" t="s">
        <v>35</v>
      </c>
      <c r="AN10" s="13" t="s">
        <v>35</v>
      </c>
      <c r="AO10" s="14" t="s">
        <v>35</v>
      </c>
      <c r="AP10" s="13" t="s">
        <v>35</v>
      </c>
      <c r="AQ10" s="14" t="s">
        <v>35</v>
      </c>
      <c r="AR10" s="13" t="s">
        <v>35</v>
      </c>
      <c r="AS10" s="14" t="s">
        <v>35</v>
      </c>
      <c r="AT10" s="13" t="s">
        <v>35</v>
      </c>
      <c r="AU10" s="14" t="s">
        <v>35</v>
      </c>
      <c r="AV10" s="13" t="s">
        <v>35</v>
      </c>
      <c r="AW10" s="14" t="s">
        <v>35</v>
      </c>
      <c r="AX10" s="13" t="s">
        <v>35</v>
      </c>
      <c r="AY10" s="14" t="s">
        <v>35</v>
      </c>
    </row>
    <row r="11" spans="1:51" ht="12.75">
      <c r="A11" s="15" t="s">
        <v>67</v>
      </c>
      <c r="B11" s="8">
        <v>0</v>
      </c>
      <c r="C11" s="23">
        <v>0</v>
      </c>
      <c r="D11" s="12">
        <v>305133</v>
      </c>
      <c r="E11" s="16">
        <v>20345</v>
      </c>
      <c r="F11" s="8">
        <f>D11-E11</f>
        <v>284788</v>
      </c>
      <c r="G11" s="16">
        <v>40684</v>
      </c>
      <c r="H11" s="12">
        <f t="shared" si="1"/>
        <v>244104</v>
      </c>
      <c r="I11" s="16">
        <v>40684</v>
      </c>
      <c r="J11" s="48">
        <f t="shared" si="2"/>
        <v>203420</v>
      </c>
      <c r="K11" s="16">
        <v>40684</v>
      </c>
      <c r="L11" s="28">
        <f t="shared" si="0"/>
        <v>162736</v>
      </c>
      <c r="M11" s="16">
        <v>40684</v>
      </c>
      <c r="N11" s="48">
        <f>L11-M11</f>
        <v>122052</v>
      </c>
      <c r="O11" s="16">
        <v>40684</v>
      </c>
      <c r="P11" s="12">
        <f t="shared" si="3"/>
        <v>81368</v>
      </c>
      <c r="Q11" s="9">
        <v>40684</v>
      </c>
      <c r="R11" s="28">
        <f>P11-Q11</f>
        <v>40684</v>
      </c>
      <c r="S11" s="16">
        <v>40684</v>
      </c>
      <c r="T11" s="20" t="s">
        <v>35</v>
      </c>
      <c r="U11" s="24" t="s">
        <v>35</v>
      </c>
      <c r="V11" s="20" t="s">
        <v>35</v>
      </c>
      <c r="W11" s="22" t="s">
        <v>35</v>
      </c>
      <c r="X11" s="39" t="s">
        <v>35</v>
      </c>
      <c r="Y11" s="24" t="s">
        <v>35</v>
      </c>
      <c r="Z11" s="13" t="s">
        <v>35</v>
      </c>
      <c r="AA11" s="14" t="s">
        <v>35</v>
      </c>
      <c r="AB11" s="13" t="s">
        <v>35</v>
      </c>
      <c r="AC11" s="14" t="s">
        <v>35</v>
      </c>
      <c r="AD11" s="13" t="s">
        <v>35</v>
      </c>
      <c r="AE11" s="14" t="s">
        <v>35</v>
      </c>
      <c r="AF11" s="13" t="s">
        <v>35</v>
      </c>
      <c r="AG11" s="14" t="s">
        <v>35</v>
      </c>
      <c r="AH11" s="13" t="s">
        <v>35</v>
      </c>
      <c r="AI11" s="14" t="s">
        <v>35</v>
      </c>
      <c r="AJ11" s="13" t="s">
        <v>35</v>
      </c>
      <c r="AK11" s="14" t="s">
        <v>35</v>
      </c>
      <c r="AL11" s="13" t="s">
        <v>35</v>
      </c>
      <c r="AM11" s="14" t="s">
        <v>35</v>
      </c>
      <c r="AN11" s="13" t="s">
        <v>35</v>
      </c>
      <c r="AO11" s="14" t="s">
        <v>35</v>
      </c>
      <c r="AP11" s="13" t="s">
        <v>35</v>
      </c>
      <c r="AQ11" s="14" t="s">
        <v>35</v>
      </c>
      <c r="AR11" s="13" t="s">
        <v>35</v>
      </c>
      <c r="AS11" s="14" t="s">
        <v>35</v>
      </c>
      <c r="AT11" s="13" t="s">
        <v>35</v>
      </c>
      <c r="AU11" s="14" t="s">
        <v>35</v>
      </c>
      <c r="AV11" s="13" t="s">
        <v>35</v>
      </c>
      <c r="AW11" s="14" t="s">
        <v>35</v>
      </c>
      <c r="AX11" s="13" t="s">
        <v>35</v>
      </c>
      <c r="AY11" s="14" t="s">
        <v>35</v>
      </c>
    </row>
    <row r="12" spans="1:51" ht="12.75">
      <c r="A12" s="15" t="s">
        <v>74</v>
      </c>
      <c r="B12" s="8">
        <v>0</v>
      </c>
      <c r="C12" s="23">
        <v>0</v>
      </c>
      <c r="D12" s="12">
        <v>0</v>
      </c>
      <c r="E12" s="16">
        <v>0</v>
      </c>
      <c r="F12" s="8">
        <v>681039</v>
      </c>
      <c r="G12" s="16">
        <v>39631</v>
      </c>
      <c r="H12" s="12">
        <v>673540</v>
      </c>
      <c r="I12" s="16">
        <v>79240</v>
      </c>
      <c r="J12" s="48">
        <f>H12-I12</f>
        <v>594300</v>
      </c>
      <c r="K12" s="16">
        <v>79240</v>
      </c>
      <c r="L12" s="28">
        <f t="shared" si="0"/>
        <v>515060</v>
      </c>
      <c r="M12" s="16">
        <v>79240</v>
      </c>
      <c r="N12" s="48">
        <f>L12-M12</f>
        <v>435820</v>
      </c>
      <c r="O12" s="16">
        <v>79240</v>
      </c>
      <c r="P12" s="12">
        <f>N12-O12</f>
        <v>356580</v>
      </c>
      <c r="Q12" s="9">
        <v>79240</v>
      </c>
      <c r="R12" s="28">
        <f>P12-Q12</f>
        <v>277340</v>
      </c>
      <c r="S12" s="16">
        <v>79240</v>
      </c>
      <c r="T12" s="28">
        <f>R12-S12</f>
        <v>198100</v>
      </c>
      <c r="U12" s="16">
        <v>79240</v>
      </c>
      <c r="V12" s="28">
        <f>T12-U12</f>
        <v>118860</v>
      </c>
      <c r="W12" s="16">
        <v>79240</v>
      </c>
      <c r="X12" s="48">
        <f>V12-W12</f>
        <v>39620</v>
      </c>
      <c r="Y12" s="16">
        <v>39620</v>
      </c>
      <c r="Z12" s="13" t="s">
        <v>35</v>
      </c>
      <c r="AA12" s="14" t="s">
        <v>35</v>
      </c>
      <c r="AB12" s="13" t="s">
        <v>35</v>
      </c>
      <c r="AC12" s="14" t="s">
        <v>35</v>
      </c>
      <c r="AD12" s="13" t="s">
        <v>35</v>
      </c>
      <c r="AE12" s="14" t="s">
        <v>35</v>
      </c>
      <c r="AF12" s="13" t="s">
        <v>35</v>
      </c>
      <c r="AG12" s="14" t="s">
        <v>35</v>
      </c>
      <c r="AH12" s="13" t="s">
        <v>35</v>
      </c>
      <c r="AI12" s="14" t="s">
        <v>35</v>
      </c>
      <c r="AJ12" s="13" t="s">
        <v>35</v>
      </c>
      <c r="AK12" s="14" t="s">
        <v>35</v>
      </c>
      <c r="AL12" s="13" t="s">
        <v>35</v>
      </c>
      <c r="AM12" s="14" t="s">
        <v>35</v>
      </c>
      <c r="AN12" s="13" t="s">
        <v>35</v>
      </c>
      <c r="AO12" s="14" t="s">
        <v>35</v>
      </c>
      <c r="AP12" s="13" t="s">
        <v>35</v>
      </c>
      <c r="AQ12" s="14" t="s">
        <v>35</v>
      </c>
      <c r="AR12" s="13" t="s">
        <v>35</v>
      </c>
      <c r="AS12" s="14" t="s">
        <v>35</v>
      </c>
      <c r="AT12" s="13" t="s">
        <v>35</v>
      </c>
      <c r="AU12" s="14" t="s">
        <v>35</v>
      </c>
      <c r="AV12" s="13" t="s">
        <v>35</v>
      </c>
      <c r="AW12" s="14" t="s">
        <v>35</v>
      </c>
      <c r="AX12" s="13" t="s">
        <v>35</v>
      </c>
      <c r="AY12" s="14" t="s">
        <v>35</v>
      </c>
    </row>
    <row r="13" spans="1:51" ht="12.75">
      <c r="A13" s="15" t="s">
        <v>109</v>
      </c>
      <c r="B13" s="8"/>
      <c r="C13" s="23"/>
      <c r="D13" s="12">
        <v>0</v>
      </c>
      <c r="E13" s="16">
        <v>0</v>
      </c>
      <c r="F13" s="12">
        <v>0</v>
      </c>
      <c r="G13" s="23">
        <v>0</v>
      </c>
      <c r="H13" s="12">
        <f>SUM(I13:J13)</f>
        <v>718793</v>
      </c>
      <c r="I13" s="23">
        <v>39949</v>
      </c>
      <c r="J13" s="12">
        <f>SUM(K13:L13)</f>
        <v>678844</v>
      </c>
      <c r="K13" s="23">
        <v>79864</v>
      </c>
      <c r="L13" s="12">
        <f>SUM(M13:N13)</f>
        <v>598980</v>
      </c>
      <c r="M13" s="23">
        <v>79864</v>
      </c>
      <c r="N13" s="12">
        <f>SUM(O13:P13)</f>
        <v>519116</v>
      </c>
      <c r="O13" s="23">
        <v>79864</v>
      </c>
      <c r="P13" s="12">
        <f>SUM(Q13:R13)</f>
        <v>439252</v>
      </c>
      <c r="Q13" s="51">
        <v>79864</v>
      </c>
      <c r="R13" s="12">
        <f>SUM(S13:T13)</f>
        <v>359388</v>
      </c>
      <c r="S13" s="23">
        <v>79864</v>
      </c>
      <c r="T13" s="12">
        <f>SUM(U13:V13)</f>
        <v>279524</v>
      </c>
      <c r="U13" s="23">
        <v>79864</v>
      </c>
      <c r="V13" s="12">
        <f>SUM(W13:X13)</f>
        <v>199660</v>
      </c>
      <c r="W13" s="23">
        <v>79864</v>
      </c>
      <c r="X13" s="12">
        <f>SUM(Y13:Z13)</f>
        <v>119796</v>
      </c>
      <c r="Y13" s="23">
        <v>79864</v>
      </c>
      <c r="Z13" s="12">
        <f>AA13</f>
        <v>39932</v>
      </c>
      <c r="AA13" s="51">
        <v>39932</v>
      </c>
      <c r="AB13" s="13" t="s">
        <v>35</v>
      </c>
      <c r="AC13" s="14" t="s">
        <v>35</v>
      </c>
      <c r="AD13" s="13" t="s">
        <v>35</v>
      </c>
      <c r="AE13" s="14" t="s">
        <v>35</v>
      </c>
      <c r="AF13" s="13" t="s">
        <v>35</v>
      </c>
      <c r="AG13" s="14" t="s">
        <v>35</v>
      </c>
      <c r="AH13" s="13" t="s">
        <v>35</v>
      </c>
      <c r="AI13" s="14" t="s">
        <v>35</v>
      </c>
      <c r="AJ13" s="13" t="s">
        <v>35</v>
      </c>
      <c r="AK13" s="14" t="s">
        <v>35</v>
      </c>
      <c r="AL13" s="13" t="s">
        <v>35</v>
      </c>
      <c r="AM13" s="14" t="s">
        <v>35</v>
      </c>
      <c r="AN13" s="13" t="s">
        <v>35</v>
      </c>
      <c r="AO13" s="14" t="s">
        <v>35</v>
      </c>
      <c r="AP13" s="13" t="s">
        <v>35</v>
      </c>
      <c r="AQ13" s="14" t="s">
        <v>35</v>
      </c>
      <c r="AR13" s="13" t="s">
        <v>35</v>
      </c>
      <c r="AS13" s="14" t="s">
        <v>35</v>
      </c>
      <c r="AT13" s="13" t="s">
        <v>35</v>
      </c>
      <c r="AU13" s="14" t="s">
        <v>35</v>
      </c>
      <c r="AV13" s="13" t="s">
        <v>35</v>
      </c>
      <c r="AW13" s="14" t="s">
        <v>35</v>
      </c>
      <c r="AX13" s="13" t="s">
        <v>35</v>
      </c>
      <c r="AY13" s="14" t="s">
        <v>35</v>
      </c>
    </row>
    <row r="14" spans="1:51" ht="12.75">
      <c r="A14" s="15" t="s">
        <v>210</v>
      </c>
      <c r="B14" s="8"/>
      <c r="C14" s="23"/>
      <c r="D14" s="12"/>
      <c r="E14" s="16"/>
      <c r="F14" s="13" t="s">
        <v>35</v>
      </c>
      <c r="G14" s="24" t="s">
        <v>35</v>
      </c>
      <c r="H14" s="12">
        <v>0</v>
      </c>
      <c r="I14" s="23">
        <v>0</v>
      </c>
      <c r="J14" s="12">
        <v>425421</v>
      </c>
      <c r="K14" s="23">
        <v>0</v>
      </c>
      <c r="L14" s="12">
        <f>SUM(M14:N14)</f>
        <v>607314</v>
      </c>
      <c r="M14" s="23">
        <v>0</v>
      </c>
      <c r="N14" s="12">
        <f>SUM(O14:P14)</f>
        <v>607314</v>
      </c>
      <c r="O14" s="23">
        <v>26400</v>
      </c>
      <c r="P14" s="12">
        <f>SUM(Q14:R14)</f>
        <v>580914</v>
      </c>
      <c r="Q14" s="23">
        <v>35200</v>
      </c>
      <c r="R14" s="12">
        <f>SUM(S14:T14)</f>
        <v>545714</v>
      </c>
      <c r="S14" s="23">
        <v>35200</v>
      </c>
      <c r="T14" s="12">
        <f>SUM(U14:V14)</f>
        <v>510514</v>
      </c>
      <c r="U14" s="23">
        <v>35200</v>
      </c>
      <c r="V14" s="12">
        <f>SUM(W14:X14)</f>
        <v>475314</v>
      </c>
      <c r="W14" s="23">
        <v>35200</v>
      </c>
      <c r="X14" s="12">
        <f>SUM(Y14:Z14)</f>
        <v>440114</v>
      </c>
      <c r="Y14" s="23">
        <v>35200</v>
      </c>
      <c r="Z14" s="12">
        <f>SUM(AA14:AB14)</f>
        <v>404914</v>
      </c>
      <c r="AA14" s="23">
        <v>35200</v>
      </c>
      <c r="AB14" s="12">
        <f>SUM(AC14:AD14)</f>
        <v>369714</v>
      </c>
      <c r="AC14" s="23">
        <v>35200</v>
      </c>
      <c r="AD14" s="12">
        <f>SUM(AE14:AF14)</f>
        <v>334514</v>
      </c>
      <c r="AE14" s="23">
        <v>35200</v>
      </c>
      <c r="AF14" s="12">
        <f>SUM(AG14:AH14)</f>
        <v>299314</v>
      </c>
      <c r="AG14" s="23">
        <v>35200</v>
      </c>
      <c r="AH14" s="12">
        <f>SUM(AI14:AJ14)</f>
        <v>264114</v>
      </c>
      <c r="AI14" s="23">
        <v>35200</v>
      </c>
      <c r="AJ14" s="12">
        <f>SUM(AK14:AL14)</f>
        <v>228914</v>
      </c>
      <c r="AK14" s="23">
        <v>35200</v>
      </c>
      <c r="AL14" s="12">
        <f>SUM(AM14:AN14)</f>
        <v>193714</v>
      </c>
      <c r="AM14" s="23">
        <v>35200</v>
      </c>
      <c r="AN14" s="12">
        <f>SUM(AO14:AP14)</f>
        <v>158514</v>
      </c>
      <c r="AO14" s="23">
        <v>35200</v>
      </c>
      <c r="AP14" s="12">
        <f>SUM(AQ14:AR14)</f>
        <v>123314</v>
      </c>
      <c r="AQ14" s="23">
        <v>35200</v>
      </c>
      <c r="AR14" s="12">
        <f>SUM(AS14:AT14)</f>
        <v>88114</v>
      </c>
      <c r="AS14" s="23">
        <v>35200</v>
      </c>
      <c r="AT14" s="12">
        <f>SUM(AU14:AV14)</f>
        <v>52914</v>
      </c>
      <c r="AU14" s="23">
        <v>35200</v>
      </c>
      <c r="AV14" s="12">
        <f>SUM(AW14:AX14)</f>
        <v>17714</v>
      </c>
      <c r="AW14" s="23">
        <v>17714</v>
      </c>
      <c r="AX14" s="13" t="s">
        <v>35</v>
      </c>
      <c r="AY14" s="14" t="s">
        <v>35</v>
      </c>
    </row>
    <row r="15" spans="1:51" ht="12.75">
      <c r="A15" s="15" t="s">
        <v>211</v>
      </c>
      <c r="B15" s="8"/>
      <c r="C15" s="23"/>
      <c r="D15" s="12"/>
      <c r="E15" s="16"/>
      <c r="F15" s="13"/>
      <c r="G15" s="24"/>
      <c r="H15" s="12">
        <v>0</v>
      </c>
      <c r="I15" s="23">
        <v>0</v>
      </c>
      <c r="J15" s="12">
        <v>76930</v>
      </c>
      <c r="K15" s="23">
        <v>0</v>
      </c>
      <c r="L15" s="12">
        <f>SUM(M15:N15)</f>
        <v>179173</v>
      </c>
      <c r="M15" s="23">
        <v>0</v>
      </c>
      <c r="N15" s="12">
        <f>SUM(O15:P15)</f>
        <v>179173</v>
      </c>
      <c r="O15" s="23">
        <v>7800</v>
      </c>
      <c r="P15" s="12">
        <f>SUM(Q15:R15)</f>
        <v>171373</v>
      </c>
      <c r="Q15" s="23">
        <v>10400</v>
      </c>
      <c r="R15" s="12">
        <f>SUM(S15:T15)</f>
        <v>160973</v>
      </c>
      <c r="S15" s="23">
        <v>10400</v>
      </c>
      <c r="T15" s="12">
        <f>SUM(U15:V15)</f>
        <v>150573</v>
      </c>
      <c r="U15" s="23">
        <v>10400</v>
      </c>
      <c r="V15" s="12">
        <f>SUM(W15:X15)</f>
        <v>140173</v>
      </c>
      <c r="W15" s="23">
        <v>10400</v>
      </c>
      <c r="X15" s="12">
        <f>SUM(Y15:Z15)</f>
        <v>129773</v>
      </c>
      <c r="Y15" s="23">
        <v>10400</v>
      </c>
      <c r="Z15" s="12">
        <f>SUM(AA15:AB15)</f>
        <v>119373</v>
      </c>
      <c r="AA15" s="23">
        <v>10400</v>
      </c>
      <c r="AB15" s="12">
        <f>SUM(AC15:AD15)</f>
        <v>108973</v>
      </c>
      <c r="AC15" s="23">
        <v>10400</v>
      </c>
      <c r="AD15" s="12">
        <f>SUM(AE15:AF15)</f>
        <v>98573</v>
      </c>
      <c r="AE15" s="23">
        <v>10400</v>
      </c>
      <c r="AF15" s="12">
        <f>SUM(AG15:AH15)</f>
        <v>88173</v>
      </c>
      <c r="AG15" s="23">
        <v>10400</v>
      </c>
      <c r="AH15" s="12">
        <f>SUM(AI15:AJ15)</f>
        <v>77773</v>
      </c>
      <c r="AI15" s="23">
        <v>10400</v>
      </c>
      <c r="AJ15" s="12">
        <f>SUM(AK15:AL15)</f>
        <v>67373</v>
      </c>
      <c r="AK15" s="23">
        <v>10400</v>
      </c>
      <c r="AL15" s="12">
        <f>SUM(AM15:AN15)</f>
        <v>56973</v>
      </c>
      <c r="AM15" s="23">
        <v>10400</v>
      </c>
      <c r="AN15" s="12">
        <f>SUM(AO15:AP15)</f>
        <v>46573</v>
      </c>
      <c r="AO15" s="23">
        <v>10400</v>
      </c>
      <c r="AP15" s="12">
        <f>SUM(AQ15:AR15)</f>
        <v>36173</v>
      </c>
      <c r="AQ15" s="23">
        <v>10400</v>
      </c>
      <c r="AR15" s="12">
        <f>SUM(AS15:AT15)</f>
        <v>25773</v>
      </c>
      <c r="AS15" s="23">
        <v>10400</v>
      </c>
      <c r="AT15" s="12">
        <f>SUM(AU15:AV15)</f>
        <v>15373</v>
      </c>
      <c r="AU15" s="23">
        <v>10400</v>
      </c>
      <c r="AV15" s="12">
        <f>SUM(AW15:AX15)</f>
        <v>4973</v>
      </c>
      <c r="AW15" s="23">
        <v>4973</v>
      </c>
      <c r="AX15" s="13" t="s">
        <v>35</v>
      </c>
      <c r="AY15" s="14" t="s">
        <v>35</v>
      </c>
    </row>
    <row r="16" spans="1:51" ht="12.75">
      <c r="A16" s="15" t="s">
        <v>56</v>
      </c>
      <c r="B16" s="8">
        <f>C16+D16</f>
        <v>107411</v>
      </c>
      <c r="C16" s="23">
        <v>5955</v>
      </c>
      <c r="D16" s="12">
        <v>101456</v>
      </c>
      <c r="E16" s="16">
        <v>11936</v>
      </c>
      <c r="F16" s="8">
        <f>D16-E16</f>
        <v>89520</v>
      </c>
      <c r="G16" s="16">
        <v>11936</v>
      </c>
      <c r="H16" s="12">
        <f>F16-G16</f>
        <v>77584</v>
      </c>
      <c r="I16" s="16">
        <v>11936</v>
      </c>
      <c r="J16" s="48">
        <f>H16-I16</f>
        <v>65648</v>
      </c>
      <c r="K16" s="16">
        <v>11936</v>
      </c>
      <c r="L16" s="28">
        <f>J16-K16</f>
        <v>53712</v>
      </c>
      <c r="M16" s="16">
        <v>11936</v>
      </c>
      <c r="N16" s="48">
        <f>L16-M16</f>
        <v>41776</v>
      </c>
      <c r="O16" s="23">
        <v>11936</v>
      </c>
      <c r="P16" s="12">
        <f>N16-O16</f>
        <v>29840</v>
      </c>
      <c r="Q16" s="51">
        <v>11936</v>
      </c>
      <c r="R16" s="28">
        <f aca="true" t="shared" si="4" ref="R16:R23">P16-Q16</f>
        <v>17904</v>
      </c>
      <c r="S16" s="23">
        <v>11936</v>
      </c>
      <c r="T16" s="28">
        <f aca="true" t="shared" si="5" ref="T16:T23">R16-S16</f>
        <v>5968</v>
      </c>
      <c r="U16" s="23">
        <v>5968</v>
      </c>
      <c r="V16" s="20" t="s">
        <v>35</v>
      </c>
      <c r="W16" s="22" t="s">
        <v>35</v>
      </c>
      <c r="X16" s="376" t="s">
        <v>35</v>
      </c>
      <c r="Y16" s="24" t="s">
        <v>35</v>
      </c>
      <c r="Z16" s="13" t="s">
        <v>35</v>
      </c>
      <c r="AA16" s="14" t="s">
        <v>35</v>
      </c>
      <c r="AB16" s="13" t="s">
        <v>35</v>
      </c>
      <c r="AC16" s="14" t="s">
        <v>35</v>
      </c>
      <c r="AD16" s="13" t="s">
        <v>35</v>
      </c>
      <c r="AE16" s="14" t="s">
        <v>35</v>
      </c>
      <c r="AF16" s="13" t="s">
        <v>35</v>
      </c>
      <c r="AG16" s="14" t="s">
        <v>35</v>
      </c>
      <c r="AH16" s="13" t="s">
        <v>35</v>
      </c>
      <c r="AI16" s="14" t="s">
        <v>35</v>
      </c>
      <c r="AJ16" s="13" t="s">
        <v>35</v>
      </c>
      <c r="AK16" s="14" t="s">
        <v>35</v>
      </c>
      <c r="AL16" s="13" t="s">
        <v>35</v>
      </c>
      <c r="AM16" s="14" t="s">
        <v>35</v>
      </c>
      <c r="AN16" s="13" t="s">
        <v>35</v>
      </c>
      <c r="AO16" s="14" t="s">
        <v>35</v>
      </c>
      <c r="AP16" s="13" t="s">
        <v>35</v>
      </c>
      <c r="AQ16" s="14" t="s">
        <v>35</v>
      </c>
      <c r="AR16" s="13" t="s">
        <v>35</v>
      </c>
      <c r="AS16" s="14" t="s">
        <v>35</v>
      </c>
      <c r="AT16" s="13" t="s">
        <v>35</v>
      </c>
      <c r="AU16" s="14" t="s">
        <v>35</v>
      </c>
      <c r="AV16" s="13" t="s">
        <v>35</v>
      </c>
      <c r="AW16" s="14" t="s">
        <v>35</v>
      </c>
      <c r="AX16" s="13" t="s">
        <v>35</v>
      </c>
      <c r="AY16" s="14" t="s">
        <v>35</v>
      </c>
    </row>
    <row r="17" spans="1:51" ht="12.75">
      <c r="A17" s="15" t="s">
        <v>55</v>
      </c>
      <c r="B17" s="8">
        <v>0</v>
      </c>
      <c r="C17" s="23">
        <v>0</v>
      </c>
      <c r="D17" s="12">
        <v>124412</v>
      </c>
      <c r="E17" s="16">
        <v>5932</v>
      </c>
      <c r="F17" s="8">
        <f>D17-E17</f>
        <v>118480</v>
      </c>
      <c r="G17" s="16">
        <v>11848</v>
      </c>
      <c r="H17" s="12">
        <f>F17-G17</f>
        <v>106632</v>
      </c>
      <c r="I17" s="16">
        <v>11848</v>
      </c>
      <c r="J17" s="48">
        <f>H17-I17</f>
        <v>94784</v>
      </c>
      <c r="K17" s="16">
        <v>11848</v>
      </c>
      <c r="L17" s="28">
        <f>J17-K17</f>
        <v>82936</v>
      </c>
      <c r="M17" s="16">
        <v>11848</v>
      </c>
      <c r="N17" s="48">
        <f>L17-M17</f>
        <v>71088</v>
      </c>
      <c r="O17" s="16">
        <v>11848</v>
      </c>
      <c r="P17" s="12">
        <f>N17-O17</f>
        <v>59240</v>
      </c>
      <c r="Q17" s="9">
        <v>11848</v>
      </c>
      <c r="R17" s="28">
        <f t="shared" si="4"/>
        <v>47392</v>
      </c>
      <c r="S17" s="16">
        <v>11848</v>
      </c>
      <c r="T17" s="28">
        <f t="shared" si="5"/>
        <v>35544</v>
      </c>
      <c r="U17" s="16">
        <v>11848</v>
      </c>
      <c r="V17" s="28">
        <f aca="true" t="shared" si="6" ref="V17:V23">T17-U17</f>
        <v>23696</v>
      </c>
      <c r="W17" s="16">
        <v>11848</v>
      </c>
      <c r="X17" s="48">
        <f aca="true" t="shared" si="7" ref="X17:X23">V17-W17</f>
        <v>11848</v>
      </c>
      <c r="Y17" s="16">
        <v>11848</v>
      </c>
      <c r="Z17" s="13" t="s">
        <v>35</v>
      </c>
      <c r="AA17" s="14" t="s">
        <v>35</v>
      </c>
      <c r="AB17" s="13" t="s">
        <v>35</v>
      </c>
      <c r="AC17" s="14" t="s">
        <v>35</v>
      </c>
      <c r="AD17" s="13" t="s">
        <v>35</v>
      </c>
      <c r="AE17" s="14" t="s">
        <v>35</v>
      </c>
      <c r="AF17" s="13" t="s">
        <v>35</v>
      </c>
      <c r="AG17" s="14" t="s">
        <v>35</v>
      </c>
      <c r="AH17" s="13" t="s">
        <v>35</v>
      </c>
      <c r="AI17" s="14" t="s">
        <v>35</v>
      </c>
      <c r="AJ17" s="13" t="s">
        <v>35</v>
      </c>
      <c r="AK17" s="14" t="s">
        <v>35</v>
      </c>
      <c r="AL17" s="13" t="s">
        <v>35</v>
      </c>
      <c r="AM17" s="14" t="s">
        <v>35</v>
      </c>
      <c r="AN17" s="13" t="s">
        <v>35</v>
      </c>
      <c r="AO17" s="14" t="s">
        <v>35</v>
      </c>
      <c r="AP17" s="13" t="s">
        <v>35</v>
      </c>
      <c r="AQ17" s="14" t="s">
        <v>35</v>
      </c>
      <c r="AR17" s="13" t="s">
        <v>35</v>
      </c>
      <c r="AS17" s="14" t="s">
        <v>35</v>
      </c>
      <c r="AT17" s="13" t="s">
        <v>35</v>
      </c>
      <c r="AU17" s="14" t="s">
        <v>35</v>
      </c>
      <c r="AV17" s="13" t="s">
        <v>35</v>
      </c>
      <c r="AW17" s="14" t="s">
        <v>35</v>
      </c>
      <c r="AX17" s="13" t="s">
        <v>35</v>
      </c>
      <c r="AY17" s="14" t="s">
        <v>35</v>
      </c>
    </row>
    <row r="18" spans="1:51" ht="12.75">
      <c r="A18" s="15" t="s">
        <v>150</v>
      </c>
      <c r="B18" s="8">
        <v>0</v>
      </c>
      <c r="C18" s="23">
        <v>0</v>
      </c>
      <c r="D18" s="12">
        <v>12499</v>
      </c>
      <c r="E18" s="16">
        <v>2636</v>
      </c>
      <c r="F18" s="8">
        <v>184439</v>
      </c>
      <c r="G18" s="16">
        <v>34769</v>
      </c>
      <c r="H18" s="12">
        <v>149670</v>
      </c>
      <c r="I18" s="16">
        <v>8315</v>
      </c>
      <c r="J18" s="48">
        <f t="shared" si="2"/>
        <v>141355</v>
      </c>
      <c r="K18" s="16">
        <v>8315</v>
      </c>
      <c r="L18" s="28">
        <f>J18-K18</f>
        <v>133040</v>
      </c>
      <c r="M18" s="16">
        <v>8315</v>
      </c>
      <c r="N18" s="48">
        <f>L18-M18</f>
        <v>124725</v>
      </c>
      <c r="O18" s="16">
        <v>8315</v>
      </c>
      <c r="P18" s="12">
        <f t="shared" si="3"/>
        <v>116410</v>
      </c>
      <c r="Q18" s="9">
        <v>8315</v>
      </c>
      <c r="R18" s="28">
        <f t="shared" si="4"/>
        <v>108095</v>
      </c>
      <c r="S18" s="16">
        <v>8315</v>
      </c>
      <c r="T18" s="28">
        <f t="shared" si="5"/>
        <v>99780</v>
      </c>
      <c r="U18" s="16">
        <v>8315</v>
      </c>
      <c r="V18" s="28">
        <f t="shared" si="6"/>
        <v>91465</v>
      </c>
      <c r="W18" s="16">
        <v>8315</v>
      </c>
      <c r="X18" s="48">
        <f t="shared" si="7"/>
        <v>83150</v>
      </c>
      <c r="Y18" s="16">
        <v>8315</v>
      </c>
      <c r="Z18" s="8">
        <f aca="true" t="shared" si="8" ref="Z18:Z23">X18-Y18</f>
        <v>74835</v>
      </c>
      <c r="AA18" s="16">
        <v>8315</v>
      </c>
      <c r="AB18" s="8">
        <f aca="true" t="shared" si="9" ref="AB18:AB23">Z18-AA18</f>
        <v>66520</v>
      </c>
      <c r="AC18" s="16">
        <v>8315</v>
      </c>
      <c r="AD18" s="8">
        <f aca="true" t="shared" si="10" ref="AD18:AD23">AB18-AC18</f>
        <v>58205</v>
      </c>
      <c r="AE18" s="16">
        <v>8315</v>
      </c>
      <c r="AF18" s="8">
        <f aca="true" t="shared" si="11" ref="AF18:AF23">AD18-AE18</f>
        <v>49890</v>
      </c>
      <c r="AG18" s="16">
        <v>8315</v>
      </c>
      <c r="AH18" s="8">
        <f aca="true" t="shared" si="12" ref="AH18:AH23">AF18-AG18</f>
        <v>41575</v>
      </c>
      <c r="AI18" s="16">
        <v>8315</v>
      </c>
      <c r="AJ18" s="8">
        <f aca="true" t="shared" si="13" ref="AJ18:AJ23">AH18-AI18</f>
        <v>33260</v>
      </c>
      <c r="AK18" s="16">
        <v>8315</v>
      </c>
      <c r="AL18" s="8">
        <f aca="true" t="shared" si="14" ref="AL18:AL23">AJ18-AK18</f>
        <v>24945</v>
      </c>
      <c r="AM18" s="16">
        <v>8315</v>
      </c>
      <c r="AN18" s="8">
        <f aca="true" t="shared" si="15" ref="AN18:AN23">AL18-AM18</f>
        <v>16630</v>
      </c>
      <c r="AO18" s="16">
        <v>8315</v>
      </c>
      <c r="AP18" s="8">
        <f>AN18-AO18</f>
        <v>8315</v>
      </c>
      <c r="AQ18" s="16">
        <v>8315</v>
      </c>
      <c r="AR18" s="13" t="s">
        <v>35</v>
      </c>
      <c r="AS18" s="14" t="s">
        <v>35</v>
      </c>
      <c r="AT18" s="13" t="s">
        <v>35</v>
      </c>
      <c r="AU18" s="14" t="s">
        <v>35</v>
      </c>
      <c r="AV18" s="13" t="s">
        <v>35</v>
      </c>
      <c r="AW18" s="14" t="s">
        <v>35</v>
      </c>
      <c r="AX18" s="13" t="s">
        <v>35</v>
      </c>
      <c r="AY18" s="14" t="s">
        <v>35</v>
      </c>
    </row>
    <row r="19" spans="1:52" ht="12.75">
      <c r="A19" s="15" t="s">
        <v>212</v>
      </c>
      <c r="B19" s="8"/>
      <c r="C19" s="23"/>
      <c r="D19" s="12"/>
      <c r="E19" s="16"/>
      <c r="F19" s="8"/>
      <c r="G19" s="16"/>
      <c r="H19" s="12"/>
      <c r="I19" s="16"/>
      <c r="J19" s="48">
        <v>0</v>
      </c>
      <c r="K19" s="16">
        <f>ROUND('Panel_Plusz 633.336 eFt'!I53/1000,0)</f>
        <v>0</v>
      </c>
      <c r="L19" s="28">
        <f>ROUND('Panel_Plusz 633.336 eFt'!C54/1000,0)</f>
        <v>492390</v>
      </c>
      <c r="M19" s="16">
        <f>ROUND('Panel_Plusz 633.336 eFt'!I60/1000,0)</f>
        <v>0</v>
      </c>
      <c r="N19" s="48">
        <f>ROUND('Panel_Plusz 633.336 eFt'!C60/1000,0)</f>
        <v>633336</v>
      </c>
      <c r="O19" s="16">
        <f>ROUND('Panel_Plusz 633.336 eFt'!I64/1000,0)</f>
        <v>0</v>
      </c>
      <c r="P19" s="12">
        <f>N19-O19</f>
        <v>633336</v>
      </c>
      <c r="Q19" s="9">
        <f>ROUND('Panel_Plusz 633.336 eFt'!I68/1000,0)</f>
        <v>51700</v>
      </c>
      <c r="R19" s="28">
        <f t="shared" si="4"/>
        <v>581636</v>
      </c>
      <c r="S19" s="16">
        <f>ROUND('Panel_Plusz 633.336 eFt'!I72/1000,0)</f>
        <v>51700</v>
      </c>
      <c r="T19" s="28">
        <f t="shared" si="5"/>
        <v>529936</v>
      </c>
      <c r="U19" s="16">
        <f>ROUND('Panel_Plusz 633.336 eFt'!I76/1000,0)</f>
        <v>51700</v>
      </c>
      <c r="V19" s="28">
        <f t="shared" si="6"/>
        <v>478236</v>
      </c>
      <c r="W19" s="16">
        <f>ROUND('Panel_Plusz 633.336 eFt'!I80/1000,0)</f>
        <v>51700</v>
      </c>
      <c r="X19" s="48">
        <f t="shared" si="7"/>
        <v>426536</v>
      </c>
      <c r="Y19" s="16">
        <f>ROUND('Panel_Plusz 633.336 eFt'!I84/1000,0)</f>
        <v>51700</v>
      </c>
      <c r="Z19" s="8">
        <f t="shared" si="8"/>
        <v>374836</v>
      </c>
      <c r="AA19" s="16">
        <f>ROUND('Panel_Plusz 633.336 eFt'!I88/1000,0)</f>
        <v>51700</v>
      </c>
      <c r="AB19" s="8">
        <f t="shared" si="9"/>
        <v>323136</v>
      </c>
      <c r="AC19" s="16">
        <f>ROUND('Panel_Plusz 633.336 eFt'!I92/1000,0)</f>
        <v>51700</v>
      </c>
      <c r="AD19" s="8">
        <f t="shared" si="10"/>
        <v>271436</v>
      </c>
      <c r="AE19" s="16">
        <f>ROUND('Panel_Plusz 633.336 eFt'!I96/1000,0)</f>
        <v>51700</v>
      </c>
      <c r="AF19" s="8">
        <f t="shared" si="11"/>
        <v>219736</v>
      </c>
      <c r="AG19" s="16">
        <f>ROUND('Panel_Plusz 633.336 eFt'!I100/1000,0)</f>
        <v>51700</v>
      </c>
      <c r="AH19" s="8">
        <f t="shared" si="12"/>
        <v>168036</v>
      </c>
      <c r="AI19" s="16">
        <f>ROUND('Panel_Plusz 633.336 eFt'!I104/1000,0)</f>
        <v>51700</v>
      </c>
      <c r="AJ19" s="8">
        <f t="shared" si="13"/>
        <v>116336</v>
      </c>
      <c r="AK19" s="16">
        <f>ROUND('Panel_Plusz 633.336 eFt'!I108/1000,0)</f>
        <v>51700</v>
      </c>
      <c r="AL19" s="8">
        <f t="shared" si="14"/>
        <v>64636</v>
      </c>
      <c r="AM19" s="16">
        <f>ROUND('Panel_Plusz 633.336 eFt'!I112/1000,0)</f>
        <v>51700</v>
      </c>
      <c r="AN19" s="8">
        <f t="shared" si="15"/>
        <v>12936</v>
      </c>
      <c r="AO19" s="16">
        <f>ROUND('Panel_Plusz 633.336 eFt'!I113/1000,0)</f>
        <v>12936</v>
      </c>
      <c r="AP19" s="13" t="s">
        <v>35</v>
      </c>
      <c r="AQ19" s="24" t="s">
        <v>35</v>
      </c>
      <c r="AR19" s="13" t="s">
        <v>35</v>
      </c>
      <c r="AS19" s="14" t="s">
        <v>35</v>
      </c>
      <c r="AT19" s="13" t="s">
        <v>35</v>
      </c>
      <c r="AU19" s="14" t="s">
        <v>35</v>
      </c>
      <c r="AV19" s="13" t="s">
        <v>35</v>
      </c>
      <c r="AW19" s="14" t="s">
        <v>35</v>
      </c>
      <c r="AX19" s="13" t="s">
        <v>35</v>
      </c>
      <c r="AY19" s="14" t="s">
        <v>35</v>
      </c>
      <c r="AZ19" s="166" t="s">
        <v>252</v>
      </c>
    </row>
    <row r="20" spans="1:52" ht="12.75">
      <c r="A20" s="15" t="s">
        <v>247</v>
      </c>
      <c r="B20" s="8"/>
      <c r="C20" s="23"/>
      <c r="D20" s="12"/>
      <c r="E20" s="16"/>
      <c r="F20" s="8"/>
      <c r="G20" s="16"/>
      <c r="H20" s="12"/>
      <c r="I20" s="16"/>
      <c r="J20" s="48">
        <v>0</v>
      </c>
      <c r="K20" s="16">
        <v>0</v>
      </c>
      <c r="L20" s="28">
        <f>ROUND('2006. évi 204.214,5 eFt (...16)'!C9/1000,0)</f>
        <v>201368</v>
      </c>
      <c r="M20" s="16">
        <v>0</v>
      </c>
      <c r="N20" s="48">
        <f>ROUND('2006. évi 204.214,5 eFt (...16)'!C14/1000,0)</f>
        <v>204215</v>
      </c>
      <c r="O20" s="16">
        <v>0</v>
      </c>
      <c r="P20" s="12">
        <f t="shared" si="3"/>
        <v>204215</v>
      </c>
      <c r="Q20" s="9">
        <v>8879</v>
      </c>
      <c r="R20" s="28">
        <f t="shared" si="4"/>
        <v>195336</v>
      </c>
      <c r="S20" s="16">
        <v>11839</v>
      </c>
      <c r="T20" s="28">
        <f t="shared" si="5"/>
        <v>183497</v>
      </c>
      <c r="U20" s="16">
        <v>11838</v>
      </c>
      <c r="V20" s="28">
        <f t="shared" si="6"/>
        <v>171659</v>
      </c>
      <c r="W20" s="16">
        <v>11839</v>
      </c>
      <c r="X20" s="48">
        <f t="shared" si="7"/>
        <v>159820</v>
      </c>
      <c r="Y20" s="16">
        <v>11838</v>
      </c>
      <c r="Z20" s="8">
        <f t="shared" si="8"/>
        <v>147982</v>
      </c>
      <c r="AA20" s="16">
        <v>11839</v>
      </c>
      <c r="AB20" s="8">
        <f t="shared" si="9"/>
        <v>136143</v>
      </c>
      <c r="AC20" s="16">
        <v>11838</v>
      </c>
      <c r="AD20" s="8">
        <f t="shared" si="10"/>
        <v>124305</v>
      </c>
      <c r="AE20" s="16">
        <v>11839</v>
      </c>
      <c r="AF20" s="8">
        <f t="shared" si="11"/>
        <v>112466</v>
      </c>
      <c r="AG20" s="16">
        <v>11838</v>
      </c>
      <c r="AH20" s="8">
        <f t="shared" si="12"/>
        <v>100628</v>
      </c>
      <c r="AI20" s="16">
        <v>11839</v>
      </c>
      <c r="AJ20" s="8">
        <f t="shared" si="13"/>
        <v>88789</v>
      </c>
      <c r="AK20" s="16">
        <v>11838</v>
      </c>
      <c r="AL20" s="8">
        <f t="shared" si="14"/>
        <v>76951</v>
      </c>
      <c r="AM20" s="16">
        <v>11839</v>
      </c>
      <c r="AN20" s="8">
        <f t="shared" si="15"/>
        <v>65112</v>
      </c>
      <c r="AO20" s="16">
        <v>11838</v>
      </c>
      <c r="AP20" s="8">
        <f>AN20-AO20</f>
        <v>53274</v>
      </c>
      <c r="AQ20" s="23">
        <v>11839</v>
      </c>
      <c r="AR20" s="12">
        <f aca="true" t="shared" si="16" ref="AR20:AX23">AP20-AQ20</f>
        <v>41435</v>
      </c>
      <c r="AS20" s="51">
        <v>11838</v>
      </c>
      <c r="AT20" s="12">
        <f t="shared" si="16"/>
        <v>29597</v>
      </c>
      <c r="AU20" s="51">
        <v>11839</v>
      </c>
      <c r="AV20" s="12">
        <f t="shared" si="16"/>
        <v>17758</v>
      </c>
      <c r="AW20" s="51">
        <v>11838</v>
      </c>
      <c r="AX20" s="12">
        <f t="shared" si="16"/>
        <v>5920</v>
      </c>
      <c r="AY20" s="51">
        <v>5920</v>
      </c>
      <c r="AZ20" s="4" t="s">
        <v>253</v>
      </c>
    </row>
    <row r="21" spans="1:52" ht="12.75">
      <c r="A21" s="15" t="s">
        <v>215</v>
      </c>
      <c r="B21" s="8"/>
      <c r="C21" s="23"/>
      <c r="D21" s="12"/>
      <c r="E21" s="16"/>
      <c r="F21" s="8"/>
      <c r="G21" s="16"/>
      <c r="H21" s="12"/>
      <c r="I21" s="16"/>
      <c r="J21" s="48">
        <v>0</v>
      </c>
      <c r="K21" s="16">
        <v>0</v>
      </c>
      <c r="L21" s="28">
        <f>ROUND('2006. évi 226.086,3 eFt (...17)'!C9/1000,0)</f>
        <v>226086</v>
      </c>
      <c r="M21" s="16">
        <v>0</v>
      </c>
      <c r="N21" s="48">
        <f>L21-M21</f>
        <v>226086</v>
      </c>
      <c r="O21" s="16">
        <v>0</v>
      </c>
      <c r="P21" s="12">
        <f t="shared" si="3"/>
        <v>226086</v>
      </c>
      <c r="Q21" s="9">
        <v>9830</v>
      </c>
      <c r="R21" s="28">
        <f t="shared" si="4"/>
        <v>216256</v>
      </c>
      <c r="S21" s="16">
        <v>13107</v>
      </c>
      <c r="T21" s="28">
        <f t="shared" si="5"/>
        <v>203149</v>
      </c>
      <c r="U21" s="16">
        <v>13107</v>
      </c>
      <c r="V21" s="28">
        <f t="shared" si="6"/>
        <v>190042</v>
      </c>
      <c r="W21" s="16">
        <v>13107</v>
      </c>
      <c r="X21" s="48">
        <f t="shared" si="7"/>
        <v>176935</v>
      </c>
      <c r="Y21" s="16">
        <v>13107</v>
      </c>
      <c r="Z21" s="8">
        <f t="shared" si="8"/>
        <v>163828</v>
      </c>
      <c r="AA21" s="16">
        <v>13107</v>
      </c>
      <c r="AB21" s="8">
        <f t="shared" si="9"/>
        <v>150721</v>
      </c>
      <c r="AC21" s="16">
        <v>13107</v>
      </c>
      <c r="AD21" s="8">
        <f t="shared" si="10"/>
        <v>137614</v>
      </c>
      <c r="AE21" s="16">
        <v>13107</v>
      </c>
      <c r="AF21" s="8">
        <f t="shared" si="11"/>
        <v>124507</v>
      </c>
      <c r="AG21" s="16">
        <v>13107</v>
      </c>
      <c r="AH21" s="8">
        <f t="shared" si="12"/>
        <v>111400</v>
      </c>
      <c r="AI21" s="16">
        <v>13107</v>
      </c>
      <c r="AJ21" s="8">
        <f t="shared" si="13"/>
        <v>98293</v>
      </c>
      <c r="AK21" s="16">
        <v>13107</v>
      </c>
      <c r="AL21" s="8">
        <f t="shared" si="14"/>
        <v>85186</v>
      </c>
      <c r="AM21" s="16">
        <v>13107</v>
      </c>
      <c r="AN21" s="8">
        <f t="shared" si="15"/>
        <v>72079</v>
      </c>
      <c r="AO21" s="16">
        <v>13107</v>
      </c>
      <c r="AP21" s="8">
        <f>AN21-AO21</f>
        <v>58972</v>
      </c>
      <c r="AQ21" s="16">
        <v>13107</v>
      </c>
      <c r="AR21" s="12">
        <f t="shared" si="16"/>
        <v>45865</v>
      </c>
      <c r="AS21" s="16">
        <v>13107</v>
      </c>
      <c r="AT21" s="12">
        <f t="shared" si="16"/>
        <v>32758</v>
      </c>
      <c r="AU21" s="16">
        <v>13107</v>
      </c>
      <c r="AV21" s="12">
        <f t="shared" si="16"/>
        <v>19651</v>
      </c>
      <c r="AW21" s="16">
        <v>13107</v>
      </c>
      <c r="AX21" s="12">
        <f t="shared" si="16"/>
        <v>6544</v>
      </c>
      <c r="AY21" s="51">
        <v>6544</v>
      </c>
      <c r="AZ21" s="4" t="s">
        <v>254</v>
      </c>
    </row>
    <row r="22" spans="1:52" ht="12.75">
      <c r="A22" s="15" t="s">
        <v>248</v>
      </c>
      <c r="B22" s="8"/>
      <c r="C22" s="23"/>
      <c r="D22" s="12"/>
      <c r="E22" s="16"/>
      <c r="F22" s="8"/>
      <c r="G22" s="16"/>
      <c r="H22" s="12"/>
      <c r="I22" s="16"/>
      <c r="J22" s="48">
        <v>0</v>
      </c>
      <c r="K22" s="16">
        <v>0</v>
      </c>
      <c r="L22" s="28">
        <f>ROUND('2006. évi 10.350 eFt (...14)'!C9/1000,0)</f>
        <v>8528</v>
      </c>
      <c r="M22" s="16">
        <v>0</v>
      </c>
      <c r="N22" s="48">
        <f>ROUND('2006. évi 10.350 eFt (...14)'!C14/1000,0)</f>
        <v>10350</v>
      </c>
      <c r="O22" s="16">
        <v>0</v>
      </c>
      <c r="P22" s="12">
        <f t="shared" si="3"/>
        <v>10350</v>
      </c>
      <c r="Q22" s="9">
        <v>450</v>
      </c>
      <c r="R22" s="28">
        <f t="shared" si="4"/>
        <v>9900</v>
      </c>
      <c r="S22" s="16">
        <v>600</v>
      </c>
      <c r="T22" s="28">
        <f t="shared" si="5"/>
        <v>9300</v>
      </c>
      <c r="U22" s="16">
        <v>600</v>
      </c>
      <c r="V22" s="28">
        <f t="shared" si="6"/>
        <v>8700</v>
      </c>
      <c r="W22" s="16">
        <v>600</v>
      </c>
      <c r="X22" s="48">
        <f t="shared" si="7"/>
        <v>8100</v>
      </c>
      <c r="Y22" s="16">
        <v>600</v>
      </c>
      <c r="Z22" s="8">
        <f t="shared" si="8"/>
        <v>7500</v>
      </c>
      <c r="AA22" s="16">
        <v>600</v>
      </c>
      <c r="AB22" s="8">
        <f t="shared" si="9"/>
        <v>6900</v>
      </c>
      <c r="AC22" s="16">
        <v>600</v>
      </c>
      <c r="AD22" s="8">
        <f t="shared" si="10"/>
        <v>6300</v>
      </c>
      <c r="AE22" s="16">
        <v>600</v>
      </c>
      <c r="AF22" s="8">
        <f t="shared" si="11"/>
        <v>5700</v>
      </c>
      <c r="AG22" s="16">
        <v>600</v>
      </c>
      <c r="AH22" s="8">
        <f t="shared" si="12"/>
        <v>5100</v>
      </c>
      <c r="AI22" s="16">
        <v>600</v>
      </c>
      <c r="AJ22" s="8">
        <f t="shared" si="13"/>
        <v>4500</v>
      </c>
      <c r="AK22" s="16">
        <v>600</v>
      </c>
      <c r="AL22" s="8">
        <f t="shared" si="14"/>
        <v>3900</v>
      </c>
      <c r="AM22" s="16">
        <v>600</v>
      </c>
      <c r="AN22" s="8">
        <f t="shared" si="15"/>
        <v>3300</v>
      </c>
      <c r="AO22" s="16">
        <v>600</v>
      </c>
      <c r="AP22" s="8">
        <f>AN22-AO22</f>
        <v>2700</v>
      </c>
      <c r="AQ22" s="23">
        <v>600</v>
      </c>
      <c r="AR22" s="12">
        <f t="shared" si="16"/>
        <v>2100</v>
      </c>
      <c r="AS22" s="51">
        <v>600</v>
      </c>
      <c r="AT22" s="12">
        <f t="shared" si="16"/>
        <v>1500</v>
      </c>
      <c r="AU22" s="51">
        <v>600</v>
      </c>
      <c r="AV22" s="12">
        <f t="shared" si="16"/>
        <v>900</v>
      </c>
      <c r="AW22" s="51">
        <v>600</v>
      </c>
      <c r="AX22" s="12">
        <f t="shared" si="16"/>
        <v>300</v>
      </c>
      <c r="AY22" s="51">
        <v>300</v>
      </c>
      <c r="AZ22" s="4" t="s">
        <v>256</v>
      </c>
    </row>
    <row r="23" spans="1:52" ht="12.75">
      <c r="A23" s="15" t="s">
        <v>249</v>
      </c>
      <c r="B23" s="8"/>
      <c r="C23" s="23"/>
      <c r="D23" s="12"/>
      <c r="E23" s="16"/>
      <c r="F23" s="8"/>
      <c r="G23" s="16"/>
      <c r="H23" s="12"/>
      <c r="I23" s="16"/>
      <c r="J23" s="48">
        <v>0</v>
      </c>
      <c r="K23" s="16">
        <v>0</v>
      </c>
      <c r="L23" s="28">
        <f>ROUND('2006. évi 11.007,9 eFt (...15)'!C9/1000,0)</f>
        <v>9264</v>
      </c>
      <c r="M23" s="16">
        <v>0</v>
      </c>
      <c r="N23" s="48">
        <f>ROUND('2006. évi 11.007,9 eFt (...15)'!C14/1000,0)</f>
        <v>11008</v>
      </c>
      <c r="O23" s="16">
        <v>0</v>
      </c>
      <c r="P23" s="12">
        <f t="shared" si="3"/>
        <v>11008</v>
      </c>
      <c r="Q23" s="9">
        <v>479</v>
      </c>
      <c r="R23" s="28">
        <f t="shared" si="4"/>
        <v>10529</v>
      </c>
      <c r="S23" s="16">
        <v>638</v>
      </c>
      <c r="T23" s="28">
        <f t="shared" si="5"/>
        <v>9891</v>
      </c>
      <c r="U23" s="16">
        <v>638</v>
      </c>
      <c r="V23" s="28">
        <f t="shared" si="6"/>
        <v>9253</v>
      </c>
      <c r="W23" s="16">
        <v>638</v>
      </c>
      <c r="X23" s="48">
        <f t="shared" si="7"/>
        <v>8615</v>
      </c>
      <c r="Y23" s="16">
        <v>638</v>
      </c>
      <c r="Z23" s="8">
        <f t="shared" si="8"/>
        <v>7977</v>
      </c>
      <c r="AA23" s="16">
        <v>638</v>
      </c>
      <c r="AB23" s="8">
        <f t="shared" si="9"/>
        <v>7339</v>
      </c>
      <c r="AC23" s="16">
        <v>638</v>
      </c>
      <c r="AD23" s="8">
        <f t="shared" si="10"/>
        <v>6701</v>
      </c>
      <c r="AE23" s="16">
        <v>638</v>
      </c>
      <c r="AF23" s="8">
        <f t="shared" si="11"/>
        <v>6063</v>
      </c>
      <c r="AG23" s="16">
        <v>638</v>
      </c>
      <c r="AH23" s="8">
        <f t="shared" si="12"/>
        <v>5425</v>
      </c>
      <c r="AI23" s="16">
        <v>638</v>
      </c>
      <c r="AJ23" s="8">
        <f t="shared" si="13"/>
        <v>4787</v>
      </c>
      <c r="AK23" s="16">
        <v>638</v>
      </c>
      <c r="AL23" s="8">
        <f t="shared" si="14"/>
        <v>4149</v>
      </c>
      <c r="AM23" s="16">
        <v>638</v>
      </c>
      <c r="AN23" s="8">
        <f t="shared" si="15"/>
        <v>3511</v>
      </c>
      <c r="AO23" s="16">
        <v>638</v>
      </c>
      <c r="AP23" s="8">
        <f>AN23-AO23</f>
        <v>2873</v>
      </c>
      <c r="AQ23" s="16">
        <v>638</v>
      </c>
      <c r="AR23" s="12">
        <f t="shared" si="16"/>
        <v>2235</v>
      </c>
      <c r="AS23" s="16">
        <v>638</v>
      </c>
      <c r="AT23" s="12">
        <f t="shared" si="16"/>
        <v>1597</v>
      </c>
      <c r="AU23" s="16">
        <v>638</v>
      </c>
      <c r="AV23" s="12">
        <f t="shared" si="16"/>
        <v>959</v>
      </c>
      <c r="AW23" s="16">
        <v>638</v>
      </c>
      <c r="AX23" s="12">
        <f t="shared" si="16"/>
        <v>321</v>
      </c>
      <c r="AY23" s="51">
        <v>321</v>
      </c>
      <c r="AZ23" s="4" t="s">
        <v>255</v>
      </c>
    </row>
    <row r="24" spans="1:52" ht="12.75">
      <c r="A24" s="15" t="s">
        <v>250</v>
      </c>
      <c r="B24" s="8"/>
      <c r="C24" s="23"/>
      <c r="D24" s="12"/>
      <c r="E24" s="16"/>
      <c r="F24" s="8"/>
      <c r="G24" s="16"/>
      <c r="H24" s="12"/>
      <c r="I24" s="16"/>
      <c r="J24" s="48">
        <v>0</v>
      </c>
      <c r="K24" s="16">
        <v>0</v>
      </c>
      <c r="L24" s="28">
        <v>0</v>
      </c>
      <c r="M24" s="16">
        <f>'Panel_Plusz 494.916.480 Ft'!I10</f>
        <v>0</v>
      </c>
      <c r="N24" s="48">
        <f>ROUND('Panel_Plusz 494.916.480 Ft'!C10/1000,0)</f>
        <v>494917</v>
      </c>
      <c r="O24" s="16">
        <f>ROUND('Panel_Plusz 494.916.480 Ft'!I14/1000,0)</f>
        <v>0</v>
      </c>
      <c r="P24" s="12">
        <f>ROUND('Panel_Plusz 494.916.480 Ft'!C14/1000,0)</f>
        <v>494917</v>
      </c>
      <c r="Q24" s="9">
        <f>ROUND('Panel_Plusz 494.916.480 Ft'!I19/1000,0)</f>
        <v>10117</v>
      </c>
      <c r="R24" s="28">
        <f>ROUND('Panel_Plusz 494.916.480 Ft'!C19/1000,0)</f>
        <v>484800</v>
      </c>
      <c r="S24" s="16">
        <f>ROUND('Panel_Plusz 494.916.480 Ft'!I27/1000,0)</f>
        <v>40400</v>
      </c>
      <c r="T24" s="28">
        <f>ROUND('Panel_Plusz 494.916.480 Ft'!C27/1000,0)</f>
        <v>444400</v>
      </c>
      <c r="U24" s="16">
        <f>ROUND('Panel_Plusz 494.916.480 Ft'!I35/1000,0)</f>
        <v>40400</v>
      </c>
      <c r="V24" s="28">
        <f>ROUND('Panel_Plusz 494.916.480 Ft'!C35/1000,0)</f>
        <v>404000</v>
      </c>
      <c r="W24" s="16">
        <f>ROUND('Panel_Plusz 494.916.480 Ft'!I43/1000,0)</f>
        <v>40400</v>
      </c>
      <c r="X24" s="48">
        <f>ROUND('Panel_Plusz 494.916.480 Ft'!C43/1000,0)</f>
        <v>363600</v>
      </c>
      <c r="Y24" s="16">
        <f>ROUND('Panel_Plusz 494.916.480 Ft'!I51/1000,0)</f>
        <v>40400</v>
      </c>
      <c r="Z24" s="8">
        <f>ROUND('Panel_Plusz 494.916.480 Ft'!C51/1000,0)</f>
        <v>323200</v>
      </c>
      <c r="AA24" s="16">
        <f>ROUND('Panel_Plusz 494.916.480 Ft'!I59/1000,0)</f>
        <v>40400</v>
      </c>
      <c r="AB24" s="8">
        <f>ROUND('Panel_Plusz 494.916.480 Ft'!C59/1000,0)</f>
        <v>282800</v>
      </c>
      <c r="AC24" s="16">
        <f>ROUND('Panel_Plusz 494.916.480 Ft'!I67/1000,0)</f>
        <v>40400</v>
      </c>
      <c r="AD24" s="8">
        <f>ROUND('Panel_Plusz 494.916.480 Ft'!C67/1000,0)</f>
        <v>242400</v>
      </c>
      <c r="AE24" s="16">
        <f>ROUND('Panel_Plusz 494.916.480 Ft'!I75/1000,0)</f>
        <v>40400</v>
      </c>
      <c r="AF24" s="8">
        <f>ROUND('Panel_Plusz 494.916.480 Ft'!C75/1000,0)</f>
        <v>202000</v>
      </c>
      <c r="AG24" s="16">
        <f>ROUND('Panel_Plusz 494.916.480 Ft'!I83/1000,0)</f>
        <v>40400</v>
      </c>
      <c r="AH24" s="8">
        <f>ROUND('Panel_Plusz 494.916.480 Ft'!C83/1000,0)</f>
        <v>161600</v>
      </c>
      <c r="AI24" s="16">
        <f>ROUND('Panel_Plusz 494.916.480 Ft'!I91/1000,0)</f>
        <v>40400</v>
      </c>
      <c r="AJ24" s="8">
        <f>ROUND('Panel_Plusz 494.916.480 Ft'!C91/1000,0)</f>
        <v>121200</v>
      </c>
      <c r="AK24" s="16">
        <f>ROUND('Panel_Plusz 494.916.480 Ft'!I99/1000,0)</f>
        <v>40400</v>
      </c>
      <c r="AL24" s="8">
        <f>ROUND('Panel_Plusz 494.916.480 Ft'!C99/1000,0)</f>
        <v>80800</v>
      </c>
      <c r="AM24" s="16">
        <f>ROUND('Panel_Plusz 494.916.480 Ft'!I107/1000,0)</f>
        <v>40400</v>
      </c>
      <c r="AN24" s="8">
        <f>ROUND('Panel_Plusz 494.916.480 Ft'!C107/1000,0)</f>
        <v>40400</v>
      </c>
      <c r="AO24" s="16">
        <f>ROUND('Panel_Plusz 494.916.480 Ft'!I114/1000,0)</f>
        <v>40400</v>
      </c>
      <c r="AP24" s="13" t="s">
        <v>35</v>
      </c>
      <c r="AQ24" s="24" t="s">
        <v>35</v>
      </c>
      <c r="AR24" s="13" t="s">
        <v>35</v>
      </c>
      <c r="AS24" s="14" t="s">
        <v>35</v>
      </c>
      <c r="AT24" s="13" t="s">
        <v>35</v>
      </c>
      <c r="AU24" s="14" t="s">
        <v>35</v>
      </c>
      <c r="AV24" s="13" t="s">
        <v>35</v>
      </c>
      <c r="AW24" s="14" t="s">
        <v>35</v>
      </c>
      <c r="AX24" s="13" t="s">
        <v>35</v>
      </c>
      <c r="AY24" s="14" t="s">
        <v>35</v>
      </c>
      <c r="AZ24" s="166" t="s">
        <v>251</v>
      </c>
    </row>
    <row r="25" spans="1:52" ht="13.5" thickBot="1">
      <c r="A25" s="15" t="s">
        <v>246</v>
      </c>
      <c r="B25" s="8"/>
      <c r="C25" s="23"/>
      <c r="D25" s="12"/>
      <c r="E25" s="16"/>
      <c r="F25" s="8"/>
      <c r="G25" s="16"/>
      <c r="H25" s="12"/>
      <c r="I25" s="16"/>
      <c r="J25" s="48">
        <v>0</v>
      </c>
      <c r="K25" s="16">
        <v>0</v>
      </c>
      <c r="L25" s="28"/>
      <c r="M25" s="16"/>
      <c r="N25" s="48"/>
      <c r="O25" s="16"/>
      <c r="P25" s="12"/>
      <c r="Q25" s="9"/>
      <c r="R25" s="28"/>
      <c r="S25" s="16"/>
      <c r="T25" s="28"/>
      <c r="U25" s="16"/>
      <c r="V25" s="28"/>
      <c r="W25" s="16"/>
      <c r="X25" s="48"/>
      <c r="Y25" s="16"/>
      <c r="Z25" s="8"/>
      <c r="AA25" s="16"/>
      <c r="AB25" s="8"/>
      <c r="AC25" s="16"/>
      <c r="AD25" s="8"/>
      <c r="AE25" s="16"/>
      <c r="AF25" s="8"/>
      <c r="AG25" s="16"/>
      <c r="AH25" s="8"/>
      <c r="AI25" s="16"/>
      <c r="AJ25" s="8"/>
      <c r="AK25" s="16"/>
      <c r="AL25" s="8"/>
      <c r="AM25" s="16"/>
      <c r="AN25" s="8"/>
      <c r="AO25" s="16"/>
      <c r="AP25" s="8"/>
      <c r="AQ25" s="16"/>
      <c r="AR25" s="13"/>
      <c r="AS25" s="14"/>
      <c r="AT25" s="13"/>
      <c r="AU25" s="14"/>
      <c r="AV25" s="13"/>
      <c r="AW25" s="14"/>
      <c r="AX25" s="13"/>
      <c r="AY25" s="14"/>
      <c r="AZ25" s="135" t="s">
        <v>213</v>
      </c>
    </row>
    <row r="26" spans="1:52" ht="13.5" thickTop="1">
      <c r="A26" s="10" t="s">
        <v>37</v>
      </c>
      <c r="B26" s="11">
        <f aca="true" t="shared" si="17" ref="B26:I26">SUM(B5:B18)</f>
        <v>1050811</v>
      </c>
      <c r="C26" s="2">
        <f t="shared" si="17"/>
        <v>248956</v>
      </c>
      <c r="D26" s="11">
        <f t="shared" si="17"/>
        <v>1463053</v>
      </c>
      <c r="E26" s="2">
        <f t="shared" si="17"/>
        <v>171178</v>
      </c>
      <c r="F26" s="29">
        <f t="shared" si="17"/>
        <v>2179890</v>
      </c>
      <c r="G26" s="2">
        <f t="shared" si="17"/>
        <v>270220</v>
      </c>
      <c r="H26" s="29">
        <f t="shared" si="17"/>
        <v>2660595</v>
      </c>
      <c r="I26" s="2">
        <f t="shared" si="17"/>
        <v>323324</v>
      </c>
      <c r="J26" s="29">
        <f aca="true" t="shared" si="18" ref="J26:AY26">SUM(J5:J25)</f>
        <v>2839622</v>
      </c>
      <c r="K26" s="2">
        <f t="shared" si="18"/>
        <v>363239</v>
      </c>
      <c r="L26" s="29">
        <f t="shared" si="18"/>
        <v>3698155</v>
      </c>
      <c r="M26" s="2">
        <f t="shared" si="18"/>
        <v>363239</v>
      </c>
      <c r="N26" s="29">
        <f t="shared" si="18"/>
        <v>3977192</v>
      </c>
      <c r="O26" s="2">
        <f t="shared" si="18"/>
        <v>379079</v>
      </c>
      <c r="P26" s="29">
        <f t="shared" si="18"/>
        <v>3598113</v>
      </c>
      <c r="Q26" s="2">
        <f t="shared" si="18"/>
        <v>440974</v>
      </c>
      <c r="R26" s="29">
        <f t="shared" si="18"/>
        <v>3157139</v>
      </c>
      <c r="S26" s="2">
        <f t="shared" si="18"/>
        <v>451003</v>
      </c>
      <c r="T26" s="29">
        <f t="shared" si="18"/>
        <v>2706136</v>
      </c>
      <c r="U26" s="2">
        <f t="shared" si="18"/>
        <v>372098</v>
      </c>
      <c r="V26" s="29">
        <f t="shared" si="18"/>
        <v>2334038</v>
      </c>
      <c r="W26" s="2">
        <f t="shared" si="18"/>
        <v>366131</v>
      </c>
      <c r="X26" s="29">
        <f t="shared" si="18"/>
        <v>1967907</v>
      </c>
      <c r="Y26" s="2">
        <f t="shared" si="18"/>
        <v>303530</v>
      </c>
      <c r="Z26" s="29">
        <f t="shared" si="18"/>
        <v>1664377</v>
      </c>
      <c r="AA26" s="2">
        <f t="shared" si="18"/>
        <v>212131</v>
      </c>
      <c r="AB26" s="29">
        <f t="shared" si="18"/>
        <v>1452246</v>
      </c>
      <c r="AC26" s="2">
        <f t="shared" si="18"/>
        <v>172198</v>
      </c>
      <c r="AD26" s="29">
        <f t="shared" si="18"/>
        <v>1280048</v>
      </c>
      <c r="AE26" s="2">
        <f t="shared" si="18"/>
        <v>172199</v>
      </c>
      <c r="AF26" s="29">
        <f t="shared" si="18"/>
        <v>1107849</v>
      </c>
      <c r="AG26" s="2">
        <f t="shared" si="18"/>
        <v>172198</v>
      </c>
      <c r="AH26" s="29">
        <f t="shared" si="18"/>
        <v>935651</v>
      </c>
      <c r="AI26" s="2">
        <f t="shared" si="18"/>
        <v>172199</v>
      </c>
      <c r="AJ26" s="29">
        <f t="shared" si="18"/>
        <v>763452</v>
      </c>
      <c r="AK26" s="2">
        <f t="shared" si="18"/>
        <v>172198</v>
      </c>
      <c r="AL26" s="29">
        <f t="shared" si="18"/>
        <v>591254</v>
      </c>
      <c r="AM26" s="2">
        <f t="shared" si="18"/>
        <v>172199</v>
      </c>
      <c r="AN26" s="29">
        <f t="shared" si="18"/>
        <v>419055</v>
      </c>
      <c r="AO26" s="2">
        <f t="shared" si="18"/>
        <v>133434</v>
      </c>
      <c r="AP26" s="29">
        <f t="shared" si="18"/>
        <v>285621</v>
      </c>
      <c r="AQ26" s="2">
        <f t="shared" si="18"/>
        <v>80099</v>
      </c>
      <c r="AR26" s="29">
        <f t="shared" si="18"/>
        <v>205522</v>
      </c>
      <c r="AS26" s="2">
        <f t="shared" si="18"/>
        <v>71783</v>
      </c>
      <c r="AT26" s="29">
        <f t="shared" si="18"/>
        <v>133739</v>
      </c>
      <c r="AU26" s="2">
        <f t="shared" si="18"/>
        <v>71784</v>
      </c>
      <c r="AV26" s="29">
        <f t="shared" si="18"/>
        <v>61955</v>
      </c>
      <c r="AW26" s="2">
        <f t="shared" si="18"/>
        <v>48870</v>
      </c>
      <c r="AX26" s="29">
        <f t="shared" si="18"/>
        <v>13085</v>
      </c>
      <c r="AY26" s="2">
        <f t="shared" si="18"/>
        <v>13085</v>
      </c>
      <c r="AZ26" s="135" t="s">
        <v>214</v>
      </c>
    </row>
    <row r="27" spans="1:51" ht="12.75" customHeight="1">
      <c r="A27" s="5" t="s">
        <v>70</v>
      </c>
      <c r="B27" s="8">
        <f aca="true" t="shared" si="19" ref="B27:B32">C27+D27</f>
        <v>31848</v>
      </c>
      <c r="C27" s="16">
        <v>9644</v>
      </c>
      <c r="D27" s="8">
        <f>SUM(E27,G27,I27,K27,M27,O27)</f>
        <v>22204</v>
      </c>
      <c r="E27" s="16">
        <f>ROUND('1998. évi 200 MFt (...03)'!G55/1000,0)</f>
        <v>6222</v>
      </c>
      <c r="F27" s="8">
        <f aca="true" t="shared" si="20" ref="F27:F40">G27+H27</f>
        <v>15982</v>
      </c>
      <c r="G27" s="16">
        <f>ROUND('1998. évi 200 MFt (...03)'!G67/1000,0)</f>
        <v>7323</v>
      </c>
      <c r="H27" s="8">
        <f aca="true" t="shared" si="21" ref="H27:H40">I27+J27</f>
        <v>8659</v>
      </c>
      <c r="I27" s="16">
        <f>ROUND('1998. évi 200 MFt (...03)'!G79/1000,0)</f>
        <v>3755</v>
      </c>
      <c r="J27" s="27">
        <f>K27+L27</f>
        <v>4904</v>
      </c>
      <c r="K27" s="16">
        <f>ROUND('1998. évi 200 MFt (...03)'!G92/1000,0)</f>
        <v>2416</v>
      </c>
      <c r="L27" s="19">
        <f>M27+N27</f>
        <v>2488</v>
      </c>
      <c r="M27" s="16">
        <f>ROUND('1998. évi 200 MFt (...03)'!G104/1000,0)</f>
        <v>1800</v>
      </c>
      <c r="N27" s="27">
        <f>O27</f>
        <v>688</v>
      </c>
      <c r="O27" s="16">
        <f>ROUND('1998. évi 200 MFt (...03)'!G116/1000,0)</f>
        <v>688</v>
      </c>
      <c r="P27" s="13" t="s">
        <v>35</v>
      </c>
      <c r="Q27" s="14" t="s">
        <v>35</v>
      </c>
      <c r="R27" s="13" t="s">
        <v>35</v>
      </c>
      <c r="S27" s="24" t="s">
        <v>35</v>
      </c>
      <c r="T27" s="13" t="s">
        <v>35</v>
      </c>
      <c r="U27" s="24" t="s">
        <v>35</v>
      </c>
      <c r="V27" s="13" t="s">
        <v>35</v>
      </c>
      <c r="W27" s="24" t="s">
        <v>35</v>
      </c>
      <c r="X27" s="13" t="s">
        <v>35</v>
      </c>
      <c r="Y27" s="24" t="s">
        <v>35</v>
      </c>
      <c r="Z27" s="13" t="s">
        <v>35</v>
      </c>
      <c r="AA27" s="14" t="s">
        <v>35</v>
      </c>
      <c r="AB27" s="13" t="s">
        <v>35</v>
      </c>
      <c r="AC27" s="14" t="s">
        <v>35</v>
      </c>
      <c r="AD27" s="13" t="s">
        <v>35</v>
      </c>
      <c r="AE27" s="14" t="s">
        <v>35</v>
      </c>
      <c r="AF27" s="13" t="s">
        <v>35</v>
      </c>
      <c r="AG27" s="14" t="s">
        <v>35</v>
      </c>
      <c r="AH27" s="13" t="s">
        <v>35</v>
      </c>
      <c r="AI27" s="14" t="s">
        <v>35</v>
      </c>
      <c r="AJ27" s="13" t="s">
        <v>35</v>
      </c>
      <c r="AK27" s="14" t="s">
        <v>35</v>
      </c>
      <c r="AL27" s="13" t="s">
        <v>35</v>
      </c>
      <c r="AM27" s="14" t="s">
        <v>35</v>
      </c>
      <c r="AN27" s="13" t="s">
        <v>35</v>
      </c>
      <c r="AO27" s="14" t="s">
        <v>35</v>
      </c>
      <c r="AP27" s="13" t="s">
        <v>35</v>
      </c>
      <c r="AQ27" s="14" t="s">
        <v>35</v>
      </c>
      <c r="AR27" s="13" t="s">
        <v>35</v>
      </c>
      <c r="AS27" s="14" t="s">
        <v>35</v>
      </c>
      <c r="AT27" s="13" t="s">
        <v>35</v>
      </c>
      <c r="AU27" s="14" t="s">
        <v>35</v>
      </c>
      <c r="AV27" s="13" t="s">
        <v>35</v>
      </c>
      <c r="AW27" s="14" t="s">
        <v>35</v>
      </c>
      <c r="AX27" s="13" t="s">
        <v>35</v>
      </c>
      <c r="AY27" s="14" t="s">
        <v>35</v>
      </c>
    </row>
    <row r="28" spans="1:51" ht="12.75">
      <c r="A28" s="5" t="s">
        <v>71</v>
      </c>
      <c r="B28" s="8">
        <f t="shared" si="19"/>
        <v>37662</v>
      </c>
      <c r="C28" s="16">
        <v>11246</v>
      </c>
      <c r="D28" s="8">
        <f>SUM(E28,G28,I28,K28,M28,O28)</f>
        <v>26416</v>
      </c>
      <c r="E28" s="16">
        <f>ROUND('1999. évi 200 MFt (...04)'!G66/1000,0)</f>
        <v>7575</v>
      </c>
      <c r="F28" s="8">
        <f t="shared" si="20"/>
        <v>18841</v>
      </c>
      <c r="G28" s="16">
        <f>ROUND('1999. évi 200 MFt (...04)'!G82/1000,0)</f>
        <v>8811</v>
      </c>
      <c r="H28" s="8">
        <f t="shared" si="21"/>
        <v>10030</v>
      </c>
      <c r="I28" s="16">
        <f>ROUND('1999. évi 200 MFt (...04)'!G98/1000,0)</f>
        <v>4435</v>
      </c>
      <c r="J28" s="27">
        <f aca="true" t="shared" si="22" ref="J28:J34">K28+L28</f>
        <v>5595</v>
      </c>
      <c r="K28" s="16">
        <f>ROUND('1999. évi 200 MFt (...04)'!G115/1000,0)</f>
        <v>2818</v>
      </c>
      <c r="L28" s="19">
        <f>M28+N28</f>
        <v>2777</v>
      </c>
      <c r="M28" s="16">
        <f>ROUND('1999. évi 200 MFt (...04)'!G131/1000,0)</f>
        <v>2062</v>
      </c>
      <c r="N28" s="27">
        <f>O28</f>
        <v>715</v>
      </c>
      <c r="O28" s="16">
        <f>ROUND('1999. évi 200 MFt (...04)'!G146/1000,0)</f>
        <v>715</v>
      </c>
      <c r="P28" s="13" t="s">
        <v>35</v>
      </c>
      <c r="Q28" s="14" t="s">
        <v>35</v>
      </c>
      <c r="R28" s="20" t="s">
        <v>35</v>
      </c>
      <c r="S28" s="24" t="s">
        <v>35</v>
      </c>
      <c r="T28" s="20" t="s">
        <v>35</v>
      </c>
      <c r="U28" s="24" t="s">
        <v>35</v>
      </c>
      <c r="V28" s="20" t="s">
        <v>35</v>
      </c>
      <c r="W28" s="24" t="s">
        <v>35</v>
      </c>
      <c r="X28" s="39" t="s">
        <v>35</v>
      </c>
      <c r="Y28" s="24" t="s">
        <v>35</v>
      </c>
      <c r="Z28" s="13" t="s">
        <v>35</v>
      </c>
      <c r="AA28" s="14" t="s">
        <v>35</v>
      </c>
      <c r="AB28" s="13" t="s">
        <v>35</v>
      </c>
      <c r="AC28" s="14" t="s">
        <v>35</v>
      </c>
      <c r="AD28" s="13" t="s">
        <v>35</v>
      </c>
      <c r="AE28" s="14" t="s">
        <v>35</v>
      </c>
      <c r="AF28" s="13" t="s">
        <v>35</v>
      </c>
      <c r="AG28" s="14" t="s">
        <v>35</v>
      </c>
      <c r="AH28" s="13" t="s">
        <v>35</v>
      </c>
      <c r="AI28" s="14" t="s">
        <v>35</v>
      </c>
      <c r="AJ28" s="13" t="s">
        <v>35</v>
      </c>
      <c r="AK28" s="14" t="s">
        <v>35</v>
      </c>
      <c r="AL28" s="13" t="s">
        <v>35</v>
      </c>
      <c r="AM28" s="14" t="s">
        <v>35</v>
      </c>
      <c r="AN28" s="13" t="s">
        <v>35</v>
      </c>
      <c r="AO28" s="14" t="s">
        <v>35</v>
      </c>
      <c r="AP28" s="13" t="s">
        <v>35</v>
      </c>
      <c r="AQ28" s="14" t="s">
        <v>35</v>
      </c>
      <c r="AR28" s="13" t="s">
        <v>35</v>
      </c>
      <c r="AS28" s="14" t="s">
        <v>35</v>
      </c>
      <c r="AT28" s="13" t="s">
        <v>35</v>
      </c>
      <c r="AU28" s="14" t="s">
        <v>35</v>
      </c>
      <c r="AV28" s="13" t="s">
        <v>35</v>
      </c>
      <c r="AW28" s="14" t="s">
        <v>35</v>
      </c>
      <c r="AX28" s="13" t="s">
        <v>35</v>
      </c>
      <c r="AY28" s="14" t="s">
        <v>35</v>
      </c>
    </row>
    <row r="29" spans="1:51" ht="12.75">
      <c r="A29" s="15" t="s">
        <v>72</v>
      </c>
      <c r="B29" s="8">
        <f t="shared" si="19"/>
        <v>37439</v>
      </c>
      <c r="C29" s="23">
        <v>13518</v>
      </c>
      <c r="D29" s="12">
        <f>SUM(E29,G29,I29,K29,M29)</f>
        <v>23921</v>
      </c>
      <c r="E29" s="16">
        <f>ROUND('2000. júl-i 200 MFt (...06)'!G31/1000,0)</f>
        <v>7847</v>
      </c>
      <c r="F29" s="8">
        <f t="shared" si="20"/>
        <v>16074</v>
      </c>
      <c r="G29" s="16">
        <f>ROUND('2000. júl-i 200 MFt (...06)'!G39/1000,0)</f>
        <v>8720</v>
      </c>
      <c r="H29" s="8">
        <f t="shared" si="21"/>
        <v>7354</v>
      </c>
      <c r="I29" s="16">
        <f>ROUND('2000. júl-i 200 MFt (...06)'!G47/1000,0)</f>
        <v>4099</v>
      </c>
      <c r="J29" s="27">
        <f t="shared" si="22"/>
        <v>3255</v>
      </c>
      <c r="K29" s="16">
        <f>ROUND('2000. júl-i 200 MFt (...06)'!G56/1000,0)</f>
        <v>2225</v>
      </c>
      <c r="L29" s="19">
        <f>M29</f>
        <v>1030</v>
      </c>
      <c r="M29" s="16">
        <f>ROUND('2000. júl-i 200 MFt (...06)'!G63/1000,0)</f>
        <v>1030</v>
      </c>
      <c r="N29" s="39" t="s">
        <v>35</v>
      </c>
      <c r="O29" s="24" t="s">
        <v>35</v>
      </c>
      <c r="P29" s="13" t="s">
        <v>35</v>
      </c>
      <c r="Q29" s="14" t="s">
        <v>35</v>
      </c>
      <c r="R29" s="20" t="s">
        <v>35</v>
      </c>
      <c r="S29" s="24" t="s">
        <v>35</v>
      </c>
      <c r="T29" s="20" t="s">
        <v>35</v>
      </c>
      <c r="U29" s="24" t="s">
        <v>35</v>
      </c>
      <c r="V29" s="20" t="s">
        <v>35</v>
      </c>
      <c r="W29" s="24" t="s">
        <v>35</v>
      </c>
      <c r="X29" s="39" t="s">
        <v>35</v>
      </c>
      <c r="Y29" s="24" t="s">
        <v>35</v>
      </c>
      <c r="Z29" s="13" t="s">
        <v>35</v>
      </c>
      <c r="AA29" s="14" t="s">
        <v>35</v>
      </c>
      <c r="AB29" s="13" t="s">
        <v>35</v>
      </c>
      <c r="AC29" s="14" t="s">
        <v>35</v>
      </c>
      <c r="AD29" s="13" t="s">
        <v>35</v>
      </c>
      <c r="AE29" s="14" t="s">
        <v>35</v>
      </c>
      <c r="AF29" s="13" t="s">
        <v>35</v>
      </c>
      <c r="AG29" s="14" t="s">
        <v>35</v>
      </c>
      <c r="AH29" s="13" t="s">
        <v>35</v>
      </c>
      <c r="AI29" s="14" t="s">
        <v>35</v>
      </c>
      <c r="AJ29" s="13" t="s">
        <v>35</v>
      </c>
      <c r="AK29" s="14" t="s">
        <v>35</v>
      </c>
      <c r="AL29" s="13" t="s">
        <v>35</v>
      </c>
      <c r="AM29" s="14" t="s">
        <v>35</v>
      </c>
      <c r="AN29" s="13" t="s">
        <v>35</v>
      </c>
      <c r="AO29" s="14" t="s">
        <v>35</v>
      </c>
      <c r="AP29" s="13" t="s">
        <v>35</v>
      </c>
      <c r="AQ29" s="14" t="s">
        <v>35</v>
      </c>
      <c r="AR29" s="13" t="s">
        <v>35</v>
      </c>
      <c r="AS29" s="14" t="s">
        <v>35</v>
      </c>
      <c r="AT29" s="13" t="s">
        <v>35</v>
      </c>
      <c r="AU29" s="14" t="s">
        <v>35</v>
      </c>
      <c r="AV29" s="13" t="s">
        <v>35</v>
      </c>
      <c r="AW29" s="14" t="s">
        <v>35</v>
      </c>
      <c r="AX29" s="13" t="s">
        <v>35</v>
      </c>
      <c r="AY29" s="14" t="s">
        <v>35</v>
      </c>
    </row>
    <row r="30" spans="1:51" ht="12.75">
      <c r="A30" s="15" t="s">
        <v>73</v>
      </c>
      <c r="B30" s="8">
        <f t="shared" si="19"/>
        <v>81280</v>
      </c>
      <c r="C30" s="23">
        <v>20909</v>
      </c>
      <c r="D30" s="12">
        <f>SUM(E30,G30,I30,K30,M30,O30,Q30)</f>
        <v>60371</v>
      </c>
      <c r="E30" s="16">
        <f>ROUND('2000. dec-i 250 MFt (...05)'!G29/1000,0)</f>
        <v>15089</v>
      </c>
      <c r="F30" s="8">
        <f t="shared" si="20"/>
        <v>45282</v>
      </c>
      <c r="G30" s="16">
        <f>ROUND('2000. dec-i 250 MFt (...05)'!G37/1000,0)</f>
        <v>18124</v>
      </c>
      <c r="H30" s="8">
        <f t="shared" si="21"/>
        <v>27158</v>
      </c>
      <c r="I30" s="16">
        <f>ROUND('2000. dec-i 250 MFt (...05)'!G45/1000,0)</f>
        <v>9618</v>
      </c>
      <c r="J30" s="27">
        <f t="shared" si="22"/>
        <v>17540</v>
      </c>
      <c r="K30" s="16">
        <f>ROUND('2000. dec-i 250 MFt (...05)'!G54/1000,0)</f>
        <v>6717</v>
      </c>
      <c r="L30" s="19">
        <f aca="true" t="shared" si="23" ref="L30:L45">M30+N30</f>
        <v>10823</v>
      </c>
      <c r="M30" s="16">
        <f>ROUND('2000. dec-i 250 MFt (...05)'!G62/1000,0)</f>
        <v>5851</v>
      </c>
      <c r="N30" s="27">
        <f aca="true" t="shared" si="24" ref="N30:N40">O30+P30</f>
        <v>4972</v>
      </c>
      <c r="O30" s="16">
        <f>ROUND('2000. dec-i 250 MFt (...05)'!G70/1000,0)</f>
        <v>3603</v>
      </c>
      <c r="P30" s="8">
        <f>Q30</f>
        <v>1369</v>
      </c>
      <c r="Q30" s="9">
        <f>ROUND('2000. dec-i 250 MFt (...05)'!G77/1000,0)</f>
        <v>1369</v>
      </c>
      <c r="R30" s="20" t="s">
        <v>35</v>
      </c>
      <c r="S30" s="24" t="s">
        <v>35</v>
      </c>
      <c r="T30" s="20" t="s">
        <v>35</v>
      </c>
      <c r="U30" s="24" t="s">
        <v>35</v>
      </c>
      <c r="V30" s="20" t="s">
        <v>35</v>
      </c>
      <c r="W30" s="24" t="s">
        <v>35</v>
      </c>
      <c r="X30" s="39" t="s">
        <v>35</v>
      </c>
      <c r="Y30" s="24" t="s">
        <v>35</v>
      </c>
      <c r="Z30" s="13" t="s">
        <v>35</v>
      </c>
      <c r="AA30" s="14" t="s">
        <v>35</v>
      </c>
      <c r="AB30" s="13" t="s">
        <v>35</v>
      </c>
      <c r="AC30" s="14" t="s">
        <v>35</v>
      </c>
      <c r="AD30" s="13" t="s">
        <v>35</v>
      </c>
      <c r="AE30" s="14" t="s">
        <v>35</v>
      </c>
      <c r="AF30" s="13" t="s">
        <v>35</v>
      </c>
      <c r="AG30" s="14" t="s">
        <v>35</v>
      </c>
      <c r="AH30" s="13" t="s">
        <v>35</v>
      </c>
      <c r="AI30" s="14" t="s">
        <v>35</v>
      </c>
      <c r="AJ30" s="13" t="s">
        <v>35</v>
      </c>
      <c r="AK30" s="14" t="s">
        <v>35</v>
      </c>
      <c r="AL30" s="13" t="s">
        <v>35</v>
      </c>
      <c r="AM30" s="14" t="s">
        <v>35</v>
      </c>
      <c r="AN30" s="13" t="s">
        <v>35</v>
      </c>
      <c r="AO30" s="14" t="s">
        <v>35</v>
      </c>
      <c r="AP30" s="13" t="s">
        <v>35</v>
      </c>
      <c r="AQ30" s="14" t="s">
        <v>35</v>
      </c>
      <c r="AR30" s="13" t="s">
        <v>35</v>
      </c>
      <c r="AS30" s="14" t="s">
        <v>35</v>
      </c>
      <c r="AT30" s="13" t="s">
        <v>35</v>
      </c>
      <c r="AU30" s="14" t="s">
        <v>35</v>
      </c>
      <c r="AV30" s="13" t="s">
        <v>35</v>
      </c>
      <c r="AW30" s="14" t="s">
        <v>35</v>
      </c>
      <c r="AX30" s="13" t="s">
        <v>35</v>
      </c>
      <c r="AY30" s="14" t="s">
        <v>35</v>
      </c>
    </row>
    <row r="31" spans="1:51" ht="12.75">
      <c r="A31" s="15" t="s">
        <v>36</v>
      </c>
      <c r="B31" s="8">
        <f t="shared" si="19"/>
        <v>115519</v>
      </c>
      <c r="C31" s="23">
        <v>13938</v>
      </c>
      <c r="D31" s="12">
        <f>SUM(E31,G31,I31,K31,M31,O31,Q31,S31,U31,W31)</f>
        <v>101581</v>
      </c>
      <c r="E31" s="16">
        <f>ROUND('NA600-as vezeték (...07)'!G27/1000,0)</f>
        <v>17917</v>
      </c>
      <c r="F31" s="8">
        <f t="shared" si="20"/>
        <v>83664</v>
      </c>
      <c r="G31" s="16">
        <f>ROUND('NA600-as vezeték (...07)'!G35/1000,0)</f>
        <v>23823</v>
      </c>
      <c r="H31" s="8">
        <f t="shared" si="21"/>
        <v>59841</v>
      </c>
      <c r="I31" s="16">
        <f>ROUND('NA600-as vezeték (...07)'!G43/1000,0)</f>
        <v>13553</v>
      </c>
      <c r="J31" s="27">
        <f t="shared" si="22"/>
        <v>46288</v>
      </c>
      <c r="K31" s="16">
        <f>ROUND('NA600-as vezeték (...07)'!G52/1000,0)</f>
        <v>10565</v>
      </c>
      <c r="L31" s="19">
        <f t="shared" si="23"/>
        <v>35723</v>
      </c>
      <c r="M31" s="16">
        <f>ROUND('NA600-as vezeték (...07)'!G60/1000,0)</f>
        <v>10766</v>
      </c>
      <c r="N31" s="27">
        <f t="shared" si="24"/>
        <v>24957</v>
      </c>
      <c r="O31" s="16">
        <f>ROUND('NA600-as vezeték (...07)'!G68/1000,0)</f>
        <v>8823</v>
      </c>
      <c r="P31" s="8">
        <f aca="true" t="shared" si="25" ref="P31:P47">Q31+R31</f>
        <v>16134</v>
      </c>
      <c r="Q31" s="9">
        <f>ROUND('NA600-as vezeték (...07)'!G76/1000,0)</f>
        <v>6891</v>
      </c>
      <c r="R31" s="19">
        <f>S31+T31</f>
        <v>9243</v>
      </c>
      <c r="S31" s="16">
        <f>ROUND('NA600-as vezeték (...07)'!G84/1000,0)</f>
        <v>4985</v>
      </c>
      <c r="T31" s="19">
        <f>U31+V31</f>
        <v>4258</v>
      </c>
      <c r="U31" s="16">
        <f>ROUND('NA600-as vezeték (...07)'!G92/1000,0)</f>
        <v>3079</v>
      </c>
      <c r="V31" s="19">
        <f>W31</f>
        <v>1179</v>
      </c>
      <c r="W31" s="16">
        <f>ROUND('NA600-as vezeték (...07)'!G99/1000,0)</f>
        <v>1179</v>
      </c>
      <c r="X31" s="13" t="s">
        <v>35</v>
      </c>
      <c r="Y31" s="24" t="s">
        <v>35</v>
      </c>
      <c r="Z31" s="13" t="s">
        <v>35</v>
      </c>
      <c r="AA31" s="14" t="s">
        <v>35</v>
      </c>
      <c r="AB31" s="13" t="s">
        <v>35</v>
      </c>
      <c r="AC31" s="14" t="s">
        <v>35</v>
      </c>
      <c r="AD31" s="13" t="s">
        <v>35</v>
      </c>
      <c r="AE31" s="14" t="s">
        <v>35</v>
      </c>
      <c r="AF31" s="13" t="s">
        <v>35</v>
      </c>
      <c r="AG31" s="14" t="s">
        <v>35</v>
      </c>
      <c r="AH31" s="13" t="s">
        <v>35</v>
      </c>
      <c r="AI31" s="14" t="s">
        <v>35</v>
      </c>
      <c r="AJ31" s="13" t="s">
        <v>35</v>
      </c>
      <c r="AK31" s="14" t="s">
        <v>35</v>
      </c>
      <c r="AL31" s="13" t="s">
        <v>35</v>
      </c>
      <c r="AM31" s="14" t="s">
        <v>35</v>
      </c>
      <c r="AN31" s="13" t="s">
        <v>35</v>
      </c>
      <c r="AO31" s="14" t="s">
        <v>35</v>
      </c>
      <c r="AP31" s="13" t="s">
        <v>35</v>
      </c>
      <c r="AQ31" s="14" t="s">
        <v>35</v>
      </c>
      <c r="AR31" s="13" t="s">
        <v>35</v>
      </c>
      <c r="AS31" s="14" t="s">
        <v>35</v>
      </c>
      <c r="AT31" s="13" t="s">
        <v>35</v>
      </c>
      <c r="AU31" s="14" t="s">
        <v>35</v>
      </c>
      <c r="AV31" s="13" t="s">
        <v>35</v>
      </c>
      <c r="AW31" s="14" t="s">
        <v>35</v>
      </c>
      <c r="AX31" s="13" t="s">
        <v>35</v>
      </c>
      <c r="AY31" s="14" t="s">
        <v>35</v>
      </c>
    </row>
    <row r="32" spans="1:51" ht="12.75">
      <c r="A32" s="15" t="s">
        <v>149</v>
      </c>
      <c r="B32" s="8">
        <f t="shared" si="19"/>
        <v>113893</v>
      </c>
      <c r="C32" s="23">
        <v>20186</v>
      </c>
      <c r="D32" s="12">
        <f>SUM(E32,G32,I32,K32,M32,O32,Q32,S32)</f>
        <v>93707</v>
      </c>
      <c r="E32" s="16">
        <f>ROUND('2001.dec. - 2002.jún. (...08) '!G23/1000,0)</f>
        <v>20914</v>
      </c>
      <c r="F32" s="8">
        <f t="shared" si="20"/>
        <v>72793</v>
      </c>
      <c r="G32" s="16">
        <f>ROUND('2001.dec. - 2002.jún. (...08) '!G31/1000,0)</f>
        <v>25686</v>
      </c>
      <c r="H32" s="8">
        <f t="shared" si="21"/>
        <v>47107</v>
      </c>
      <c r="I32" s="16">
        <f>ROUND('2001.dec. - 2002.jún. (...08) '!G39/1000,0)</f>
        <v>14057</v>
      </c>
      <c r="J32" s="27">
        <f t="shared" si="22"/>
        <v>33050</v>
      </c>
      <c r="K32" s="16">
        <f>ROUND('2001.dec. - 2002.jún. (...08) '!G48/1000,0)</f>
        <v>10332</v>
      </c>
      <c r="L32" s="19">
        <f t="shared" si="23"/>
        <v>22718</v>
      </c>
      <c r="M32" s="16">
        <f>ROUND('2001.dec. - 2002.jún. (...08) '!G56/1000,0)</f>
        <v>9730</v>
      </c>
      <c r="N32" s="27">
        <f t="shared" si="24"/>
        <v>12988</v>
      </c>
      <c r="O32" s="16">
        <f>ROUND('2001.dec. - 2002.jún. (...08) '!G64/1000,0)</f>
        <v>7019</v>
      </c>
      <c r="P32" s="8">
        <f t="shared" si="25"/>
        <v>5969</v>
      </c>
      <c r="Q32" s="9">
        <f>ROUND('2001.dec. - 2002.jún. (...08) '!G72/1000,0)</f>
        <v>4322</v>
      </c>
      <c r="R32" s="19">
        <f>S32</f>
        <v>1647</v>
      </c>
      <c r="S32" s="16">
        <f>ROUND('2001.dec. - 2002.jún. (...08) '!G79/1000,0)</f>
        <v>1647</v>
      </c>
      <c r="T32" s="20" t="s">
        <v>35</v>
      </c>
      <c r="U32" s="24" t="s">
        <v>35</v>
      </c>
      <c r="V32" s="20" t="s">
        <v>35</v>
      </c>
      <c r="W32" s="24" t="s">
        <v>35</v>
      </c>
      <c r="X32" s="13" t="s">
        <v>35</v>
      </c>
      <c r="Y32" s="24" t="s">
        <v>35</v>
      </c>
      <c r="Z32" s="13" t="s">
        <v>35</v>
      </c>
      <c r="AA32" s="14" t="s">
        <v>35</v>
      </c>
      <c r="AB32" s="13" t="s">
        <v>35</v>
      </c>
      <c r="AC32" s="14" t="s">
        <v>35</v>
      </c>
      <c r="AD32" s="13" t="s">
        <v>35</v>
      </c>
      <c r="AE32" s="14" t="s">
        <v>35</v>
      </c>
      <c r="AF32" s="13" t="s">
        <v>35</v>
      </c>
      <c r="AG32" s="14" t="s">
        <v>35</v>
      </c>
      <c r="AH32" s="13" t="s">
        <v>35</v>
      </c>
      <c r="AI32" s="14" t="s">
        <v>35</v>
      </c>
      <c r="AJ32" s="13" t="s">
        <v>35</v>
      </c>
      <c r="AK32" s="14" t="s">
        <v>35</v>
      </c>
      <c r="AL32" s="13" t="s">
        <v>35</v>
      </c>
      <c r="AM32" s="14" t="s">
        <v>35</v>
      </c>
      <c r="AN32" s="13" t="s">
        <v>35</v>
      </c>
      <c r="AO32" s="14" t="s">
        <v>35</v>
      </c>
      <c r="AP32" s="13" t="s">
        <v>35</v>
      </c>
      <c r="AQ32" s="14" t="s">
        <v>35</v>
      </c>
      <c r="AR32" s="13" t="s">
        <v>35</v>
      </c>
      <c r="AS32" s="14" t="s">
        <v>35</v>
      </c>
      <c r="AT32" s="13" t="s">
        <v>35</v>
      </c>
      <c r="AU32" s="14" t="s">
        <v>35</v>
      </c>
      <c r="AV32" s="13" t="s">
        <v>35</v>
      </c>
      <c r="AW32" s="14" t="s">
        <v>35</v>
      </c>
      <c r="AX32" s="13" t="s">
        <v>35</v>
      </c>
      <c r="AY32" s="14" t="s">
        <v>35</v>
      </c>
    </row>
    <row r="33" spans="1:51" ht="12.75">
      <c r="A33" s="15" t="s">
        <v>67</v>
      </c>
      <c r="B33" s="8">
        <v>0</v>
      </c>
      <c r="C33" s="23">
        <v>1157</v>
      </c>
      <c r="D33" s="12">
        <f>SUM(E33,G33,I33,K33,M33,O33,Q33,S33)</f>
        <v>117632</v>
      </c>
      <c r="E33" s="16">
        <f>ROUND('2002. dec-i 305.133 eFt (...09)'!G15/1000,0)</f>
        <v>25808</v>
      </c>
      <c r="F33" s="8">
        <f t="shared" si="20"/>
        <v>91824</v>
      </c>
      <c r="G33" s="16">
        <f>ROUND('2002. dec-i 305.133 eFt (...09)'!G23/1000,0)</f>
        <v>32401</v>
      </c>
      <c r="H33" s="8">
        <f t="shared" si="21"/>
        <v>59423</v>
      </c>
      <c r="I33" s="16">
        <f>ROUND('2002. dec-i 305.133 eFt (...09)'!G31/1000,0)</f>
        <v>17732</v>
      </c>
      <c r="J33" s="27">
        <f t="shared" si="22"/>
        <v>41691</v>
      </c>
      <c r="K33" s="16">
        <f>ROUND('2002. dec-i 305.133 eFt (...09)'!G40/1000,0)</f>
        <v>13033</v>
      </c>
      <c r="L33" s="19">
        <f t="shared" si="23"/>
        <v>28658</v>
      </c>
      <c r="M33" s="23">
        <f>ROUND('2002. dec-i 305.133 eFt (...09)'!G48/1000,0)</f>
        <v>12274</v>
      </c>
      <c r="N33" s="27">
        <f t="shared" si="24"/>
        <v>16384</v>
      </c>
      <c r="O33" s="23">
        <f>ROUND('2002. dec-i 305.133 eFt (...09)'!G56/1000,0)</f>
        <v>8854</v>
      </c>
      <c r="P33" s="8">
        <f t="shared" si="25"/>
        <v>7530</v>
      </c>
      <c r="Q33" s="51">
        <f>ROUND('2002. dec-i 305.133 eFt (...09)'!G64/1000,0)</f>
        <v>5452</v>
      </c>
      <c r="R33" s="19">
        <f>S33</f>
        <v>2078</v>
      </c>
      <c r="S33" s="23">
        <f>ROUND('2002. dec-i 305.133 eFt (...09)'!G71/1000,0)</f>
        <v>2078</v>
      </c>
      <c r="T33" s="20" t="s">
        <v>35</v>
      </c>
      <c r="U33" s="24" t="s">
        <v>35</v>
      </c>
      <c r="V33" s="20" t="s">
        <v>35</v>
      </c>
      <c r="W33" s="22" t="s">
        <v>35</v>
      </c>
      <c r="X33" s="377" t="s">
        <v>35</v>
      </c>
      <c r="Y33" s="24" t="s">
        <v>35</v>
      </c>
      <c r="Z33" s="13" t="s">
        <v>35</v>
      </c>
      <c r="AA33" s="14" t="s">
        <v>35</v>
      </c>
      <c r="AB33" s="13" t="s">
        <v>35</v>
      </c>
      <c r="AC33" s="14" t="s">
        <v>35</v>
      </c>
      <c r="AD33" s="13" t="s">
        <v>35</v>
      </c>
      <c r="AE33" s="14" t="s">
        <v>35</v>
      </c>
      <c r="AF33" s="13" t="s">
        <v>35</v>
      </c>
      <c r="AG33" s="14" t="s">
        <v>35</v>
      </c>
      <c r="AH33" s="13" t="s">
        <v>35</v>
      </c>
      <c r="AI33" s="14" t="s">
        <v>35</v>
      </c>
      <c r="AJ33" s="13" t="s">
        <v>35</v>
      </c>
      <c r="AK33" s="14" t="s">
        <v>35</v>
      </c>
      <c r="AL33" s="13" t="s">
        <v>35</v>
      </c>
      <c r="AM33" s="14" t="s">
        <v>35</v>
      </c>
      <c r="AN33" s="13" t="s">
        <v>35</v>
      </c>
      <c r="AO33" s="14" t="s">
        <v>35</v>
      </c>
      <c r="AP33" s="13" t="s">
        <v>35</v>
      </c>
      <c r="AQ33" s="14" t="s">
        <v>35</v>
      </c>
      <c r="AR33" s="13" t="s">
        <v>35</v>
      </c>
      <c r="AS33" s="14" t="s">
        <v>35</v>
      </c>
      <c r="AT33" s="13" t="s">
        <v>35</v>
      </c>
      <c r="AU33" s="14" t="s">
        <v>35</v>
      </c>
      <c r="AV33" s="13" t="s">
        <v>35</v>
      </c>
      <c r="AW33" s="14" t="s">
        <v>35</v>
      </c>
      <c r="AX33" s="13" t="s">
        <v>35</v>
      </c>
      <c r="AY33" s="14" t="s">
        <v>35</v>
      </c>
    </row>
    <row r="34" spans="1:51" ht="12.75">
      <c r="A34" s="15" t="s">
        <v>74</v>
      </c>
      <c r="B34" s="8">
        <v>0</v>
      </c>
      <c r="C34" s="23">
        <v>0</v>
      </c>
      <c r="D34" s="12">
        <f>SUM(Y34,W34,U34,S34,Q34,O34,M34,K34,I34,G34,E34)</f>
        <v>323319</v>
      </c>
      <c r="E34" s="16">
        <f>ROUND('2003. okt. és dec. (...10)'!G11/1000,0)</f>
        <v>7975</v>
      </c>
      <c r="F34" s="8">
        <f>G34+H34</f>
        <v>315344</v>
      </c>
      <c r="G34" s="16">
        <f>ROUND('2003. okt. és dec. (...10)'!G20/1000,0)</f>
        <v>82483</v>
      </c>
      <c r="H34" s="8">
        <f t="shared" si="21"/>
        <v>232861</v>
      </c>
      <c r="I34" s="16">
        <f>ROUND('2003. okt. és dec. (...10)'!G28/1000,0)</f>
        <v>49783</v>
      </c>
      <c r="J34" s="27">
        <f t="shared" si="22"/>
        <v>183078</v>
      </c>
      <c r="K34" s="16">
        <f>ROUND('2003. okt. és dec. (...10)'!G37/1000,0)</f>
        <v>39191</v>
      </c>
      <c r="L34" s="19">
        <f t="shared" si="23"/>
        <v>143887</v>
      </c>
      <c r="M34" s="16">
        <f>ROUND('2003. okt. és dec. (...10)'!G45/1000,0)</f>
        <v>40426</v>
      </c>
      <c r="N34" s="27">
        <f t="shared" si="24"/>
        <v>103461</v>
      </c>
      <c r="O34" s="16">
        <f>ROUND('2003. okt. és dec. (...10)'!G53/1000,0)</f>
        <v>33719</v>
      </c>
      <c r="P34" s="8">
        <f t="shared" si="25"/>
        <v>69742</v>
      </c>
      <c r="Q34" s="9">
        <f>ROUND('2003. okt. és dec. (...10)'!G61/1000,0)</f>
        <v>27048</v>
      </c>
      <c r="R34" s="19">
        <f>S34+T34</f>
        <v>42694</v>
      </c>
      <c r="S34" s="16">
        <f>ROUND('2003. okt. és dec. (...10)'!G69/1000,0)</f>
        <v>20341</v>
      </c>
      <c r="T34" s="19">
        <f>U34+V34</f>
        <v>22353</v>
      </c>
      <c r="U34" s="16">
        <f>ROUND('2003. okt. és dec. (...10)'!G77/1000,0)</f>
        <v>13823</v>
      </c>
      <c r="V34" s="28">
        <f>W34+X34</f>
        <v>8530</v>
      </c>
      <c r="W34" s="16">
        <f>ROUND('2003. okt. és dec. (...10)'!G85/1000,0)</f>
        <v>7333</v>
      </c>
      <c r="X34" s="48">
        <f>Y34</f>
        <v>1197</v>
      </c>
      <c r="Y34" s="16">
        <f>ROUND('2003. okt. és dec. (...10)'!G88/1000,0)</f>
        <v>1197</v>
      </c>
      <c r="Z34" s="13" t="s">
        <v>35</v>
      </c>
      <c r="AA34" s="14" t="s">
        <v>35</v>
      </c>
      <c r="AB34" s="13" t="s">
        <v>35</v>
      </c>
      <c r="AC34" s="14" t="s">
        <v>35</v>
      </c>
      <c r="AD34" s="13" t="s">
        <v>35</v>
      </c>
      <c r="AE34" s="14" t="s">
        <v>35</v>
      </c>
      <c r="AF34" s="13" t="s">
        <v>35</v>
      </c>
      <c r="AG34" s="14" t="s">
        <v>35</v>
      </c>
      <c r="AH34" s="13" t="s">
        <v>35</v>
      </c>
      <c r="AI34" s="14" t="s">
        <v>35</v>
      </c>
      <c r="AJ34" s="13" t="s">
        <v>35</v>
      </c>
      <c r="AK34" s="14" t="s">
        <v>35</v>
      </c>
      <c r="AL34" s="13" t="s">
        <v>35</v>
      </c>
      <c r="AM34" s="14" t="s">
        <v>35</v>
      </c>
      <c r="AN34" s="13" t="s">
        <v>35</v>
      </c>
      <c r="AO34" s="14" t="s">
        <v>35</v>
      </c>
      <c r="AP34" s="13" t="s">
        <v>35</v>
      </c>
      <c r="AQ34" s="14" t="s">
        <v>35</v>
      </c>
      <c r="AR34" s="13" t="s">
        <v>35</v>
      </c>
      <c r="AS34" s="14" t="s">
        <v>35</v>
      </c>
      <c r="AT34" s="13" t="s">
        <v>35</v>
      </c>
      <c r="AU34" s="14" t="s">
        <v>35</v>
      </c>
      <c r="AV34" s="13" t="s">
        <v>35</v>
      </c>
      <c r="AW34" s="14" t="s">
        <v>35</v>
      </c>
      <c r="AX34" s="13" t="s">
        <v>35</v>
      </c>
      <c r="AY34" s="14" t="s">
        <v>35</v>
      </c>
    </row>
    <row r="35" spans="1:51" ht="12.75">
      <c r="A35" s="15" t="s">
        <v>109</v>
      </c>
      <c r="B35" s="8"/>
      <c r="C35" s="23"/>
      <c r="D35" s="12">
        <v>0</v>
      </c>
      <c r="E35" s="16">
        <v>0</v>
      </c>
      <c r="F35" s="8">
        <f>G35+H35</f>
        <v>282894</v>
      </c>
      <c r="G35" s="16">
        <f>ROUND('2004. szept. 718.793 eFt (..11)'!G12/1000,0)</f>
        <v>7525</v>
      </c>
      <c r="H35" s="8">
        <f>I35+J35</f>
        <v>275369</v>
      </c>
      <c r="I35" s="16">
        <f>ROUND('2004. szept. 718.793 eFt (..11)'!G19/1000,0)</f>
        <v>38241</v>
      </c>
      <c r="J35" s="8">
        <f>K35+L35</f>
        <v>237128</v>
      </c>
      <c r="K35" s="16">
        <f>ROUND('2004. szept. 718.793 eFt (..11)'!G28/1000,0)</f>
        <v>45066</v>
      </c>
      <c r="L35" s="8">
        <f>M35+N35</f>
        <v>192062</v>
      </c>
      <c r="M35" s="16">
        <f>ROUND('2004. szept. 718.793 eFt (..11)'!G36/1000,0)</f>
        <v>47404</v>
      </c>
      <c r="N35" s="8">
        <f>O35+P35</f>
        <v>144658</v>
      </c>
      <c r="O35" s="16">
        <f>ROUND('2004. szept. 718.793 eFt (..11)'!G44/1000,0)</f>
        <v>40626</v>
      </c>
      <c r="P35" s="8">
        <f>Q35+R35</f>
        <v>104032</v>
      </c>
      <c r="Q35" s="9">
        <f>ROUND('2004. szept. 718.793 eFt (..11)'!G52/1000,0)</f>
        <v>33885</v>
      </c>
      <c r="R35" s="8">
        <f>S35+T35</f>
        <v>70147</v>
      </c>
      <c r="S35" s="16">
        <f>ROUND('2004. szept. 718.793 eFt (..11)'!G60/1000,0)</f>
        <v>27071</v>
      </c>
      <c r="T35" s="8">
        <f>U35+V35</f>
        <v>43076</v>
      </c>
      <c r="U35" s="16">
        <f>ROUND('2004. szept. 718.793 eFt (..11)'!G68/1000,0)</f>
        <v>20501</v>
      </c>
      <c r="V35" s="8">
        <f>W35+X35</f>
        <v>22575</v>
      </c>
      <c r="W35" s="16">
        <f>ROUND('2004. szept. 718.793 eFt (..11)'!G76/1000,0)</f>
        <v>13978</v>
      </c>
      <c r="X35" s="8">
        <f>Y35+Z35</f>
        <v>8597</v>
      </c>
      <c r="Y35" s="16">
        <f>ROUND('2004. szept. 718.793 eFt (..11)'!G84/1000,0)</f>
        <v>7390</v>
      </c>
      <c r="Z35" s="8">
        <f>AA35</f>
        <v>1207</v>
      </c>
      <c r="AA35" s="51">
        <f>ROUND('2004. szept. 718.793 eFt (..11)'!G87/1000,0)</f>
        <v>1207</v>
      </c>
      <c r="AB35" s="13" t="s">
        <v>35</v>
      </c>
      <c r="AC35" s="14" t="s">
        <v>35</v>
      </c>
      <c r="AD35" s="13" t="s">
        <v>35</v>
      </c>
      <c r="AE35" s="14" t="s">
        <v>35</v>
      </c>
      <c r="AF35" s="13" t="s">
        <v>35</v>
      </c>
      <c r="AG35" s="14" t="s">
        <v>35</v>
      </c>
      <c r="AH35" s="13" t="s">
        <v>35</v>
      </c>
      <c r="AI35" s="14" t="s">
        <v>35</v>
      </c>
      <c r="AJ35" s="13" t="s">
        <v>35</v>
      </c>
      <c r="AK35" s="14" t="s">
        <v>35</v>
      </c>
      <c r="AL35" s="13" t="s">
        <v>35</v>
      </c>
      <c r="AM35" s="14" t="s">
        <v>35</v>
      </c>
      <c r="AN35" s="13" t="s">
        <v>35</v>
      </c>
      <c r="AO35" s="14" t="s">
        <v>35</v>
      </c>
      <c r="AP35" s="13" t="s">
        <v>35</v>
      </c>
      <c r="AQ35" s="14" t="s">
        <v>35</v>
      </c>
      <c r="AR35" s="13" t="s">
        <v>35</v>
      </c>
      <c r="AS35" s="14" t="s">
        <v>35</v>
      </c>
      <c r="AT35" s="13" t="s">
        <v>35</v>
      </c>
      <c r="AU35" s="14" t="s">
        <v>35</v>
      </c>
      <c r="AV35" s="13" t="s">
        <v>35</v>
      </c>
      <c r="AW35" s="14" t="s">
        <v>35</v>
      </c>
      <c r="AX35" s="13" t="s">
        <v>35</v>
      </c>
      <c r="AY35" s="14" t="s">
        <v>35</v>
      </c>
    </row>
    <row r="36" spans="1:51" ht="12.75">
      <c r="A36" s="15" t="s">
        <v>210</v>
      </c>
      <c r="B36" s="8"/>
      <c r="C36" s="23"/>
      <c r="D36" s="12"/>
      <c r="E36" s="16"/>
      <c r="F36" s="13" t="s">
        <v>35</v>
      </c>
      <c r="G36" s="24" t="s">
        <v>35</v>
      </c>
      <c r="H36" s="8">
        <f>I36+J36</f>
        <v>357655</v>
      </c>
      <c r="I36" s="23">
        <f>ROUND('2005. évi 607.314 eFt (..13)'!G8/1000,0)</f>
        <v>641</v>
      </c>
      <c r="J36" s="12">
        <f>SUM(K36:L36)</f>
        <v>357014</v>
      </c>
      <c r="K36" s="23">
        <f>ROUND('2005. évi 607.314 eFt (..13)'!G14/1000,0)</f>
        <v>23245</v>
      </c>
      <c r="L36" s="12">
        <f>SUM(M36:N36)</f>
        <v>333769</v>
      </c>
      <c r="M36" s="23">
        <f>ROUND('2005. évi 607.314 eFt (..13)'!G18/1000,0)</f>
        <v>33755</v>
      </c>
      <c r="N36" s="12">
        <f>SUM(O36:P36)</f>
        <v>300014</v>
      </c>
      <c r="O36" s="23">
        <f>ROUND('2005. évi 607.314 eFt (..13)'!G25/1000,0)</f>
        <v>33193</v>
      </c>
      <c r="P36" s="12">
        <f>SUM(Q36:R36)</f>
        <v>266821</v>
      </c>
      <c r="Q36" s="23">
        <f>ROUND('2005. évi 607.314 eFt (..13)'!G33/1000,0)</f>
        <v>31241</v>
      </c>
      <c r="R36" s="12">
        <f>SUM(S36:T36)</f>
        <v>235580</v>
      </c>
      <c r="S36" s="23">
        <f>ROUND('2005. évi 607.314 eFt (..13)'!G41/1000,0)</f>
        <v>29295</v>
      </c>
      <c r="T36" s="12">
        <f>SUM(U36:V36)</f>
        <v>206285</v>
      </c>
      <c r="U36" s="23">
        <f>ROUND('2005. évi 607.314 eFt (..13)'!G49/1000,0)</f>
        <v>27350</v>
      </c>
      <c r="V36" s="12">
        <f>SUM(W36:X36)</f>
        <v>178935</v>
      </c>
      <c r="W36" s="23">
        <f>ROUND('2005. évi 607.314 eFt (..13)'!G57/1000,0)</f>
        <v>25476</v>
      </c>
      <c r="X36" s="12">
        <f>SUM(Y36:Z36)</f>
        <v>153459</v>
      </c>
      <c r="Y36" s="23">
        <f>ROUND('2005. évi 607.314 eFt (..13)'!G65/1000,0)</f>
        <v>23458</v>
      </c>
      <c r="Z36" s="12">
        <f>SUM(AA36:AB36)</f>
        <v>130001</v>
      </c>
      <c r="AA36" s="23">
        <f>ROUND('2005. évi 607.314 eFt (..13)'!G73/1000,0)</f>
        <v>21512</v>
      </c>
      <c r="AB36" s="12">
        <f>SUM(AC36:AD36)</f>
        <v>108489</v>
      </c>
      <c r="AC36" s="23">
        <f>ROUND('2005. évi 607.314 eFt (..13)'!G81/1000,0)</f>
        <v>19567</v>
      </c>
      <c r="AD36" s="12">
        <f>SUM(AE36:AF36)</f>
        <v>88922</v>
      </c>
      <c r="AE36" s="23">
        <f>ROUND('2005. évi 607.314 eFt (..13)'!G89/1000,0)</f>
        <v>17671</v>
      </c>
      <c r="AF36" s="12">
        <f>SUM(AG36:AH36)</f>
        <v>71251</v>
      </c>
      <c r="AG36" s="23">
        <f>ROUND('2005. évi 607.314 eFt (..13)'!G97/1000,0)</f>
        <v>15675</v>
      </c>
      <c r="AH36" s="12">
        <f>SUM(AI36:AJ36)</f>
        <v>55576</v>
      </c>
      <c r="AI36" s="23">
        <f>ROUND('2005. évi 607.314 eFt (..13)'!G105/1000,0)</f>
        <v>13729</v>
      </c>
      <c r="AJ36" s="12">
        <f>SUM(AK36:AL36)</f>
        <v>41847</v>
      </c>
      <c r="AK36" s="23">
        <f>ROUND('2005. évi 607.314 eFt (..13)'!G113/1000,0)</f>
        <v>11783</v>
      </c>
      <c r="AL36" s="12">
        <f>SUM(AM36:AN36)</f>
        <v>30064</v>
      </c>
      <c r="AM36" s="23">
        <f>ROUND('2005. évi 607.314 eFt (..13)'!G121/1000,0)</f>
        <v>9867</v>
      </c>
      <c r="AN36" s="12">
        <f>SUM(AO36:AP36)</f>
        <v>20197</v>
      </c>
      <c r="AO36" s="23">
        <f>ROUND('2005. évi 607.314 eFt (..13)'!G129/1000,0)</f>
        <v>7892</v>
      </c>
      <c r="AP36" s="12">
        <f>SUM(AQ36:AR36)</f>
        <v>12305</v>
      </c>
      <c r="AQ36" s="23">
        <f>ROUND('2005. évi 607.314 eFt (..13)'!G137/1000,0)</f>
        <v>5946</v>
      </c>
      <c r="AR36" s="12">
        <f>SUM(AS36:AT36)</f>
        <v>6359</v>
      </c>
      <c r="AS36" s="23">
        <f>ROUND('2005. évi 607.314 eFt (..13)'!G145/1000,0)</f>
        <v>4000</v>
      </c>
      <c r="AT36" s="12">
        <f>SUM(AU36:AV36)</f>
        <v>2359</v>
      </c>
      <c r="AU36" s="23">
        <f>ROUND('2005. évi 607.314 eFt (..13)'!G153/1000,0)</f>
        <v>2063</v>
      </c>
      <c r="AV36" s="12">
        <f>SUM(AW36:AX36)</f>
        <v>296</v>
      </c>
      <c r="AW36" s="23">
        <f>ROUND('2005. évi 607.314 eFt (..13)'!G156/1000,0)</f>
        <v>296</v>
      </c>
      <c r="AX36" s="13" t="s">
        <v>35</v>
      </c>
      <c r="AY36" s="14" t="s">
        <v>35</v>
      </c>
    </row>
    <row r="37" spans="1:51" ht="12.75">
      <c r="A37" s="15" t="s">
        <v>211</v>
      </c>
      <c r="B37" s="8"/>
      <c r="C37" s="23"/>
      <c r="D37" s="12"/>
      <c r="E37" s="16"/>
      <c r="F37" s="13"/>
      <c r="G37" s="24"/>
      <c r="H37" s="8">
        <f>I37+J37</f>
        <v>91960</v>
      </c>
      <c r="I37" s="23">
        <f>ROUND('2005. évi 179.173 eFt (..12)'!G8/1000,0)</f>
        <v>98</v>
      </c>
      <c r="J37" s="12">
        <f>SUM(K37:L37)</f>
        <v>91862</v>
      </c>
      <c r="K37" s="23">
        <f>ROUND('2005. évi 179.173 eFt (..12)'!G15/1000,0)</f>
        <v>4336</v>
      </c>
      <c r="L37" s="12">
        <f>SUM(M37:N37)</f>
        <v>87526</v>
      </c>
      <c r="M37" s="23">
        <f>ROUND('2005. évi 179.173 eFt (..12)'!G19/1000,0)</f>
        <v>8838</v>
      </c>
      <c r="N37" s="12">
        <f>SUM(O37:P37)</f>
        <v>78688</v>
      </c>
      <c r="O37" s="23">
        <f>ROUND('2005. évi 179.173 eFt (..12)'!G26/1000,0)</f>
        <v>8739</v>
      </c>
      <c r="P37" s="12">
        <f>SUM(Q37:R37)</f>
        <v>69949</v>
      </c>
      <c r="Q37" s="23">
        <f>ROUND('2005. évi 179.173 eFt (..12)'!G34/1000,0)</f>
        <v>8202</v>
      </c>
      <c r="R37" s="12">
        <f>SUM(S37:T37)</f>
        <v>61747</v>
      </c>
      <c r="S37" s="23">
        <f>ROUND('2005. évi 179.173 eFt (..12)'!G42/1000,0)</f>
        <v>7690</v>
      </c>
      <c r="T37" s="12">
        <f>SUM(U37:V37)</f>
        <v>54057</v>
      </c>
      <c r="U37" s="23">
        <f>ROUND('2005. évi 179.173 eFt (..12)'!G50/1000,0)</f>
        <v>7178</v>
      </c>
      <c r="V37" s="12">
        <f>SUM(W37:X37)</f>
        <v>46879</v>
      </c>
      <c r="W37" s="23">
        <f>ROUND('2005. évi 179.173 eFt (..12)'!G58/1000,0)</f>
        <v>6686</v>
      </c>
      <c r="X37" s="12">
        <f>SUM(Y37:Z37)</f>
        <v>40193</v>
      </c>
      <c r="Y37" s="23">
        <f>ROUND('2005. évi 179.173 eFt (..12)'!G66/1000,0)</f>
        <v>6155</v>
      </c>
      <c r="Z37" s="12">
        <f>SUM(AA37:AB37)</f>
        <v>34038</v>
      </c>
      <c r="AA37" s="23">
        <f>ROUND('2005. évi 179.173 eFt (..12)'!G74/1000,0)</f>
        <v>5644</v>
      </c>
      <c r="AB37" s="12">
        <f>SUM(AC37:AD37)</f>
        <v>28394</v>
      </c>
      <c r="AC37" s="23">
        <f>ROUND('2005. évi 179.173 eFt (..12)'!G82/1000,0)</f>
        <v>5132</v>
      </c>
      <c r="AD37" s="12">
        <f>SUM(AE37:AF37)</f>
        <v>23262</v>
      </c>
      <c r="AE37" s="23">
        <f>ROUND('2005. évi 179.173 eFt (..12)'!G90/1000,0)</f>
        <v>4634</v>
      </c>
      <c r="AF37" s="12">
        <f>SUM(AG37:AH37)</f>
        <v>18628</v>
      </c>
      <c r="AG37" s="23">
        <f>ROUND('2005. évi 179.173 eFt (..12)'!G98/1000,0)</f>
        <v>4109</v>
      </c>
      <c r="AH37" s="12">
        <f>SUM(AI37:AJ37)</f>
        <v>14519</v>
      </c>
      <c r="AI37" s="23">
        <f>ROUND('2005. évi 179.173 eFt (..12)'!G106/1000,0)</f>
        <v>3597</v>
      </c>
      <c r="AJ37" s="12">
        <f>SUM(AK37:AL37)</f>
        <v>10922</v>
      </c>
      <c r="AK37" s="23">
        <f>ROUND('2005. évi 179.173 eFt (..12)'!G114/1000,0)</f>
        <v>3086</v>
      </c>
      <c r="AL37" s="12">
        <f>SUM(AM37:AN37)</f>
        <v>7836</v>
      </c>
      <c r="AM37" s="23">
        <f>ROUND('2005. évi 179.173 eFt (..12)'!G122/1000,0)</f>
        <v>2582</v>
      </c>
      <c r="AN37" s="12">
        <f>SUM(AO37:AP37)</f>
        <v>5254</v>
      </c>
      <c r="AO37" s="23">
        <f>ROUND('2005. évi 179.173 eFt (..12)'!G130/1000,0)</f>
        <v>2062</v>
      </c>
      <c r="AP37" s="12">
        <f>SUM(AQ37:AR37)</f>
        <v>3192</v>
      </c>
      <c r="AQ37" s="23">
        <f>ROUND('2005. évi 179.173 eFt (..12)'!G138/1000,0)</f>
        <v>1551</v>
      </c>
      <c r="AR37" s="12">
        <f>SUM(AS37:AT37)</f>
        <v>1641</v>
      </c>
      <c r="AS37" s="23">
        <f>ROUND('2005. évi 179.173 eFt (..12)'!G146/1000,0)</f>
        <v>1039</v>
      </c>
      <c r="AT37" s="12">
        <f>SUM(AU37:AV37)</f>
        <v>602</v>
      </c>
      <c r="AU37" s="23">
        <f>ROUND('2005. évi 179.173 eFt (..12)'!G154/1000,0)</f>
        <v>530</v>
      </c>
      <c r="AV37" s="12">
        <f>SUM(AW37:AX37)</f>
        <v>72</v>
      </c>
      <c r="AW37" s="23">
        <f>ROUND('2005. évi 179.173 eFt (..12)'!G157/1000,0)</f>
        <v>72</v>
      </c>
      <c r="AX37" s="13" t="s">
        <v>35</v>
      </c>
      <c r="AY37" s="14" t="s">
        <v>35</v>
      </c>
    </row>
    <row r="38" spans="1:51" ht="12.75">
      <c r="A38" s="15" t="s">
        <v>56</v>
      </c>
      <c r="B38" s="8">
        <f>C38+D38</f>
        <v>22512</v>
      </c>
      <c r="C38" s="23">
        <v>3400</v>
      </c>
      <c r="D38" s="12">
        <f>SUM(E38,G38,I38,K38,M38,O38,Q38,S38,U38)</f>
        <v>19112</v>
      </c>
      <c r="E38" s="16">
        <f>ROUND('69 db bérlakásépítés (...11)'!G23/1000,0)</f>
        <v>4346</v>
      </c>
      <c r="F38" s="8">
        <f>G38+H38</f>
        <v>14766</v>
      </c>
      <c r="G38" s="16">
        <f>ROUND('69 db bérlakásépítés (...11)'!G31/1000,0)</f>
        <v>4791</v>
      </c>
      <c r="H38" s="8">
        <f>I38+J38</f>
        <v>9975</v>
      </c>
      <c r="I38" s="16">
        <f>ROUND('69 db bérlakásépítés (...11)'!G41/1000,0)</f>
        <v>2270</v>
      </c>
      <c r="J38" s="27">
        <f>K38+L38</f>
        <v>7705</v>
      </c>
      <c r="K38" s="16">
        <f>ROUND('69 db bérlakásépítés (...11)'!G54/1000,0)</f>
        <v>2516</v>
      </c>
      <c r="L38" s="19">
        <f>M38+N38</f>
        <v>5189</v>
      </c>
      <c r="M38" s="16">
        <f>ROUND('69 db bérlakásépítés (...11)'!G63/1000,0)</f>
        <v>2016</v>
      </c>
      <c r="N38" s="27">
        <f>O38+P38</f>
        <v>3173</v>
      </c>
      <c r="O38" s="16">
        <f>ROUND('69 db bérlakásépítés (...11)'!G71/1000,0)</f>
        <v>1517</v>
      </c>
      <c r="P38" s="8">
        <f>Q38+R38</f>
        <v>1656</v>
      </c>
      <c r="Q38" s="9">
        <f>ROUND('69 db bérlakásépítés (...11)'!G79/1000,0)</f>
        <v>1027</v>
      </c>
      <c r="R38" s="19">
        <f aca="true" t="shared" si="26" ref="R38:R47">S38+T38</f>
        <v>629</v>
      </c>
      <c r="S38" s="16">
        <f>ROUND('69 db bérlakásépítés (...11)'!G87/1000,0)</f>
        <v>541</v>
      </c>
      <c r="T38" s="19">
        <f>U38</f>
        <v>88</v>
      </c>
      <c r="U38" s="16">
        <f>ROUND('69 db bérlakásépítés (...11)'!G90/1000,0)</f>
        <v>88</v>
      </c>
      <c r="V38" s="20" t="s">
        <v>35</v>
      </c>
      <c r="W38" s="22" t="s">
        <v>35</v>
      </c>
      <c r="X38" s="376" t="s">
        <v>35</v>
      </c>
      <c r="Y38" s="24" t="s">
        <v>35</v>
      </c>
      <c r="Z38" s="13" t="s">
        <v>35</v>
      </c>
      <c r="AA38" s="14" t="s">
        <v>35</v>
      </c>
      <c r="AB38" s="13" t="s">
        <v>35</v>
      </c>
      <c r="AC38" s="14" t="s">
        <v>35</v>
      </c>
      <c r="AD38" s="13" t="s">
        <v>35</v>
      </c>
      <c r="AE38" s="14" t="s">
        <v>35</v>
      </c>
      <c r="AF38" s="13" t="s">
        <v>35</v>
      </c>
      <c r="AG38" s="14" t="s">
        <v>35</v>
      </c>
      <c r="AH38" s="13" t="s">
        <v>35</v>
      </c>
      <c r="AI38" s="14" t="s">
        <v>35</v>
      </c>
      <c r="AJ38" s="13" t="s">
        <v>35</v>
      </c>
      <c r="AK38" s="14" t="s">
        <v>35</v>
      </c>
      <c r="AL38" s="13" t="s">
        <v>35</v>
      </c>
      <c r="AM38" s="14" t="s">
        <v>35</v>
      </c>
      <c r="AN38" s="13" t="s">
        <v>35</v>
      </c>
      <c r="AO38" s="14" t="s">
        <v>35</v>
      </c>
      <c r="AP38" s="13" t="s">
        <v>35</v>
      </c>
      <c r="AQ38" s="14" t="s">
        <v>35</v>
      </c>
      <c r="AR38" s="13" t="s">
        <v>35</v>
      </c>
      <c r="AS38" s="14" t="s">
        <v>35</v>
      </c>
      <c r="AT38" s="13" t="s">
        <v>35</v>
      </c>
      <c r="AU38" s="14" t="s">
        <v>35</v>
      </c>
      <c r="AV38" s="13" t="s">
        <v>35</v>
      </c>
      <c r="AW38" s="14" t="s">
        <v>35</v>
      </c>
      <c r="AX38" s="13" t="s">
        <v>35</v>
      </c>
      <c r="AY38" s="14" t="s">
        <v>35</v>
      </c>
    </row>
    <row r="39" spans="1:51" ht="12.75">
      <c r="A39" s="15" t="s">
        <v>55</v>
      </c>
      <c r="B39" s="8">
        <v>0</v>
      </c>
      <c r="C39" s="23">
        <v>399</v>
      </c>
      <c r="D39" s="12">
        <f>SUM(E39,G39,I39,K39,M39,O39,Q39,S39,U39,W39,Y39)</f>
        <v>31133</v>
      </c>
      <c r="E39" s="16">
        <f>ROUND('59 db bérlakás (...12)'!G15/1000,0)</f>
        <v>5585</v>
      </c>
      <c r="F39" s="8">
        <f>G39+H39</f>
        <v>25548</v>
      </c>
      <c r="G39" s="16">
        <f>ROUND('59 db bérlakás (...12)'!G23/1000,0)</f>
        <v>6418</v>
      </c>
      <c r="H39" s="8">
        <f>I39+J39</f>
        <v>19130</v>
      </c>
      <c r="I39" s="16">
        <f>ROUND('59 db bérlakás (...12)'!G33/1000,0)</f>
        <v>3177</v>
      </c>
      <c r="J39" s="27">
        <f>K39+L39</f>
        <v>15953</v>
      </c>
      <c r="K39" s="16">
        <f>ROUND('59 db bérlakás (...12)'!G46/1000,0)</f>
        <v>3722</v>
      </c>
      <c r="L39" s="19">
        <f>M39+N39</f>
        <v>12231</v>
      </c>
      <c r="M39" s="16">
        <f>ROUND('59 db bérlakás (...12)'!G55/1000,0)</f>
        <v>3215</v>
      </c>
      <c r="N39" s="27">
        <f>O39+P39</f>
        <v>9016</v>
      </c>
      <c r="O39" s="16">
        <f>ROUND('59 db bérlakás (...12)'!G63/1000,0)</f>
        <v>2713</v>
      </c>
      <c r="P39" s="8">
        <f>Q39+R39</f>
        <v>6303</v>
      </c>
      <c r="Q39" s="9">
        <f>ROUND('59 db bérlakás (...12)'!G71/1000,0)</f>
        <v>2223</v>
      </c>
      <c r="R39" s="19">
        <f t="shared" si="26"/>
        <v>4080</v>
      </c>
      <c r="S39" s="16">
        <f>ROUND('59 db bérlakás (...12)'!G79/1000,0)</f>
        <v>1742</v>
      </c>
      <c r="T39" s="19">
        <f aca="true" t="shared" si="27" ref="T39:T47">U39+V39</f>
        <v>2338</v>
      </c>
      <c r="U39" s="16">
        <f>ROUND('59 db bérlakás (...12)'!G87/1000,0)</f>
        <v>1260</v>
      </c>
      <c r="V39" s="28">
        <f aca="true" t="shared" si="28" ref="V39:V47">W39+X39</f>
        <v>1078</v>
      </c>
      <c r="W39" s="16">
        <f>ROUND('59 db bérlakás (...12)'!G95/1000,0)</f>
        <v>781</v>
      </c>
      <c r="X39" s="378">
        <f>Y39</f>
        <v>297</v>
      </c>
      <c r="Y39" s="16">
        <f>ROUND('59 db bérlakás (...12)'!G102/1000,0)</f>
        <v>297</v>
      </c>
      <c r="Z39" s="13" t="s">
        <v>35</v>
      </c>
      <c r="AA39" s="14" t="s">
        <v>35</v>
      </c>
      <c r="AB39" s="13" t="s">
        <v>35</v>
      </c>
      <c r="AC39" s="14" t="s">
        <v>35</v>
      </c>
      <c r="AD39" s="13" t="s">
        <v>35</v>
      </c>
      <c r="AE39" s="14" t="s">
        <v>35</v>
      </c>
      <c r="AF39" s="13" t="s">
        <v>35</v>
      </c>
      <c r="AG39" s="14" t="s">
        <v>35</v>
      </c>
      <c r="AH39" s="13" t="s">
        <v>35</v>
      </c>
      <c r="AI39" s="14" t="s">
        <v>35</v>
      </c>
      <c r="AJ39" s="13" t="s">
        <v>35</v>
      </c>
      <c r="AK39" s="14" t="s">
        <v>35</v>
      </c>
      <c r="AL39" s="13" t="s">
        <v>35</v>
      </c>
      <c r="AM39" s="14" t="s">
        <v>35</v>
      </c>
      <c r="AN39" s="13" t="s">
        <v>35</v>
      </c>
      <c r="AO39" s="14" t="s">
        <v>35</v>
      </c>
      <c r="AP39" s="13" t="s">
        <v>35</v>
      </c>
      <c r="AQ39" s="14" t="s">
        <v>35</v>
      </c>
      <c r="AR39" s="13" t="s">
        <v>35</v>
      </c>
      <c r="AS39" s="14" t="s">
        <v>35</v>
      </c>
      <c r="AT39" s="13" t="s">
        <v>35</v>
      </c>
      <c r="AU39" s="14" t="s">
        <v>35</v>
      </c>
      <c r="AV39" s="13" t="s">
        <v>35</v>
      </c>
      <c r="AW39" s="14" t="s">
        <v>35</v>
      </c>
      <c r="AX39" s="13" t="s">
        <v>35</v>
      </c>
      <c r="AY39" s="14" t="s">
        <v>35</v>
      </c>
    </row>
    <row r="40" spans="1:51" s="38" customFormat="1" ht="12.75">
      <c r="A40" s="15" t="s">
        <v>150</v>
      </c>
      <c r="B40" s="8">
        <v>0</v>
      </c>
      <c r="C40" s="37">
        <v>3</v>
      </c>
      <c r="D40" s="40">
        <f>SUM(E40,G40,I40,K40,M40,O40,Q40,S40,U40,W40,Y40,AA40,AC40,AE40,AG40,AI40,AK40,AM40,AO40,AQ40)</f>
        <v>69486</v>
      </c>
      <c r="E40" s="35">
        <f>ROUND('Kecelhegyi bérlakás (...13)'!G22/1000,0)</f>
        <v>5138</v>
      </c>
      <c r="F40" s="8">
        <f t="shared" si="20"/>
        <v>64348</v>
      </c>
      <c r="G40" s="35">
        <f>ROUND('Kecelhegyi bérlakás (...13)'!G32/1000,0)</f>
        <v>10104</v>
      </c>
      <c r="H40" s="8">
        <f t="shared" si="21"/>
        <v>54244</v>
      </c>
      <c r="I40" s="35">
        <f>ROUND('Kecelhegyi bérlakás (...13)'!G42/1000,0)</f>
        <v>4563</v>
      </c>
      <c r="J40" s="27">
        <f>K40+L40</f>
        <v>49681</v>
      </c>
      <c r="K40" s="35">
        <f>ROUND('Kecelhegyi bérlakás (...13)'!G55/1000,0)</f>
        <v>5704</v>
      </c>
      <c r="L40" s="19">
        <f t="shared" si="23"/>
        <v>43977</v>
      </c>
      <c r="M40" s="37">
        <f>ROUND('Kecelhegyi bérlakás (...13)'!G64/1000,0)</f>
        <v>5325</v>
      </c>
      <c r="N40" s="27">
        <f t="shared" si="24"/>
        <v>38652</v>
      </c>
      <c r="O40" s="37">
        <f>ROUND('Kecelhegyi bérlakás (...13)'!G72/1000,0)</f>
        <v>4955</v>
      </c>
      <c r="P40" s="8">
        <f t="shared" si="25"/>
        <v>33697</v>
      </c>
      <c r="Q40" s="52">
        <f>ROUND('Kecelhegyi bérlakás (...13)'!G80/1000,0)</f>
        <v>4603</v>
      </c>
      <c r="R40" s="19">
        <f t="shared" si="26"/>
        <v>29094</v>
      </c>
      <c r="S40" s="37">
        <f>ROUND('Kecelhegyi bérlakás (...13)'!G88/1000,0)</f>
        <v>4265</v>
      </c>
      <c r="T40" s="19">
        <f t="shared" si="27"/>
        <v>24829</v>
      </c>
      <c r="U40" s="35">
        <f>ROUND('Kecelhegyi bérlakás (...13)'!G96/1000,0)</f>
        <v>3927</v>
      </c>
      <c r="V40" s="28">
        <f t="shared" si="28"/>
        <v>20902</v>
      </c>
      <c r="W40" s="35">
        <f>ROUND('Kecelhegyi bérlakás (...13)'!G104/1000,0)</f>
        <v>3599</v>
      </c>
      <c r="X40" s="379">
        <f aca="true" t="shared" si="29" ref="X40:X47">SUM(Y40:Z40)</f>
        <v>17303</v>
      </c>
      <c r="Y40" s="35">
        <f>ROUND('Kecelhegyi bérlakás (...13)'!G112/1000,0)</f>
        <v>3251</v>
      </c>
      <c r="Z40" s="40">
        <f aca="true" t="shared" si="30" ref="Z40:Z47">AA40+AB40</f>
        <v>14052</v>
      </c>
      <c r="AA40" s="36">
        <f>ROUND('Kecelhegyi bérlakás (...13)'!G120/1000,0)</f>
        <v>2913</v>
      </c>
      <c r="AB40" s="40">
        <f aca="true" t="shared" si="31" ref="AB40:AB47">AC40+AD40</f>
        <v>11139</v>
      </c>
      <c r="AC40" s="36">
        <f>ROUND('Kecelhegyi bérlakás (...13)'!G128/1000,0)</f>
        <v>2575</v>
      </c>
      <c r="AD40" s="40">
        <f aca="true" t="shared" si="32" ref="AD40:AD47">AE40+AF40</f>
        <v>8564</v>
      </c>
      <c r="AE40" s="36">
        <f>ROUND('Kecelhegyi bérlakás (...13)'!G136/1000,0)</f>
        <v>2243</v>
      </c>
      <c r="AF40" s="40">
        <f aca="true" t="shared" si="33" ref="AF40:AF47">AG40+AH40</f>
        <v>6321</v>
      </c>
      <c r="AG40" s="36">
        <f>ROUND('Kecelhegyi bérlakás (...13)'!G144/1000,0)</f>
        <v>1898</v>
      </c>
      <c r="AH40" s="40">
        <f aca="true" t="shared" si="34" ref="AH40:AH47">AI40+AJ40</f>
        <v>4423</v>
      </c>
      <c r="AI40" s="36">
        <f>ROUND('Kecelhegyi bérlakás (...13)'!G152/1000,0)</f>
        <v>1560</v>
      </c>
      <c r="AJ40" s="40">
        <f aca="true" t="shared" si="35" ref="AJ40:AJ47">AK40+AL40</f>
        <v>2863</v>
      </c>
      <c r="AK40" s="36">
        <f>ROUND('Kecelhegyi bérlakás (...13)'!G160/1000,0)</f>
        <v>1222</v>
      </c>
      <c r="AL40" s="40">
        <f aca="true" t="shared" si="36" ref="AL40:AL47">AM40+AN40</f>
        <v>1641</v>
      </c>
      <c r="AM40" s="36">
        <f>ROUND('Kecelhegyi bérlakás (...13)'!G168/1000,0)</f>
        <v>887</v>
      </c>
      <c r="AN40" s="40">
        <f>AO40+AP40</f>
        <v>754</v>
      </c>
      <c r="AO40" s="36">
        <f>ROUND('Kecelhegyi bérlakás (...13)'!G176/1000,0)</f>
        <v>546</v>
      </c>
      <c r="AP40" s="40">
        <f>AQ40</f>
        <v>208</v>
      </c>
      <c r="AQ40" s="36">
        <f>ROUND('Kecelhegyi bérlakás (...13)'!G183/1000,0)</f>
        <v>208</v>
      </c>
      <c r="AR40" s="13" t="s">
        <v>35</v>
      </c>
      <c r="AS40" s="14" t="s">
        <v>35</v>
      </c>
      <c r="AT40" s="13" t="s">
        <v>35</v>
      </c>
      <c r="AU40" s="14" t="s">
        <v>35</v>
      </c>
      <c r="AV40" s="13" t="s">
        <v>35</v>
      </c>
      <c r="AW40" s="14" t="s">
        <v>35</v>
      </c>
      <c r="AX40" s="13" t="s">
        <v>35</v>
      </c>
      <c r="AY40" s="14" t="s">
        <v>35</v>
      </c>
    </row>
    <row r="41" spans="1:51" s="38" customFormat="1" ht="12.75">
      <c r="A41" s="15" t="s">
        <v>212</v>
      </c>
      <c r="B41" s="8"/>
      <c r="C41" s="37"/>
      <c r="D41" s="40"/>
      <c r="E41" s="35"/>
      <c r="F41" s="8"/>
      <c r="G41" s="35"/>
      <c r="H41" s="8"/>
      <c r="I41" s="35"/>
      <c r="J41" s="27">
        <v>0</v>
      </c>
      <c r="K41" s="35">
        <f>ROUND('Panel_Plusz 633.336 eFt'!H53/1000,0)</f>
        <v>2885</v>
      </c>
      <c r="L41" s="19">
        <f t="shared" si="23"/>
        <v>257910</v>
      </c>
      <c r="M41" s="37">
        <f>ROUND('Panel_Plusz 633.336 eFt'!H60/1000,0)</f>
        <v>30874</v>
      </c>
      <c r="N41" s="27">
        <f aca="true" t="shared" si="37" ref="N41:N47">O41+P41</f>
        <v>227036</v>
      </c>
      <c r="O41" s="37">
        <f>ROUND('Panel_Plusz 633.336 eFt'!H64/1000,0)</f>
        <v>27866</v>
      </c>
      <c r="P41" s="8">
        <f t="shared" si="25"/>
        <v>199170</v>
      </c>
      <c r="Q41" s="52">
        <f>ROUND('Panel_Plusz 633.336 eFt'!H68/1000,0)</f>
        <v>27079</v>
      </c>
      <c r="R41" s="19">
        <f t="shared" si="26"/>
        <v>172091</v>
      </c>
      <c r="S41" s="37">
        <f>ROUND('Panel_Plusz 633.336 eFt'!H72/1000,0)</f>
        <v>25154</v>
      </c>
      <c r="T41" s="19">
        <f t="shared" si="27"/>
        <v>146937</v>
      </c>
      <c r="U41" s="35">
        <f>ROUND('Panel_Plusz 633.336 eFt'!H76/1000,0)</f>
        <v>23229</v>
      </c>
      <c r="V41" s="28">
        <f t="shared" si="28"/>
        <v>123708</v>
      </c>
      <c r="W41" s="35">
        <f>ROUND('Panel_Plusz 633.336 eFt'!H80/1000,0)</f>
        <v>21353</v>
      </c>
      <c r="X41" s="379">
        <f t="shared" si="29"/>
        <v>102355</v>
      </c>
      <c r="Y41" s="35">
        <f>ROUND('Panel_Plusz 633.336 eFt'!H84/1000,0)</f>
        <v>19380</v>
      </c>
      <c r="Z41" s="40">
        <f t="shared" si="30"/>
        <v>82975</v>
      </c>
      <c r="AA41" s="36">
        <f>ROUND('Panel_Plusz 633.336 eFt'!H88/1000,0)</f>
        <v>17455</v>
      </c>
      <c r="AB41" s="40">
        <f t="shared" si="31"/>
        <v>65520</v>
      </c>
      <c r="AC41" s="36">
        <f>ROUND('Panel_Plusz 633.336 eFt'!H92/1000,0)</f>
        <v>15530</v>
      </c>
      <c r="AD41" s="40">
        <f t="shared" si="32"/>
        <v>49990</v>
      </c>
      <c r="AE41" s="36">
        <f>ROUND('Panel_Plusz 633.336 eFt'!H96/1000,0)</f>
        <v>13633</v>
      </c>
      <c r="AF41" s="40">
        <f t="shared" si="33"/>
        <v>36357</v>
      </c>
      <c r="AG41" s="36">
        <f>ROUND('Panel_Plusz 633.336 eFt'!H100/1000,0)</f>
        <v>11681</v>
      </c>
      <c r="AH41" s="40">
        <f t="shared" si="34"/>
        <v>24676</v>
      </c>
      <c r="AI41" s="36">
        <f>ROUND('Panel_Plusz 633.336 eFt'!H104/1000,0)</f>
        <v>9756</v>
      </c>
      <c r="AJ41" s="40">
        <f t="shared" si="35"/>
        <v>14920</v>
      </c>
      <c r="AK41" s="36">
        <f>ROUND('Panel_Plusz 633.336 eFt'!H108/1000,0)</f>
        <v>7831</v>
      </c>
      <c r="AL41" s="40">
        <f t="shared" si="36"/>
        <v>7089</v>
      </c>
      <c r="AM41" s="36">
        <f>ROUND('Panel_Plusz 633.336 eFt'!H112/1000,0)</f>
        <v>5913</v>
      </c>
      <c r="AN41" s="40">
        <f>AO41</f>
        <v>1176</v>
      </c>
      <c r="AO41" s="36">
        <f>ROUND('Panel_Plusz 633.336 eFt'!H113/1000,0)</f>
        <v>1176</v>
      </c>
      <c r="AP41" s="411" t="s">
        <v>35</v>
      </c>
      <c r="AQ41" s="412" t="s">
        <v>35</v>
      </c>
      <c r="AR41" s="13" t="s">
        <v>35</v>
      </c>
      <c r="AS41" s="14" t="s">
        <v>35</v>
      </c>
      <c r="AT41" s="13" t="s">
        <v>35</v>
      </c>
      <c r="AU41" s="14" t="s">
        <v>35</v>
      </c>
      <c r="AV41" s="13" t="s">
        <v>35</v>
      </c>
      <c r="AW41" s="14" t="s">
        <v>35</v>
      </c>
      <c r="AX41" s="13" t="s">
        <v>35</v>
      </c>
      <c r="AY41" s="14" t="s">
        <v>35</v>
      </c>
    </row>
    <row r="42" spans="1:51" s="38" customFormat="1" ht="12.75">
      <c r="A42" s="15" t="s">
        <v>247</v>
      </c>
      <c r="B42" s="8"/>
      <c r="C42" s="37"/>
      <c r="D42" s="40"/>
      <c r="E42" s="35"/>
      <c r="F42" s="8"/>
      <c r="G42" s="35"/>
      <c r="H42" s="8"/>
      <c r="I42" s="35"/>
      <c r="J42" s="27">
        <v>0</v>
      </c>
      <c r="K42" s="37">
        <f>ROUND('2006. évi 204.214,5 eFt (...16)'!H9/1000,0)</f>
        <v>239</v>
      </c>
      <c r="L42" s="28">
        <f t="shared" si="23"/>
        <v>107523</v>
      </c>
      <c r="M42" s="37">
        <f>ROUND('2006. évi 204.214,5 eFt (...16)'!H14/1000,0)</f>
        <v>9732</v>
      </c>
      <c r="N42" s="48">
        <f t="shared" si="37"/>
        <v>97791</v>
      </c>
      <c r="O42" s="37">
        <f>ROUND('2006. évi 204.214,5 eFt (...16)'!H18/1000,0)</f>
        <v>9729</v>
      </c>
      <c r="P42" s="12">
        <f t="shared" si="25"/>
        <v>88062</v>
      </c>
      <c r="Q42" s="52">
        <f>ROUND('2006. évi 204.214,5 eFt (...16)'!H25/1000,0)</f>
        <v>9569</v>
      </c>
      <c r="R42" s="28">
        <f t="shared" si="26"/>
        <v>78493</v>
      </c>
      <c r="S42" s="37">
        <f>ROUND('2006. évi 204.214,5 eFt (...16)'!H33/1000,0)</f>
        <v>9040</v>
      </c>
      <c r="T42" s="28">
        <f t="shared" si="27"/>
        <v>69453</v>
      </c>
      <c r="U42" s="37">
        <f>ROUND('2006. évi 204.214,5 eFt (...16)'!H41/1000,0)</f>
        <v>8486</v>
      </c>
      <c r="V42" s="28">
        <f t="shared" si="28"/>
        <v>60967</v>
      </c>
      <c r="W42" s="37">
        <f>ROUND('2006. évi 204.214,5 eFt (...16)'!H49/1000,0)</f>
        <v>7954</v>
      </c>
      <c r="X42" s="379">
        <f t="shared" si="29"/>
        <v>53013</v>
      </c>
      <c r="Y42" s="37">
        <f>ROUND('2006. évi 204.214,5 eFt (...16)'!H57/1000,0)</f>
        <v>7379</v>
      </c>
      <c r="Z42" s="40">
        <f t="shared" si="30"/>
        <v>45634</v>
      </c>
      <c r="AA42" s="52">
        <f>ROUND('2006. évi 204.214,5 eFt (...16)'!H65/1000,0)</f>
        <v>6825</v>
      </c>
      <c r="AB42" s="40">
        <f t="shared" si="31"/>
        <v>38809</v>
      </c>
      <c r="AC42" s="52">
        <f>ROUND('2006. évi 204.214,5 eFt (...16)'!H73/1000,0)</f>
        <v>6272</v>
      </c>
      <c r="AD42" s="40">
        <f t="shared" si="32"/>
        <v>32537</v>
      </c>
      <c r="AE42" s="52">
        <f>ROUND('2006. évi 204.214,5 eFt (...16)'!H81/1000,0)</f>
        <v>5734</v>
      </c>
      <c r="AF42" s="40">
        <f t="shared" si="33"/>
        <v>26803</v>
      </c>
      <c r="AG42" s="52">
        <f>ROUND('2006. évi 204.214,5 eFt (...16)'!H89/1000,0)</f>
        <v>5165</v>
      </c>
      <c r="AH42" s="40">
        <f t="shared" si="34"/>
        <v>21638</v>
      </c>
      <c r="AI42" s="52">
        <f>ROUND('2006. évi 204.214,5 eFt (...16)'!H97/1000,0)</f>
        <v>4611</v>
      </c>
      <c r="AJ42" s="40">
        <f t="shared" si="35"/>
        <v>17027</v>
      </c>
      <c r="AK42" s="52">
        <f>ROUND('2006. évi 204.214,5 eFt (...16)'!H105/1000,0)</f>
        <v>4057</v>
      </c>
      <c r="AL42" s="40">
        <f t="shared" si="36"/>
        <v>12970</v>
      </c>
      <c r="AM42" s="52">
        <f>ROUND('2006. évi 204.214,5 eFt (...16)'!H113/1000,0)</f>
        <v>3514</v>
      </c>
      <c r="AN42" s="40">
        <f aca="true" t="shared" si="38" ref="AN42:AN47">AO42+AP42</f>
        <v>9456</v>
      </c>
      <c r="AO42" s="52">
        <f>ROUND('2006. évi 204.214,5 eFt (...16)'!H121/1000,0)</f>
        <v>2950</v>
      </c>
      <c r="AP42" s="40">
        <f>AQ42+AR42</f>
        <v>6506</v>
      </c>
      <c r="AQ42" s="52">
        <f>ROUND('2006. évi 204.214,5 eFt (...16)'!H129/1000,0)</f>
        <v>2397</v>
      </c>
      <c r="AR42" s="40">
        <f>AS42+AT42</f>
        <v>4109</v>
      </c>
      <c r="AS42" s="51">
        <f>ROUND('2006. évi 204.214,5 eFt (...16)'!H137/1000,0)</f>
        <v>1843</v>
      </c>
      <c r="AT42" s="40">
        <f>AU42+AV42</f>
        <v>2266</v>
      </c>
      <c r="AU42" s="51">
        <f>ROUND('2006. évi 204.214,5 eFt (...16)'!H145/1000,0)</f>
        <v>1293</v>
      </c>
      <c r="AV42" s="40">
        <f>AW42+AX42</f>
        <v>973</v>
      </c>
      <c r="AW42" s="51">
        <f>ROUND('2006. évi 204.214,5 eFt (...16)'!H153/1000,0)</f>
        <v>736</v>
      </c>
      <c r="AX42" s="40">
        <f>AY42</f>
        <v>237</v>
      </c>
      <c r="AY42" s="51">
        <f>ROUND('2006. évi 204.214,5 eFt (...16)'!H156/1000,0)</f>
        <v>237</v>
      </c>
    </row>
    <row r="43" spans="1:51" s="38" customFormat="1" ht="12.75">
      <c r="A43" s="15" t="s">
        <v>215</v>
      </c>
      <c r="B43" s="8"/>
      <c r="C43" s="37"/>
      <c r="D43" s="40"/>
      <c r="E43" s="35"/>
      <c r="F43" s="8"/>
      <c r="G43" s="35"/>
      <c r="H43" s="8"/>
      <c r="I43" s="35"/>
      <c r="J43" s="27">
        <v>0</v>
      </c>
      <c r="K43" s="37">
        <f>ROUND('2006. évi 226.086,3 eFt (...17)'!H9/1000,0)</f>
        <v>299</v>
      </c>
      <c r="L43" s="28">
        <f t="shared" si="23"/>
        <v>131600</v>
      </c>
      <c r="M43" s="37">
        <f>ROUND('2006. évi 226.086,3 eFt (...17)'!H13/1000,0)</f>
        <v>11952</v>
      </c>
      <c r="N43" s="48">
        <f t="shared" si="37"/>
        <v>119648</v>
      </c>
      <c r="O43" s="37">
        <f>ROUND('2006. évi 226.086,3 eFt (...17)'!H17/1000,0)</f>
        <v>11920</v>
      </c>
      <c r="P43" s="12">
        <f t="shared" si="25"/>
        <v>107728</v>
      </c>
      <c r="Q43" s="52">
        <f>ROUND('2006. évi 226.086,3 eFt (...17)'!H24/1000,0)</f>
        <v>11724</v>
      </c>
      <c r="R43" s="28">
        <f t="shared" si="26"/>
        <v>96004</v>
      </c>
      <c r="S43" s="37">
        <f>ROUND('2006. évi 226.086,3 eFt (...17)'!H32/1000,0)</f>
        <v>11074</v>
      </c>
      <c r="T43" s="28">
        <f t="shared" si="27"/>
        <v>84930</v>
      </c>
      <c r="U43" s="37">
        <f>ROUND('2006. évi 226.086,3 eFt (...17)'!H40/1000,0)</f>
        <v>10395</v>
      </c>
      <c r="V43" s="28">
        <f t="shared" si="28"/>
        <v>74535</v>
      </c>
      <c r="W43" s="37">
        <f>ROUND('2006. évi 226.086,3 eFt (...17)'!H48/1000,0)</f>
        <v>9743</v>
      </c>
      <c r="X43" s="379">
        <f t="shared" si="29"/>
        <v>64792</v>
      </c>
      <c r="Y43" s="37">
        <f>ROUND('2006. évi 226.086,3 eFt (...17)'!H56/1000,0)</f>
        <v>9036</v>
      </c>
      <c r="Z43" s="40">
        <f t="shared" si="30"/>
        <v>55756</v>
      </c>
      <c r="AA43" s="52">
        <f>ROUND('2006. évi 226.086,3 eFt (...17)'!H64/1000,0)</f>
        <v>8357</v>
      </c>
      <c r="AB43" s="40">
        <f t="shared" si="31"/>
        <v>47399</v>
      </c>
      <c r="AC43" s="52">
        <f>ROUND('2006. évi 226.086,3 eFt (...17)'!H72/1000,0)</f>
        <v>7678</v>
      </c>
      <c r="AD43" s="40">
        <f t="shared" si="32"/>
        <v>39721</v>
      </c>
      <c r="AE43" s="52">
        <f>ROUND('2006. évi 226.086,3 eFt (...17)'!H80/1000,0)</f>
        <v>7018</v>
      </c>
      <c r="AF43" s="40">
        <f t="shared" si="33"/>
        <v>32703</v>
      </c>
      <c r="AG43" s="52">
        <f>ROUND('2006. évi 226.086,3 eFt (...17)'!H88/1000,0)</f>
        <v>6319</v>
      </c>
      <c r="AH43" s="40">
        <f t="shared" si="34"/>
        <v>26384</v>
      </c>
      <c r="AI43" s="52">
        <f>ROUND('2006. évi 226.086,3 eFt (...17)'!H96/1000,0)</f>
        <v>5640</v>
      </c>
      <c r="AJ43" s="40">
        <f t="shared" si="35"/>
        <v>20744</v>
      </c>
      <c r="AK43" s="52">
        <f>ROUND('2006. évi 226.086,3 eFt (...17)'!H104/1000,0)</f>
        <v>4960</v>
      </c>
      <c r="AL43" s="40">
        <f t="shared" si="36"/>
        <v>15784</v>
      </c>
      <c r="AM43" s="52">
        <f>ROUND('2006. évi 226.086,3 eFt (...17)'!H112/1000,0)</f>
        <v>4293</v>
      </c>
      <c r="AN43" s="40">
        <f t="shared" si="38"/>
        <v>11491</v>
      </c>
      <c r="AO43" s="52">
        <f>ROUND('2006. évi 226.086,3 eFt (...17)'!H120/1000,0)</f>
        <v>3602</v>
      </c>
      <c r="AP43" s="40">
        <f>AQ43+AR43</f>
        <v>7889</v>
      </c>
      <c r="AQ43" s="52">
        <f>ROUND('2006. évi 226.086,3 eFt (...17)'!H128/1000,0)</f>
        <v>2922</v>
      </c>
      <c r="AR43" s="40">
        <f>AS43+AT43</f>
        <v>4967</v>
      </c>
      <c r="AS43" s="51">
        <f>ROUND('2006. évi 226.086,3 eFt (...17)'!H136/1000,0)</f>
        <v>2243</v>
      </c>
      <c r="AT43" s="40">
        <f>AU43+AV43</f>
        <v>2724</v>
      </c>
      <c r="AU43" s="51">
        <f>ROUND('2006. évi 226.086,3 eFt (...17)'!H144/1000,0)</f>
        <v>1568</v>
      </c>
      <c r="AV43" s="40">
        <f>AW43+AX43</f>
        <v>1156</v>
      </c>
      <c r="AW43" s="51">
        <f>ROUND('2006. évi 226.086,3 eFt (...17)'!H152/1000,0)</f>
        <v>884</v>
      </c>
      <c r="AX43" s="40">
        <f>AY43</f>
        <v>272</v>
      </c>
      <c r="AY43" s="51">
        <f>ROUND('2006. évi 226.086,3 eFt (...17)'!H155/1000,0)</f>
        <v>272</v>
      </c>
    </row>
    <row r="44" spans="1:51" s="38" customFormat="1" ht="12.75">
      <c r="A44" s="15" t="s">
        <v>248</v>
      </c>
      <c r="B44" s="8"/>
      <c r="C44" s="37"/>
      <c r="D44" s="40"/>
      <c r="E44" s="35"/>
      <c r="F44" s="8"/>
      <c r="G44" s="35"/>
      <c r="H44" s="8"/>
      <c r="I44" s="35"/>
      <c r="J44" s="27">
        <v>0</v>
      </c>
      <c r="K44" s="37">
        <f>ROUND('2006. évi 10.350 eFt (...14)'!H9/1000,0)</f>
        <v>10</v>
      </c>
      <c r="L44" s="28">
        <f t="shared" si="23"/>
        <v>5437</v>
      </c>
      <c r="M44" s="37">
        <f>ROUND('2006. évi 10.350 eFt (...14)'!H14/1000,0)</f>
        <v>480</v>
      </c>
      <c r="N44" s="48">
        <f t="shared" si="37"/>
        <v>4957</v>
      </c>
      <c r="O44" s="37">
        <f>ROUND('2006. évi 10.350 eFt (...14)'!H18/1000,0)</f>
        <v>493</v>
      </c>
      <c r="P44" s="12">
        <f t="shared" si="25"/>
        <v>4464</v>
      </c>
      <c r="Q44" s="52">
        <f>ROUND('2006. évi 10.350 eFt (...14)'!H25/1000,0)</f>
        <v>485</v>
      </c>
      <c r="R44" s="28">
        <f t="shared" si="26"/>
        <v>3979</v>
      </c>
      <c r="S44" s="37">
        <f>ROUND('2006. évi 10.350 eFt (...14)'!H33/1000,0)</f>
        <v>458</v>
      </c>
      <c r="T44" s="28">
        <f t="shared" si="27"/>
        <v>3521</v>
      </c>
      <c r="U44" s="37">
        <f>ROUND('2006. évi 10.350 eFt (...14)'!H41/1000,0)</f>
        <v>430</v>
      </c>
      <c r="V44" s="28">
        <f t="shared" si="28"/>
        <v>3091</v>
      </c>
      <c r="W44" s="37">
        <f>ROUND('2006. évi 10.350 eFt (...14)'!H49/1000,0)</f>
        <v>403</v>
      </c>
      <c r="X44" s="379">
        <f t="shared" si="29"/>
        <v>2688</v>
      </c>
      <c r="Y44" s="37">
        <f>ROUND('2006. évi 10.350 eFt (...14)'!H57/1000,0)</f>
        <v>374</v>
      </c>
      <c r="Z44" s="40">
        <f t="shared" si="30"/>
        <v>2314</v>
      </c>
      <c r="AA44" s="52">
        <f>ROUND('2006. évi 10.350 eFt (...14)'!H65/1000,0)</f>
        <v>346</v>
      </c>
      <c r="AB44" s="40">
        <f t="shared" si="31"/>
        <v>1968</v>
      </c>
      <c r="AC44" s="52">
        <f>ROUND('2006. évi 10.350 eFt (...14)'!H73/1000,0)</f>
        <v>318</v>
      </c>
      <c r="AD44" s="40">
        <f t="shared" si="32"/>
        <v>1650</v>
      </c>
      <c r="AE44" s="52">
        <f>ROUND('2006. évi 10.350 eFt (...14)'!H81/1000,0)</f>
        <v>291</v>
      </c>
      <c r="AF44" s="40">
        <f t="shared" si="33"/>
        <v>1359</v>
      </c>
      <c r="AG44" s="52">
        <f>ROUND('2006. évi 10.350 eFt (...14)'!H89/1000,0)</f>
        <v>262</v>
      </c>
      <c r="AH44" s="40">
        <f t="shared" si="34"/>
        <v>1097</v>
      </c>
      <c r="AI44" s="52">
        <f>ROUND('2006. évi 10.350 eFt (...14)'!H97/1000,0)</f>
        <v>234</v>
      </c>
      <c r="AJ44" s="40">
        <f t="shared" si="35"/>
        <v>863</v>
      </c>
      <c r="AK44" s="52">
        <f>ROUND('2006. évi 10.350 eFt (...14)'!H105/1000,0)</f>
        <v>206</v>
      </c>
      <c r="AL44" s="40">
        <f t="shared" si="36"/>
        <v>657</v>
      </c>
      <c r="AM44" s="52">
        <f>ROUND('2006. évi 10.350 eFt (...14)'!H113/1000,0)</f>
        <v>178</v>
      </c>
      <c r="AN44" s="40">
        <f t="shared" si="38"/>
        <v>479</v>
      </c>
      <c r="AO44" s="52">
        <f>ROUND('2006. évi 10.350 eFt (...14)'!H121/1000,0)</f>
        <v>150</v>
      </c>
      <c r="AP44" s="40">
        <f>AQ44+AR44</f>
        <v>329</v>
      </c>
      <c r="AQ44" s="52">
        <f>ROUND('2006. évi 10.350 eFt (...14)'!H129/1000,0)</f>
        <v>121</v>
      </c>
      <c r="AR44" s="40">
        <f>AS44+AT44</f>
        <v>208</v>
      </c>
      <c r="AS44" s="51">
        <f>ROUND('2006. évi 10.350 eFt (...14)'!H137/1000,0)</f>
        <v>93</v>
      </c>
      <c r="AT44" s="40">
        <f>AU44+AV44</f>
        <v>115</v>
      </c>
      <c r="AU44" s="51">
        <f>ROUND('2006. évi 10.350 eFt (...14)'!H145/1000,0)</f>
        <v>66</v>
      </c>
      <c r="AV44" s="40">
        <f>AW44+AX44</f>
        <v>49</v>
      </c>
      <c r="AW44" s="51">
        <f>ROUND('2006. évi 10.350 eFt (...14)'!H153/1000,0)</f>
        <v>37</v>
      </c>
      <c r="AX44" s="40">
        <f>AY44</f>
        <v>12</v>
      </c>
      <c r="AY44" s="51">
        <f>ROUND('2006. évi 10.350 eFt (...14)'!H156/1000,0)</f>
        <v>12</v>
      </c>
    </row>
    <row r="45" spans="1:51" s="38" customFormat="1" ht="12.75">
      <c r="A45" s="15" t="s">
        <v>249</v>
      </c>
      <c r="B45" s="8"/>
      <c r="C45" s="37"/>
      <c r="D45" s="40"/>
      <c r="E45" s="35"/>
      <c r="F45" s="8"/>
      <c r="G45" s="35"/>
      <c r="H45" s="8"/>
      <c r="I45" s="35"/>
      <c r="J45" s="27">
        <v>0</v>
      </c>
      <c r="K45" s="37">
        <f>ROUND('2006. évi 11.007,9 eFt (...15)'!H9/1000,0)</f>
        <v>11</v>
      </c>
      <c r="L45" s="28">
        <f t="shared" si="23"/>
        <v>5783</v>
      </c>
      <c r="M45" s="37">
        <f>ROUND('2006. évi 11.007,9 eFt (...15)'!H14/1000,0)</f>
        <v>512</v>
      </c>
      <c r="N45" s="48">
        <f t="shared" si="37"/>
        <v>5271</v>
      </c>
      <c r="O45" s="37">
        <f>ROUND('2006. évi 11.007,9 eFt (...15)'!H18/1000,0)</f>
        <v>524</v>
      </c>
      <c r="P45" s="12">
        <f t="shared" si="25"/>
        <v>4747</v>
      </c>
      <c r="Q45" s="52">
        <f>ROUND('2006. évi 11.007,9 eFt (...15)'!H25/1000,0)</f>
        <v>516</v>
      </c>
      <c r="R45" s="28">
        <f t="shared" si="26"/>
        <v>4231</v>
      </c>
      <c r="S45" s="37">
        <f>ROUND('2006. évi 11.007,9 eFt (...15)'!H33/1000,0)</f>
        <v>487</v>
      </c>
      <c r="T45" s="28">
        <f t="shared" si="27"/>
        <v>3744</v>
      </c>
      <c r="U45" s="37">
        <f>ROUND('2006. évi 11.007,9 eFt (...15)'!H41/1000,0)</f>
        <v>457</v>
      </c>
      <c r="V45" s="28">
        <f t="shared" si="28"/>
        <v>3287</v>
      </c>
      <c r="W45" s="37">
        <f>ROUND('2006. évi 11.007,9 eFt (...15)'!H49/1000,0)</f>
        <v>429</v>
      </c>
      <c r="X45" s="379">
        <f t="shared" si="29"/>
        <v>2858</v>
      </c>
      <c r="Y45" s="37">
        <f>ROUND('2006. évi 11.007,9 eFt (...15)'!H57/1000,0)</f>
        <v>398</v>
      </c>
      <c r="Z45" s="40">
        <f t="shared" si="30"/>
        <v>2460</v>
      </c>
      <c r="AA45" s="52">
        <f>ROUND('2006. évi 11.007,9 eFt (...15)'!H65/1000,0)</f>
        <v>368</v>
      </c>
      <c r="AB45" s="40">
        <f t="shared" si="31"/>
        <v>2092</v>
      </c>
      <c r="AC45" s="52">
        <f>ROUND('2006. évi 11.007,9 eFt (...15)'!H73/1000,0)</f>
        <v>338</v>
      </c>
      <c r="AD45" s="40">
        <f t="shared" si="32"/>
        <v>1754</v>
      </c>
      <c r="AE45" s="52">
        <f>ROUND('2006. évi 11.007,9 eFt (...15)'!H81/1000,0)</f>
        <v>309</v>
      </c>
      <c r="AF45" s="40">
        <f t="shared" si="33"/>
        <v>1445</v>
      </c>
      <c r="AG45" s="52">
        <f>ROUND('2006. évi 11.007,9 eFt (...15)'!H89/1000,0)</f>
        <v>278</v>
      </c>
      <c r="AH45" s="40">
        <f t="shared" si="34"/>
        <v>1167</v>
      </c>
      <c r="AI45" s="52">
        <f>ROUND('2006. évi 11.007,9 eFt (...15)'!H97/1000,0)</f>
        <v>249</v>
      </c>
      <c r="AJ45" s="40">
        <f t="shared" si="35"/>
        <v>918</v>
      </c>
      <c r="AK45" s="52">
        <f>ROUND('2006. évi 11.007,9 eFt (...15)'!H105/1000,0)</f>
        <v>219</v>
      </c>
      <c r="AL45" s="40">
        <f t="shared" si="36"/>
        <v>699</v>
      </c>
      <c r="AM45" s="52">
        <f>ROUND('2006. évi 11.007,9 eFt (...15)'!H113/1000,0)</f>
        <v>189</v>
      </c>
      <c r="AN45" s="40">
        <f t="shared" si="38"/>
        <v>510</v>
      </c>
      <c r="AO45" s="52">
        <f>ROUND('2006. évi 11.007,9 eFt (...15)'!H121/1000,0)</f>
        <v>159</v>
      </c>
      <c r="AP45" s="40">
        <f>AQ45+AR45</f>
        <v>351</v>
      </c>
      <c r="AQ45" s="52">
        <f>ROUND('2006. évi 11.007,9 eFt (...15)'!H129/1000,0)</f>
        <v>129</v>
      </c>
      <c r="AR45" s="40">
        <f>AS45+AT45</f>
        <v>222</v>
      </c>
      <c r="AS45" s="51">
        <f>ROUND('2006. évi 11.007,9 eFt (...15)'!H137/1000,0)</f>
        <v>99</v>
      </c>
      <c r="AT45" s="40">
        <f>AU45+AV45</f>
        <v>123</v>
      </c>
      <c r="AU45" s="51">
        <f>ROUND('2006. évi 11.007,9 eFt (...15)'!H145/1000,0)</f>
        <v>70</v>
      </c>
      <c r="AV45" s="40">
        <f>AW45+AX45</f>
        <v>53</v>
      </c>
      <c r="AW45" s="51">
        <f>ROUND('2006. évi 11.007,9 eFt (...15)'!H153/1000,0)</f>
        <v>40</v>
      </c>
      <c r="AX45" s="40">
        <f>AY45</f>
        <v>13</v>
      </c>
      <c r="AY45" s="51">
        <f>ROUND('2006. évi 11.007,9 eFt (...15)'!H156/1000,0)</f>
        <v>13</v>
      </c>
    </row>
    <row r="46" spans="1:51" s="38" customFormat="1" ht="12.75">
      <c r="A46" s="15" t="s">
        <v>250</v>
      </c>
      <c r="B46" s="8"/>
      <c r="C46" s="37"/>
      <c r="D46" s="40"/>
      <c r="E46" s="35"/>
      <c r="F46" s="8"/>
      <c r="G46" s="35"/>
      <c r="H46" s="8"/>
      <c r="I46" s="35"/>
      <c r="J46" s="27">
        <v>0</v>
      </c>
      <c r="K46" s="37">
        <v>0</v>
      </c>
      <c r="L46" s="28">
        <v>0</v>
      </c>
      <c r="M46" s="37">
        <f>ROUND('Panel_Plusz 494.916.480 Ft'!H10/1000,0)</f>
        <v>10231</v>
      </c>
      <c r="N46" s="48">
        <f t="shared" si="37"/>
        <v>192485</v>
      </c>
      <c r="O46" s="37">
        <f>ROUND('Panel_Plusz 494.916.480 Ft'!H14/1000,0)</f>
        <v>24102</v>
      </c>
      <c r="P46" s="12">
        <f t="shared" si="25"/>
        <v>168383</v>
      </c>
      <c r="Q46" s="52">
        <f>ROUND('Panel_Plusz 494.916.480 Ft'!H19/1000,0)</f>
        <v>24006</v>
      </c>
      <c r="R46" s="28">
        <f t="shared" si="26"/>
        <v>144377</v>
      </c>
      <c r="S46" s="37">
        <f>ROUND('Panel_Plusz 494.916.480 Ft'!H27/1000,0)</f>
        <v>22712</v>
      </c>
      <c r="T46" s="28">
        <f t="shared" si="27"/>
        <v>121665</v>
      </c>
      <c r="U46" s="37">
        <f>ROUND('Panel_Plusz 494.916.480 Ft'!H35/1000,0)</f>
        <v>20804</v>
      </c>
      <c r="V46" s="28">
        <f t="shared" si="28"/>
        <v>100861</v>
      </c>
      <c r="W46" s="37">
        <f>ROUND('Panel_Plusz 494.916.480 Ft'!H43/1000,0)</f>
        <v>18948</v>
      </c>
      <c r="X46" s="379">
        <f t="shared" si="29"/>
        <v>81913</v>
      </c>
      <c r="Y46" s="37">
        <f>ROUND('Panel_Plusz 494.916.480 Ft'!H51/1000,0)</f>
        <v>16987</v>
      </c>
      <c r="Z46" s="40">
        <f t="shared" si="30"/>
        <v>64926</v>
      </c>
      <c r="AA46" s="52">
        <f>ROUND('Panel_Plusz 494.916.480 Ft'!H59/1000,0)</f>
        <v>15079</v>
      </c>
      <c r="AB46" s="40">
        <f t="shared" si="31"/>
        <v>49847</v>
      </c>
      <c r="AC46" s="52">
        <f>ROUND('Panel_Plusz 494.916.480 Ft'!H67/1000,0)</f>
        <v>13170</v>
      </c>
      <c r="AD46" s="40">
        <f t="shared" si="32"/>
        <v>36677</v>
      </c>
      <c r="AE46" s="52">
        <f>ROUND('Panel_Plusz 494.916.480 Ft'!H75/1000,0)</f>
        <v>11293</v>
      </c>
      <c r="AF46" s="40">
        <f t="shared" si="33"/>
        <v>25384</v>
      </c>
      <c r="AG46" s="52">
        <f>ROUND('Panel_Plusz 494.916.480 Ft'!H83/1000,0)</f>
        <v>9353</v>
      </c>
      <c r="AH46" s="40">
        <f t="shared" si="34"/>
        <v>16031</v>
      </c>
      <c r="AI46" s="52">
        <f>ROUND('Panel_Plusz 494.916.480 Ft'!H91/1000,0)</f>
        <v>7115</v>
      </c>
      <c r="AJ46" s="40">
        <f t="shared" si="35"/>
        <v>8916</v>
      </c>
      <c r="AK46" s="52">
        <f>ROUND('Panel_Plusz 494.916.480 Ft'!H99/1000,0)</f>
        <v>4877</v>
      </c>
      <c r="AL46" s="40">
        <f t="shared" si="36"/>
        <v>4039</v>
      </c>
      <c r="AM46" s="52">
        <f>ROUND('Panel_Plusz 494.916.480 Ft'!H107/1000,0)</f>
        <v>2979</v>
      </c>
      <c r="AN46" s="40">
        <f>AO46</f>
        <v>1060</v>
      </c>
      <c r="AO46" s="52">
        <f>ROUND('Panel_Plusz 494.916.480 Ft'!H114/1000,0)</f>
        <v>1060</v>
      </c>
      <c r="AP46" s="13" t="s">
        <v>35</v>
      </c>
      <c r="AQ46" s="24" t="s">
        <v>35</v>
      </c>
      <c r="AR46" s="13" t="s">
        <v>35</v>
      </c>
      <c r="AS46" s="14" t="s">
        <v>35</v>
      </c>
      <c r="AT46" s="13" t="s">
        <v>35</v>
      </c>
      <c r="AU46" s="14" t="s">
        <v>35</v>
      </c>
      <c r="AV46" s="13" t="s">
        <v>35</v>
      </c>
      <c r="AW46" s="14" t="s">
        <v>35</v>
      </c>
      <c r="AX46" s="13" t="s">
        <v>35</v>
      </c>
      <c r="AY46" s="14" t="s">
        <v>35</v>
      </c>
    </row>
    <row r="47" spans="1:51" s="38" customFormat="1" ht="13.5" thickBot="1">
      <c r="A47" s="15" t="s">
        <v>246</v>
      </c>
      <c r="B47" s="8"/>
      <c r="C47" s="37"/>
      <c r="D47" s="40"/>
      <c r="E47" s="35"/>
      <c r="F47" s="8"/>
      <c r="G47" s="35"/>
      <c r="H47" s="8"/>
      <c r="I47" s="35"/>
      <c r="J47" s="27">
        <v>0</v>
      </c>
      <c r="K47" s="37">
        <v>0</v>
      </c>
      <c r="L47" s="28"/>
      <c r="M47" s="37"/>
      <c r="N47" s="48">
        <f t="shared" si="37"/>
        <v>0</v>
      </c>
      <c r="O47" s="37"/>
      <c r="P47" s="12">
        <f t="shared" si="25"/>
        <v>0</v>
      </c>
      <c r="Q47" s="52"/>
      <c r="R47" s="28">
        <f t="shared" si="26"/>
        <v>0</v>
      </c>
      <c r="S47" s="37"/>
      <c r="T47" s="28">
        <f t="shared" si="27"/>
        <v>0</v>
      </c>
      <c r="U47" s="37"/>
      <c r="V47" s="28">
        <f t="shared" si="28"/>
        <v>0</v>
      </c>
      <c r="W47" s="37"/>
      <c r="X47" s="379">
        <f t="shared" si="29"/>
        <v>0</v>
      </c>
      <c r="Y47" s="37"/>
      <c r="Z47" s="40">
        <f t="shared" si="30"/>
        <v>0</v>
      </c>
      <c r="AA47" s="52"/>
      <c r="AB47" s="40">
        <f t="shared" si="31"/>
        <v>0</v>
      </c>
      <c r="AC47" s="52"/>
      <c r="AD47" s="40">
        <f t="shared" si="32"/>
        <v>0</v>
      </c>
      <c r="AE47" s="52"/>
      <c r="AF47" s="40">
        <f t="shared" si="33"/>
        <v>0</v>
      </c>
      <c r="AG47" s="52"/>
      <c r="AH47" s="40">
        <f t="shared" si="34"/>
        <v>0</v>
      </c>
      <c r="AI47" s="52"/>
      <c r="AJ47" s="40">
        <f t="shared" si="35"/>
        <v>0</v>
      </c>
      <c r="AK47" s="52"/>
      <c r="AL47" s="40">
        <f t="shared" si="36"/>
        <v>0</v>
      </c>
      <c r="AM47" s="52"/>
      <c r="AN47" s="40">
        <f t="shared" si="38"/>
        <v>0</v>
      </c>
      <c r="AO47" s="52"/>
      <c r="AP47" s="40">
        <f>AQ47+AR47</f>
        <v>0</v>
      </c>
      <c r="AQ47" s="52"/>
      <c r="AR47" s="40">
        <f>AS47+AT47</f>
        <v>0</v>
      </c>
      <c r="AS47" s="14"/>
      <c r="AT47" s="40">
        <f>AU47+AV47</f>
        <v>0</v>
      </c>
      <c r="AU47" s="14"/>
      <c r="AV47" s="40">
        <f>AW47+AX47</f>
        <v>0</v>
      </c>
      <c r="AW47" s="14"/>
      <c r="AX47" s="40">
        <f>AY47</f>
        <v>0</v>
      </c>
      <c r="AY47" s="14"/>
    </row>
    <row r="48" spans="1:51" ht="13.5" thickTop="1">
      <c r="A48" s="10" t="s">
        <v>156</v>
      </c>
      <c r="B48" s="11">
        <f aca="true" t="shared" si="39" ref="B48:I48">SUM(B27:B40)</f>
        <v>440153</v>
      </c>
      <c r="C48" s="2">
        <f t="shared" si="39"/>
        <v>94400</v>
      </c>
      <c r="D48" s="11">
        <f t="shared" si="39"/>
        <v>888882</v>
      </c>
      <c r="E48" s="2">
        <f t="shared" si="39"/>
        <v>124416</v>
      </c>
      <c r="F48" s="29">
        <f t="shared" si="39"/>
        <v>1047360</v>
      </c>
      <c r="G48" s="2">
        <f t="shared" si="39"/>
        <v>236209</v>
      </c>
      <c r="H48" s="29">
        <f t="shared" si="39"/>
        <v>1260766</v>
      </c>
      <c r="I48" s="2">
        <f t="shared" si="39"/>
        <v>166022</v>
      </c>
      <c r="J48" s="29">
        <f aca="true" t="shared" si="40" ref="J48:AY48">SUM(J27:J47)</f>
        <v>1094744</v>
      </c>
      <c r="K48" s="2">
        <f t="shared" si="40"/>
        <v>175330</v>
      </c>
      <c r="L48" s="29">
        <f t="shared" si="40"/>
        <v>1431111</v>
      </c>
      <c r="M48" s="2">
        <f t="shared" si="40"/>
        <v>248273</v>
      </c>
      <c r="N48" s="29">
        <f t="shared" si="40"/>
        <v>1385554</v>
      </c>
      <c r="O48" s="2">
        <f t="shared" si="40"/>
        <v>229798</v>
      </c>
      <c r="P48" s="29">
        <f t="shared" si="40"/>
        <v>1155756</v>
      </c>
      <c r="Q48" s="2">
        <f t="shared" si="40"/>
        <v>199642</v>
      </c>
      <c r="R48" s="29">
        <f t="shared" si="40"/>
        <v>956114</v>
      </c>
      <c r="S48" s="2">
        <f t="shared" si="40"/>
        <v>168580</v>
      </c>
      <c r="T48" s="29">
        <f t="shared" si="40"/>
        <v>787534</v>
      </c>
      <c r="U48" s="2">
        <f t="shared" si="40"/>
        <v>141007</v>
      </c>
      <c r="V48" s="29">
        <f t="shared" si="40"/>
        <v>646527</v>
      </c>
      <c r="W48" s="2">
        <f t="shared" si="40"/>
        <v>117862</v>
      </c>
      <c r="X48" s="29">
        <f t="shared" si="40"/>
        <v>528665</v>
      </c>
      <c r="Y48" s="2">
        <f t="shared" si="40"/>
        <v>95302</v>
      </c>
      <c r="Z48" s="29">
        <f t="shared" si="40"/>
        <v>433363</v>
      </c>
      <c r="AA48" s="2">
        <f t="shared" si="40"/>
        <v>79706</v>
      </c>
      <c r="AB48" s="29">
        <f t="shared" si="40"/>
        <v>353657</v>
      </c>
      <c r="AC48" s="2">
        <f t="shared" si="40"/>
        <v>70580</v>
      </c>
      <c r="AD48" s="29">
        <f t="shared" si="40"/>
        <v>283077</v>
      </c>
      <c r="AE48" s="2">
        <f t="shared" si="40"/>
        <v>62826</v>
      </c>
      <c r="AF48" s="29">
        <f t="shared" si="40"/>
        <v>220251</v>
      </c>
      <c r="AG48" s="2">
        <f t="shared" si="40"/>
        <v>54740</v>
      </c>
      <c r="AH48" s="29">
        <f t="shared" si="40"/>
        <v>165511</v>
      </c>
      <c r="AI48" s="2">
        <f t="shared" si="40"/>
        <v>46491</v>
      </c>
      <c r="AJ48" s="29">
        <f t="shared" si="40"/>
        <v>119020</v>
      </c>
      <c r="AK48" s="2">
        <f t="shared" si="40"/>
        <v>38241</v>
      </c>
      <c r="AL48" s="29">
        <f t="shared" si="40"/>
        <v>80779</v>
      </c>
      <c r="AM48" s="2">
        <f t="shared" si="40"/>
        <v>30402</v>
      </c>
      <c r="AN48" s="29">
        <f t="shared" si="40"/>
        <v>50377</v>
      </c>
      <c r="AO48" s="2">
        <f t="shared" si="40"/>
        <v>19597</v>
      </c>
      <c r="AP48" s="29">
        <f t="shared" si="40"/>
        <v>30780</v>
      </c>
      <c r="AQ48" s="2">
        <f t="shared" si="40"/>
        <v>13274</v>
      </c>
      <c r="AR48" s="29">
        <f t="shared" si="40"/>
        <v>17506</v>
      </c>
      <c r="AS48" s="2">
        <f t="shared" si="40"/>
        <v>9317</v>
      </c>
      <c r="AT48" s="29">
        <f t="shared" si="40"/>
        <v>8189</v>
      </c>
      <c r="AU48" s="2">
        <f t="shared" si="40"/>
        <v>5590</v>
      </c>
      <c r="AV48" s="29">
        <f t="shared" si="40"/>
        <v>2599</v>
      </c>
      <c r="AW48" s="2">
        <f t="shared" si="40"/>
        <v>2065</v>
      </c>
      <c r="AX48" s="29">
        <f t="shared" si="40"/>
        <v>534</v>
      </c>
      <c r="AY48" s="2">
        <f t="shared" si="40"/>
        <v>534</v>
      </c>
    </row>
    <row r="49" spans="1:51" ht="12.75" customHeight="1">
      <c r="A49" s="5" t="s">
        <v>70</v>
      </c>
      <c r="B49" s="8">
        <f aca="true" t="shared" si="41" ref="B49:O49">B5+B27</f>
        <v>151848</v>
      </c>
      <c r="C49" s="16">
        <f t="shared" si="41"/>
        <v>49644</v>
      </c>
      <c r="D49" s="8">
        <f t="shared" si="41"/>
        <v>102204</v>
      </c>
      <c r="E49" s="16">
        <f t="shared" si="41"/>
        <v>18982</v>
      </c>
      <c r="F49" s="8">
        <f t="shared" si="41"/>
        <v>83222</v>
      </c>
      <c r="G49" s="16">
        <f t="shared" si="41"/>
        <v>20443</v>
      </c>
      <c r="H49" s="8">
        <f t="shared" si="41"/>
        <v>62779</v>
      </c>
      <c r="I49" s="16">
        <f t="shared" si="41"/>
        <v>16875</v>
      </c>
      <c r="J49" s="27">
        <f t="shared" si="41"/>
        <v>45904</v>
      </c>
      <c r="K49" s="16">
        <f t="shared" si="41"/>
        <v>15536</v>
      </c>
      <c r="L49" s="27">
        <f t="shared" si="41"/>
        <v>30368</v>
      </c>
      <c r="M49" s="16">
        <f t="shared" si="41"/>
        <v>14920</v>
      </c>
      <c r="N49" s="27">
        <f t="shared" si="41"/>
        <v>15448</v>
      </c>
      <c r="O49" s="16">
        <f t="shared" si="41"/>
        <v>15448</v>
      </c>
      <c r="P49" s="13" t="s">
        <v>35</v>
      </c>
      <c r="Q49" s="14" t="s">
        <v>35</v>
      </c>
      <c r="R49" s="39" t="s">
        <v>35</v>
      </c>
      <c r="S49" s="24" t="s">
        <v>35</v>
      </c>
      <c r="T49" s="39" t="s">
        <v>35</v>
      </c>
      <c r="U49" s="24" t="s">
        <v>35</v>
      </c>
      <c r="V49" s="39" t="s">
        <v>35</v>
      </c>
      <c r="W49" s="24" t="s">
        <v>35</v>
      </c>
      <c r="X49" s="13" t="s">
        <v>35</v>
      </c>
      <c r="Y49" s="24" t="s">
        <v>35</v>
      </c>
      <c r="Z49" s="13" t="s">
        <v>35</v>
      </c>
      <c r="AA49" s="14" t="s">
        <v>35</v>
      </c>
      <c r="AB49" s="13" t="s">
        <v>35</v>
      </c>
      <c r="AC49" s="14" t="s">
        <v>35</v>
      </c>
      <c r="AD49" s="13" t="s">
        <v>35</v>
      </c>
      <c r="AE49" s="14" t="s">
        <v>35</v>
      </c>
      <c r="AF49" s="13" t="s">
        <v>35</v>
      </c>
      <c r="AG49" s="14" t="s">
        <v>35</v>
      </c>
      <c r="AH49" s="13" t="s">
        <v>35</v>
      </c>
      <c r="AI49" s="14" t="s">
        <v>35</v>
      </c>
      <c r="AJ49" s="13" t="s">
        <v>35</v>
      </c>
      <c r="AK49" s="14" t="s">
        <v>35</v>
      </c>
      <c r="AL49" s="13" t="s">
        <v>35</v>
      </c>
      <c r="AM49" s="14" t="s">
        <v>35</v>
      </c>
      <c r="AN49" s="13" t="s">
        <v>35</v>
      </c>
      <c r="AO49" s="14" t="s">
        <v>35</v>
      </c>
      <c r="AP49" s="13" t="s">
        <v>35</v>
      </c>
      <c r="AQ49" s="14" t="s">
        <v>35</v>
      </c>
      <c r="AR49" s="13" t="s">
        <v>35</v>
      </c>
      <c r="AS49" s="14" t="s">
        <v>35</v>
      </c>
      <c r="AT49" s="13" t="s">
        <v>35</v>
      </c>
      <c r="AU49" s="14" t="s">
        <v>35</v>
      </c>
      <c r="AV49" s="13" t="s">
        <v>35</v>
      </c>
      <c r="AW49" s="14" t="s">
        <v>35</v>
      </c>
      <c r="AX49" s="13" t="s">
        <v>35</v>
      </c>
      <c r="AY49" s="14" t="s">
        <v>35</v>
      </c>
    </row>
    <row r="50" spans="1:51" ht="12.75">
      <c r="A50" s="5" t="s">
        <v>71</v>
      </c>
      <c r="B50" s="8">
        <f aca="true" t="shared" si="42" ref="B50:O50">B6+B28</f>
        <v>174335</v>
      </c>
      <c r="C50" s="16">
        <f t="shared" si="42"/>
        <v>51242</v>
      </c>
      <c r="D50" s="8">
        <f t="shared" si="42"/>
        <v>123093</v>
      </c>
      <c r="E50" s="16">
        <f t="shared" si="42"/>
        <v>23252</v>
      </c>
      <c r="F50" s="8">
        <f t="shared" si="42"/>
        <v>99841</v>
      </c>
      <c r="G50" s="16">
        <f t="shared" si="42"/>
        <v>25011</v>
      </c>
      <c r="H50" s="8">
        <f t="shared" si="42"/>
        <v>74830</v>
      </c>
      <c r="I50" s="16">
        <f t="shared" si="42"/>
        <v>20635</v>
      </c>
      <c r="J50" s="27">
        <f t="shared" si="42"/>
        <v>54195</v>
      </c>
      <c r="K50" s="16">
        <f t="shared" si="42"/>
        <v>19018</v>
      </c>
      <c r="L50" s="27">
        <f t="shared" si="42"/>
        <v>35177</v>
      </c>
      <c r="M50" s="16">
        <f t="shared" si="42"/>
        <v>18262</v>
      </c>
      <c r="N50" s="27">
        <f t="shared" si="42"/>
        <v>16915</v>
      </c>
      <c r="O50" s="16">
        <f t="shared" si="42"/>
        <v>16915</v>
      </c>
      <c r="P50" s="13" t="s">
        <v>35</v>
      </c>
      <c r="Q50" s="14" t="s">
        <v>35</v>
      </c>
      <c r="R50" s="39" t="s">
        <v>35</v>
      </c>
      <c r="S50" s="24" t="s">
        <v>35</v>
      </c>
      <c r="T50" s="39" t="s">
        <v>35</v>
      </c>
      <c r="U50" s="24" t="s">
        <v>35</v>
      </c>
      <c r="V50" s="39" t="s">
        <v>35</v>
      </c>
      <c r="W50" s="24" t="s">
        <v>35</v>
      </c>
      <c r="X50" s="13" t="s">
        <v>35</v>
      </c>
      <c r="Y50" s="24" t="s">
        <v>35</v>
      </c>
      <c r="Z50" s="13" t="s">
        <v>35</v>
      </c>
      <c r="AA50" s="14" t="s">
        <v>35</v>
      </c>
      <c r="AB50" s="13" t="s">
        <v>35</v>
      </c>
      <c r="AC50" s="14" t="s">
        <v>35</v>
      </c>
      <c r="AD50" s="13" t="s">
        <v>35</v>
      </c>
      <c r="AE50" s="14" t="s">
        <v>35</v>
      </c>
      <c r="AF50" s="13" t="s">
        <v>35</v>
      </c>
      <c r="AG50" s="14" t="s">
        <v>35</v>
      </c>
      <c r="AH50" s="13" t="s">
        <v>35</v>
      </c>
      <c r="AI50" s="14" t="s">
        <v>35</v>
      </c>
      <c r="AJ50" s="13" t="s">
        <v>35</v>
      </c>
      <c r="AK50" s="14" t="s">
        <v>35</v>
      </c>
      <c r="AL50" s="13" t="s">
        <v>35</v>
      </c>
      <c r="AM50" s="14" t="s">
        <v>35</v>
      </c>
      <c r="AN50" s="13" t="s">
        <v>35</v>
      </c>
      <c r="AO50" s="14" t="s">
        <v>35</v>
      </c>
      <c r="AP50" s="13" t="s">
        <v>35</v>
      </c>
      <c r="AQ50" s="14" t="s">
        <v>35</v>
      </c>
      <c r="AR50" s="13" t="s">
        <v>35</v>
      </c>
      <c r="AS50" s="14" t="s">
        <v>35</v>
      </c>
      <c r="AT50" s="13" t="s">
        <v>35</v>
      </c>
      <c r="AU50" s="14" t="s">
        <v>35</v>
      </c>
      <c r="AV50" s="13" t="s">
        <v>35</v>
      </c>
      <c r="AW50" s="14" t="s">
        <v>35</v>
      </c>
      <c r="AX50" s="13" t="s">
        <v>35</v>
      </c>
      <c r="AY50" s="14" t="s">
        <v>35</v>
      </c>
    </row>
    <row r="51" spans="1:51" ht="12.75">
      <c r="A51" s="15" t="s">
        <v>72</v>
      </c>
      <c r="B51" s="8">
        <f aca="true" t="shared" si="43" ref="B51:M51">B7+B29</f>
        <v>204107</v>
      </c>
      <c r="C51" s="16">
        <f t="shared" si="43"/>
        <v>80182</v>
      </c>
      <c r="D51" s="8">
        <f t="shared" si="43"/>
        <v>123925</v>
      </c>
      <c r="E51" s="16">
        <f t="shared" si="43"/>
        <v>27851</v>
      </c>
      <c r="F51" s="8">
        <f t="shared" si="43"/>
        <v>96074</v>
      </c>
      <c r="G51" s="16">
        <f t="shared" si="43"/>
        <v>28720</v>
      </c>
      <c r="H51" s="8">
        <f t="shared" si="43"/>
        <v>67354</v>
      </c>
      <c r="I51" s="16">
        <f t="shared" si="43"/>
        <v>24099</v>
      </c>
      <c r="J51" s="27">
        <f t="shared" si="43"/>
        <v>43255</v>
      </c>
      <c r="K51" s="16">
        <f t="shared" si="43"/>
        <v>22225</v>
      </c>
      <c r="L51" s="27">
        <f t="shared" si="43"/>
        <v>21030</v>
      </c>
      <c r="M51" s="16">
        <f t="shared" si="43"/>
        <v>21030</v>
      </c>
      <c r="N51" s="39" t="s">
        <v>35</v>
      </c>
      <c r="O51" s="24" t="s">
        <v>35</v>
      </c>
      <c r="P51" s="13" t="s">
        <v>35</v>
      </c>
      <c r="Q51" s="14" t="s">
        <v>35</v>
      </c>
      <c r="R51" s="39" t="s">
        <v>35</v>
      </c>
      <c r="S51" s="24" t="s">
        <v>35</v>
      </c>
      <c r="T51" s="39" t="s">
        <v>35</v>
      </c>
      <c r="U51" s="24" t="s">
        <v>35</v>
      </c>
      <c r="V51" s="39" t="s">
        <v>35</v>
      </c>
      <c r="W51" s="24" t="s">
        <v>35</v>
      </c>
      <c r="X51" s="13" t="s">
        <v>35</v>
      </c>
      <c r="Y51" s="24" t="s">
        <v>35</v>
      </c>
      <c r="Z51" s="13" t="s">
        <v>35</v>
      </c>
      <c r="AA51" s="14" t="s">
        <v>35</v>
      </c>
      <c r="AB51" s="13" t="s">
        <v>35</v>
      </c>
      <c r="AC51" s="14" t="s">
        <v>35</v>
      </c>
      <c r="AD51" s="13" t="s">
        <v>35</v>
      </c>
      <c r="AE51" s="14" t="s">
        <v>35</v>
      </c>
      <c r="AF51" s="13" t="s">
        <v>35</v>
      </c>
      <c r="AG51" s="14" t="s">
        <v>35</v>
      </c>
      <c r="AH51" s="13" t="s">
        <v>35</v>
      </c>
      <c r="AI51" s="14" t="s">
        <v>35</v>
      </c>
      <c r="AJ51" s="13" t="s">
        <v>35</v>
      </c>
      <c r="AK51" s="14" t="s">
        <v>35</v>
      </c>
      <c r="AL51" s="13" t="s">
        <v>35</v>
      </c>
      <c r="AM51" s="14" t="s">
        <v>35</v>
      </c>
      <c r="AN51" s="13" t="s">
        <v>35</v>
      </c>
      <c r="AO51" s="14" t="s">
        <v>35</v>
      </c>
      <c r="AP51" s="13" t="s">
        <v>35</v>
      </c>
      <c r="AQ51" s="14" t="s">
        <v>35</v>
      </c>
      <c r="AR51" s="13" t="s">
        <v>35</v>
      </c>
      <c r="AS51" s="14" t="s">
        <v>35</v>
      </c>
      <c r="AT51" s="13" t="s">
        <v>35</v>
      </c>
      <c r="AU51" s="14" t="s">
        <v>35</v>
      </c>
      <c r="AV51" s="13" t="s">
        <v>35</v>
      </c>
      <c r="AW51" s="14" t="s">
        <v>35</v>
      </c>
      <c r="AX51" s="13" t="s">
        <v>35</v>
      </c>
      <c r="AY51" s="14" t="s">
        <v>35</v>
      </c>
    </row>
    <row r="52" spans="1:51" ht="12.75">
      <c r="A52" s="15" t="s">
        <v>73</v>
      </c>
      <c r="B52" s="8">
        <f aca="true" t="shared" si="44" ref="B52:M52">B8+B30</f>
        <v>318780</v>
      </c>
      <c r="C52" s="16">
        <f t="shared" si="44"/>
        <v>70909</v>
      </c>
      <c r="D52" s="8">
        <f t="shared" si="44"/>
        <v>247871</v>
      </c>
      <c r="E52" s="16">
        <f t="shared" si="44"/>
        <v>41789</v>
      </c>
      <c r="F52" s="8">
        <f t="shared" si="44"/>
        <v>206082</v>
      </c>
      <c r="G52" s="16">
        <f t="shared" si="44"/>
        <v>44924</v>
      </c>
      <c r="H52" s="8">
        <f t="shared" si="44"/>
        <v>161158</v>
      </c>
      <c r="I52" s="16">
        <f t="shared" si="44"/>
        <v>36418</v>
      </c>
      <c r="J52" s="27">
        <f t="shared" si="44"/>
        <v>124740</v>
      </c>
      <c r="K52" s="16">
        <f t="shared" si="44"/>
        <v>33517</v>
      </c>
      <c r="L52" s="27">
        <f t="shared" si="44"/>
        <v>91223</v>
      </c>
      <c r="M52" s="16">
        <f t="shared" si="44"/>
        <v>32651</v>
      </c>
      <c r="N52" s="27">
        <f aca="true" t="shared" si="45" ref="N52:Q69">N8+N30</f>
        <v>58572</v>
      </c>
      <c r="O52" s="16">
        <f t="shared" si="45"/>
        <v>30403</v>
      </c>
      <c r="P52" s="8">
        <f t="shared" si="45"/>
        <v>28169</v>
      </c>
      <c r="Q52" s="9">
        <f t="shared" si="45"/>
        <v>28169</v>
      </c>
      <c r="R52" s="39" t="s">
        <v>35</v>
      </c>
      <c r="S52" s="24" t="s">
        <v>35</v>
      </c>
      <c r="T52" s="39" t="s">
        <v>35</v>
      </c>
      <c r="U52" s="24" t="s">
        <v>35</v>
      </c>
      <c r="V52" s="39" t="s">
        <v>35</v>
      </c>
      <c r="W52" s="24" t="s">
        <v>35</v>
      </c>
      <c r="X52" s="13" t="s">
        <v>35</v>
      </c>
      <c r="Y52" s="14" t="s">
        <v>35</v>
      </c>
      <c r="Z52" s="13" t="s">
        <v>35</v>
      </c>
      <c r="AA52" s="14" t="s">
        <v>35</v>
      </c>
      <c r="AB52" s="13" t="s">
        <v>35</v>
      </c>
      <c r="AC52" s="14" t="s">
        <v>35</v>
      </c>
      <c r="AD52" s="13" t="s">
        <v>35</v>
      </c>
      <c r="AE52" s="14" t="s">
        <v>35</v>
      </c>
      <c r="AF52" s="13" t="s">
        <v>35</v>
      </c>
      <c r="AG52" s="14" t="s">
        <v>35</v>
      </c>
      <c r="AH52" s="13" t="s">
        <v>35</v>
      </c>
      <c r="AI52" s="14" t="s">
        <v>35</v>
      </c>
      <c r="AJ52" s="13" t="s">
        <v>35</v>
      </c>
      <c r="AK52" s="14" t="s">
        <v>35</v>
      </c>
      <c r="AL52" s="13" t="s">
        <v>35</v>
      </c>
      <c r="AM52" s="14" t="s">
        <v>35</v>
      </c>
      <c r="AN52" s="13" t="s">
        <v>35</v>
      </c>
      <c r="AO52" s="14" t="s">
        <v>35</v>
      </c>
      <c r="AP52" s="13" t="s">
        <v>35</v>
      </c>
      <c r="AQ52" s="14" t="s">
        <v>35</v>
      </c>
      <c r="AR52" s="13" t="s">
        <v>35</v>
      </c>
      <c r="AS52" s="14" t="s">
        <v>35</v>
      </c>
      <c r="AT52" s="13" t="s">
        <v>35</v>
      </c>
      <c r="AU52" s="14" t="s">
        <v>35</v>
      </c>
      <c r="AV52" s="13" t="s">
        <v>35</v>
      </c>
      <c r="AW52" s="14" t="s">
        <v>35</v>
      </c>
      <c r="AX52" s="13" t="s">
        <v>35</v>
      </c>
      <c r="AY52" s="14" t="s">
        <v>35</v>
      </c>
    </row>
    <row r="53" spans="1:51" ht="12.75">
      <c r="A53" s="15" t="s">
        <v>36</v>
      </c>
      <c r="B53" s="8">
        <f aca="true" t="shared" si="46" ref="B53:M53">B9+B31</f>
        <v>259019</v>
      </c>
      <c r="C53" s="16">
        <f t="shared" si="46"/>
        <v>31613</v>
      </c>
      <c r="D53" s="8">
        <f t="shared" si="46"/>
        <v>298956</v>
      </c>
      <c r="E53" s="16">
        <f t="shared" si="46"/>
        <v>40872</v>
      </c>
      <c r="F53" s="8">
        <f t="shared" si="46"/>
        <v>290484</v>
      </c>
      <c r="G53" s="16">
        <f t="shared" si="46"/>
        <v>46803</v>
      </c>
      <c r="H53" s="8">
        <f t="shared" si="46"/>
        <v>243681</v>
      </c>
      <c r="I53" s="16">
        <f t="shared" si="46"/>
        <v>36533</v>
      </c>
      <c r="J53" s="27">
        <f t="shared" si="46"/>
        <v>207148</v>
      </c>
      <c r="K53" s="16">
        <f t="shared" si="46"/>
        <v>33545</v>
      </c>
      <c r="L53" s="27">
        <f t="shared" si="46"/>
        <v>173603</v>
      </c>
      <c r="M53" s="16">
        <f t="shared" si="46"/>
        <v>33746</v>
      </c>
      <c r="N53" s="27">
        <f t="shared" si="45"/>
        <v>139857</v>
      </c>
      <c r="O53" s="16">
        <f t="shared" si="45"/>
        <v>31803</v>
      </c>
      <c r="P53" s="8">
        <f t="shared" si="45"/>
        <v>108054</v>
      </c>
      <c r="Q53" s="9">
        <f t="shared" si="45"/>
        <v>29871</v>
      </c>
      <c r="R53" s="27">
        <f aca="true" t="shared" si="47" ref="R53:W53">R9+R31</f>
        <v>78183</v>
      </c>
      <c r="S53" s="16">
        <f t="shared" si="47"/>
        <v>27965</v>
      </c>
      <c r="T53" s="27">
        <f t="shared" si="47"/>
        <v>50218</v>
      </c>
      <c r="U53" s="16">
        <f t="shared" si="47"/>
        <v>26059</v>
      </c>
      <c r="V53" s="27">
        <f t="shared" si="47"/>
        <v>24159</v>
      </c>
      <c r="W53" s="16">
        <f t="shared" si="47"/>
        <v>24159</v>
      </c>
      <c r="X53" s="13" t="s">
        <v>35</v>
      </c>
      <c r="Y53" s="24" t="s">
        <v>35</v>
      </c>
      <c r="Z53" s="13" t="s">
        <v>35</v>
      </c>
      <c r="AA53" s="14" t="s">
        <v>35</v>
      </c>
      <c r="AB53" s="13" t="s">
        <v>35</v>
      </c>
      <c r="AC53" s="14" t="s">
        <v>35</v>
      </c>
      <c r="AD53" s="13" t="s">
        <v>35</v>
      </c>
      <c r="AE53" s="14" t="s">
        <v>35</v>
      </c>
      <c r="AF53" s="13" t="s">
        <v>35</v>
      </c>
      <c r="AG53" s="14" t="s">
        <v>35</v>
      </c>
      <c r="AH53" s="13" t="s">
        <v>35</v>
      </c>
      <c r="AI53" s="14" t="s">
        <v>35</v>
      </c>
      <c r="AJ53" s="13" t="s">
        <v>35</v>
      </c>
      <c r="AK53" s="14" t="s">
        <v>35</v>
      </c>
      <c r="AL53" s="13" t="s">
        <v>35</v>
      </c>
      <c r="AM53" s="14" t="s">
        <v>35</v>
      </c>
      <c r="AN53" s="13" t="s">
        <v>35</v>
      </c>
      <c r="AO53" s="14" t="s">
        <v>35</v>
      </c>
      <c r="AP53" s="13" t="s">
        <v>35</v>
      </c>
      <c r="AQ53" s="14" t="s">
        <v>35</v>
      </c>
      <c r="AR53" s="13" t="s">
        <v>35</v>
      </c>
      <c r="AS53" s="14" t="s">
        <v>35</v>
      </c>
      <c r="AT53" s="13" t="s">
        <v>35</v>
      </c>
      <c r="AU53" s="14" t="s">
        <v>35</v>
      </c>
      <c r="AV53" s="13" t="s">
        <v>35</v>
      </c>
      <c r="AW53" s="14" t="s">
        <v>35</v>
      </c>
      <c r="AX53" s="13" t="s">
        <v>35</v>
      </c>
      <c r="AY53" s="14" t="s">
        <v>35</v>
      </c>
    </row>
    <row r="54" spans="1:51" ht="12.75">
      <c r="A54" s="15" t="s">
        <v>149</v>
      </c>
      <c r="B54" s="8">
        <f aca="true" t="shared" si="48" ref="B54:M54">B10+B32</f>
        <v>252952</v>
      </c>
      <c r="C54" s="16">
        <f t="shared" si="48"/>
        <v>48852</v>
      </c>
      <c r="D54" s="8">
        <f t="shared" si="48"/>
        <v>351704</v>
      </c>
      <c r="E54" s="16">
        <f t="shared" si="48"/>
        <v>53147</v>
      </c>
      <c r="F54" s="8">
        <f t="shared" si="48"/>
        <v>298557</v>
      </c>
      <c r="G54" s="16">
        <f t="shared" si="48"/>
        <v>57938</v>
      </c>
      <c r="H54" s="8">
        <f t="shared" si="48"/>
        <v>240619</v>
      </c>
      <c r="I54" s="16">
        <f t="shared" si="48"/>
        <v>46309</v>
      </c>
      <c r="J54" s="27">
        <f t="shared" si="48"/>
        <v>194310</v>
      </c>
      <c r="K54" s="16">
        <f t="shared" si="48"/>
        <v>42584</v>
      </c>
      <c r="L54" s="27">
        <f t="shared" si="48"/>
        <v>151726</v>
      </c>
      <c r="M54" s="16">
        <f t="shared" si="48"/>
        <v>41982</v>
      </c>
      <c r="N54" s="27">
        <f t="shared" si="45"/>
        <v>109744</v>
      </c>
      <c r="O54" s="16">
        <f t="shared" si="45"/>
        <v>39271</v>
      </c>
      <c r="P54" s="8">
        <f t="shared" si="45"/>
        <v>70473</v>
      </c>
      <c r="Q54" s="9">
        <f t="shared" si="45"/>
        <v>36574</v>
      </c>
      <c r="R54" s="27">
        <f aca="true" t="shared" si="49" ref="R54:S69">R10+R32</f>
        <v>33899</v>
      </c>
      <c r="S54" s="16">
        <f t="shared" si="49"/>
        <v>33899</v>
      </c>
      <c r="T54" s="39" t="s">
        <v>35</v>
      </c>
      <c r="U54" s="24" t="s">
        <v>35</v>
      </c>
      <c r="V54" s="39" t="s">
        <v>35</v>
      </c>
      <c r="W54" s="24" t="s">
        <v>35</v>
      </c>
      <c r="X54" s="13" t="s">
        <v>35</v>
      </c>
      <c r="Y54" s="24" t="s">
        <v>35</v>
      </c>
      <c r="Z54" s="13" t="s">
        <v>35</v>
      </c>
      <c r="AA54" s="14" t="s">
        <v>35</v>
      </c>
      <c r="AB54" s="13" t="s">
        <v>35</v>
      </c>
      <c r="AC54" s="14" t="s">
        <v>35</v>
      </c>
      <c r="AD54" s="13" t="s">
        <v>35</v>
      </c>
      <c r="AE54" s="14" t="s">
        <v>35</v>
      </c>
      <c r="AF54" s="13" t="s">
        <v>35</v>
      </c>
      <c r="AG54" s="14" t="s">
        <v>35</v>
      </c>
      <c r="AH54" s="13" t="s">
        <v>35</v>
      </c>
      <c r="AI54" s="14" t="s">
        <v>35</v>
      </c>
      <c r="AJ54" s="13" t="s">
        <v>35</v>
      </c>
      <c r="AK54" s="14" t="s">
        <v>35</v>
      </c>
      <c r="AL54" s="13" t="s">
        <v>35</v>
      </c>
      <c r="AM54" s="14" t="s">
        <v>35</v>
      </c>
      <c r="AN54" s="13" t="s">
        <v>35</v>
      </c>
      <c r="AO54" s="14" t="s">
        <v>35</v>
      </c>
      <c r="AP54" s="13" t="s">
        <v>35</v>
      </c>
      <c r="AQ54" s="14" t="s">
        <v>35</v>
      </c>
      <c r="AR54" s="13" t="s">
        <v>35</v>
      </c>
      <c r="AS54" s="14" t="s">
        <v>35</v>
      </c>
      <c r="AT54" s="13" t="s">
        <v>35</v>
      </c>
      <c r="AU54" s="14" t="s">
        <v>35</v>
      </c>
      <c r="AV54" s="13" t="s">
        <v>35</v>
      </c>
      <c r="AW54" s="14" t="s">
        <v>35</v>
      </c>
      <c r="AX54" s="13" t="s">
        <v>35</v>
      </c>
      <c r="AY54" s="14" t="s">
        <v>35</v>
      </c>
    </row>
    <row r="55" spans="1:51" ht="12.75">
      <c r="A55" s="15" t="s">
        <v>67</v>
      </c>
      <c r="B55" s="8">
        <f aca="true" t="shared" si="50" ref="B55:M55">B11+B33</f>
        <v>0</v>
      </c>
      <c r="C55" s="16">
        <f t="shared" si="50"/>
        <v>1157</v>
      </c>
      <c r="D55" s="8">
        <f t="shared" si="50"/>
        <v>422765</v>
      </c>
      <c r="E55" s="16">
        <f t="shared" si="50"/>
        <v>46153</v>
      </c>
      <c r="F55" s="8">
        <f t="shared" si="50"/>
        <v>376612</v>
      </c>
      <c r="G55" s="16">
        <f t="shared" si="50"/>
        <v>73085</v>
      </c>
      <c r="H55" s="8">
        <f t="shared" si="50"/>
        <v>303527</v>
      </c>
      <c r="I55" s="16">
        <f t="shared" si="50"/>
        <v>58416</v>
      </c>
      <c r="J55" s="27">
        <f t="shared" si="50"/>
        <v>245111</v>
      </c>
      <c r="K55" s="16">
        <f t="shared" si="50"/>
        <v>53717</v>
      </c>
      <c r="L55" s="27">
        <f t="shared" si="50"/>
        <v>191394</v>
      </c>
      <c r="M55" s="16">
        <f t="shared" si="50"/>
        <v>52958</v>
      </c>
      <c r="N55" s="27">
        <f t="shared" si="45"/>
        <v>138436</v>
      </c>
      <c r="O55" s="16">
        <f t="shared" si="45"/>
        <v>49538</v>
      </c>
      <c r="P55" s="8">
        <f t="shared" si="45"/>
        <v>88898</v>
      </c>
      <c r="Q55" s="9">
        <f t="shared" si="45"/>
        <v>46136</v>
      </c>
      <c r="R55" s="27">
        <f t="shared" si="49"/>
        <v>42762</v>
      </c>
      <c r="S55" s="16">
        <f t="shared" si="49"/>
        <v>42762</v>
      </c>
      <c r="T55" s="39" t="s">
        <v>35</v>
      </c>
      <c r="U55" s="22" t="s">
        <v>35</v>
      </c>
      <c r="V55" s="39" t="s">
        <v>35</v>
      </c>
      <c r="W55" s="22" t="s">
        <v>35</v>
      </c>
      <c r="X55" s="13" t="s">
        <v>35</v>
      </c>
      <c r="Y55" s="24" t="s">
        <v>35</v>
      </c>
      <c r="Z55" s="13" t="s">
        <v>35</v>
      </c>
      <c r="AA55" s="14" t="s">
        <v>35</v>
      </c>
      <c r="AB55" s="13" t="s">
        <v>35</v>
      </c>
      <c r="AC55" s="14" t="s">
        <v>35</v>
      </c>
      <c r="AD55" s="13" t="s">
        <v>35</v>
      </c>
      <c r="AE55" s="14" t="s">
        <v>35</v>
      </c>
      <c r="AF55" s="13" t="s">
        <v>35</v>
      </c>
      <c r="AG55" s="14" t="s">
        <v>35</v>
      </c>
      <c r="AH55" s="13" t="s">
        <v>35</v>
      </c>
      <c r="AI55" s="14" t="s">
        <v>35</v>
      </c>
      <c r="AJ55" s="13" t="s">
        <v>35</v>
      </c>
      <c r="AK55" s="14" t="s">
        <v>35</v>
      </c>
      <c r="AL55" s="13" t="s">
        <v>35</v>
      </c>
      <c r="AM55" s="14" t="s">
        <v>35</v>
      </c>
      <c r="AN55" s="13" t="s">
        <v>35</v>
      </c>
      <c r="AO55" s="14" t="s">
        <v>35</v>
      </c>
      <c r="AP55" s="13" t="s">
        <v>35</v>
      </c>
      <c r="AQ55" s="14" t="s">
        <v>35</v>
      </c>
      <c r="AR55" s="13" t="s">
        <v>35</v>
      </c>
      <c r="AS55" s="14" t="s">
        <v>35</v>
      </c>
      <c r="AT55" s="13" t="s">
        <v>35</v>
      </c>
      <c r="AU55" s="14" t="s">
        <v>35</v>
      </c>
      <c r="AV55" s="13" t="s">
        <v>35</v>
      </c>
      <c r="AW55" s="14" t="s">
        <v>35</v>
      </c>
      <c r="AX55" s="13" t="s">
        <v>35</v>
      </c>
      <c r="AY55" s="14" t="s">
        <v>35</v>
      </c>
    </row>
    <row r="56" spans="1:51" ht="12.75">
      <c r="A56" s="15" t="s">
        <v>74</v>
      </c>
      <c r="B56" s="8">
        <f aca="true" t="shared" si="51" ref="B56:M56">B12+B34</f>
        <v>0</v>
      </c>
      <c r="C56" s="16">
        <f t="shared" si="51"/>
        <v>0</v>
      </c>
      <c r="D56" s="8">
        <f t="shared" si="51"/>
        <v>323319</v>
      </c>
      <c r="E56" s="16">
        <f t="shared" si="51"/>
        <v>7975</v>
      </c>
      <c r="F56" s="8">
        <f t="shared" si="51"/>
        <v>996383</v>
      </c>
      <c r="G56" s="16">
        <f t="shared" si="51"/>
        <v>122114</v>
      </c>
      <c r="H56" s="8">
        <f t="shared" si="51"/>
        <v>906401</v>
      </c>
      <c r="I56" s="16">
        <f t="shared" si="51"/>
        <v>129023</v>
      </c>
      <c r="J56" s="27">
        <f t="shared" si="51"/>
        <v>777378</v>
      </c>
      <c r="K56" s="16">
        <f t="shared" si="51"/>
        <v>118431</v>
      </c>
      <c r="L56" s="27">
        <f t="shared" si="51"/>
        <v>658947</v>
      </c>
      <c r="M56" s="16">
        <f t="shared" si="51"/>
        <v>119666</v>
      </c>
      <c r="N56" s="27">
        <f t="shared" si="45"/>
        <v>539281</v>
      </c>
      <c r="O56" s="16">
        <f t="shared" si="45"/>
        <v>112959</v>
      </c>
      <c r="P56" s="8">
        <f t="shared" si="45"/>
        <v>426322</v>
      </c>
      <c r="Q56" s="9">
        <f t="shared" si="45"/>
        <v>106288</v>
      </c>
      <c r="R56" s="27">
        <f t="shared" si="49"/>
        <v>320034</v>
      </c>
      <c r="S56" s="16">
        <f t="shared" si="49"/>
        <v>99581</v>
      </c>
      <c r="T56" s="27">
        <f aca="true" t="shared" si="52" ref="T56:Y59">T12+T34</f>
        <v>220453</v>
      </c>
      <c r="U56" s="16">
        <f t="shared" si="52"/>
        <v>93063</v>
      </c>
      <c r="V56" s="27">
        <f t="shared" si="52"/>
        <v>127390</v>
      </c>
      <c r="W56" s="16">
        <f t="shared" si="52"/>
        <v>86573</v>
      </c>
      <c r="X56" s="27">
        <f t="shared" si="52"/>
        <v>40817</v>
      </c>
      <c r="Y56" s="16">
        <f t="shared" si="52"/>
        <v>40817</v>
      </c>
      <c r="Z56" s="13" t="s">
        <v>35</v>
      </c>
      <c r="AA56" s="14" t="s">
        <v>35</v>
      </c>
      <c r="AB56" s="13" t="s">
        <v>35</v>
      </c>
      <c r="AC56" s="14" t="s">
        <v>35</v>
      </c>
      <c r="AD56" s="13" t="s">
        <v>35</v>
      </c>
      <c r="AE56" s="14" t="s">
        <v>35</v>
      </c>
      <c r="AF56" s="13" t="s">
        <v>35</v>
      </c>
      <c r="AG56" s="14" t="s">
        <v>35</v>
      </c>
      <c r="AH56" s="13" t="s">
        <v>35</v>
      </c>
      <c r="AI56" s="14" t="s">
        <v>35</v>
      </c>
      <c r="AJ56" s="13" t="s">
        <v>35</v>
      </c>
      <c r="AK56" s="14" t="s">
        <v>35</v>
      </c>
      <c r="AL56" s="13" t="s">
        <v>35</v>
      </c>
      <c r="AM56" s="14" t="s">
        <v>35</v>
      </c>
      <c r="AN56" s="13" t="s">
        <v>35</v>
      </c>
      <c r="AO56" s="14" t="s">
        <v>35</v>
      </c>
      <c r="AP56" s="13" t="s">
        <v>35</v>
      </c>
      <c r="AQ56" s="14" t="s">
        <v>35</v>
      </c>
      <c r="AR56" s="13" t="s">
        <v>35</v>
      </c>
      <c r="AS56" s="14" t="s">
        <v>35</v>
      </c>
      <c r="AT56" s="13" t="s">
        <v>35</v>
      </c>
      <c r="AU56" s="14" t="s">
        <v>35</v>
      </c>
      <c r="AV56" s="13" t="s">
        <v>35</v>
      </c>
      <c r="AW56" s="14" t="s">
        <v>35</v>
      </c>
      <c r="AX56" s="13" t="s">
        <v>35</v>
      </c>
      <c r="AY56" s="14" t="s">
        <v>35</v>
      </c>
    </row>
    <row r="57" spans="1:51" ht="12.75">
      <c r="A57" s="15" t="s">
        <v>109</v>
      </c>
      <c r="B57" s="8"/>
      <c r="C57" s="16"/>
      <c r="D57" s="12">
        <f aca="true" t="shared" si="53" ref="D57:M57">D13+D35</f>
        <v>0</v>
      </c>
      <c r="E57" s="16">
        <f t="shared" si="53"/>
        <v>0</v>
      </c>
      <c r="F57" s="12">
        <f t="shared" si="53"/>
        <v>282894</v>
      </c>
      <c r="G57" s="16">
        <f t="shared" si="53"/>
        <v>7525</v>
      </c>
      <c r="H57" s="12">
        <f t="shared" si="53"/>
        <v>994162</v>
      </c>
      <c r="I57" s="16">
        <f t="shared" si="53"/>
        <v>78190</v>
      </c>
      <c r="J57" s="12">
        <f t="shared" si="53"/>
        <v>915972</v>
      </c>
      <c r="K57" s="16">
        <f t="shared" si="53"/>
        <v>124930</v>
      </c>
      <c r="L57" s="12">
        <f t="shared" si="53"/>
        <v>791042</v>
      </c>
      <c r="M57" s="16">
        <f t="shared" si="53"/>
        <v>127268</v>
      </c>
      <c r="N57" s="12">
        <f t="shared" si="45"/>
        <v>663774</v>
      </c>
      <c r="O57" s="16">
        <f t="shared" si="45"/>
        <v>120490</v>
      </c>
      <c r="P57" s="12">
        <f t="shared" si="45"/>
        <v>543284</v>
      </c>
      <c r="Q57" s="16">
        <f t="shared" si="45"/>
        <v>113749</v>
      </c>
      <c r="R57" s="12">
        <f t="shared" si="49"/>
        <v>429535</v>
      </c>
      <c r="S57" s="16">
        <f t="shared" si="49"/>
        <v>106935</v>
      </c>
      <c r="T57" s="12">
        <f t="shared" si="52"/>
        <v>322600</v>
      </c>
      <c r="U57" s="16">
        <f t="shared" si="52"/>
        <v>100365</v>
      </c>
      <c r="V57" s="12">
        <f t="shared" si="52"/>
        <v>222235</v>
      </c>
      <c r="W57" s="16">
        <f t="shared" si="52"/>
        <v>93842</v>
      </c>
      <c r="X57" s="12">
        <f t="shared" si="52"/>
        <v>128393</v>
      </c>
      <c r="Y57" s="16">
        <f t="shared" si="52"/>
        <v>87254</v>
      </c>
      <c r="Z57" s="12">
        <f aca="true" t="shared" si="54" ref="Z57:AA59">Z13+Z35</f>
        <v>41139</v>
      </c>
      <c r="AA57" s="16">
        <f t="shared" si="54"/>
        <v>41139</v>
      </c>
      <c r="AB57" s="13" t="s">
        <v>35</v>
      </c>
      <c r="AC57" s="14" t="s">
        <v>35</v>
      </c>
      <c r="AD57" s="13" t="s">
        <v>35</v>
      </c>
      <c r="AE57" s="14" t="s">
        <v>35</v>
      </c>
      <c r="AF57" s="13" t="s">
        <v>35</v>
      </c>
      <c r="AG57" s="14" t="s">
        <v>35</v>
      </c>
      <c r="AH57" s="13" t="s">
        <v>35</v>
      </c>
      <c r="AI57" s="14" t="s">
        <v>35</v>
      </c>
      <c r="AJ57" s="13" t="s">
        <v>35</v>
      </c>
      <c r="AK57" s="14" t="s">
        <v>35</v>
      </c>
      <c r="AL57" s="13" t="s">
        <v>35</v>
      </c>
      <c r="AM57" s="14" t="s">
        <v>35</v>
      </c>
      <c r="AN57" s="13" t="s">
        <v>35</v>
      </c>
      <c r="AO57" s="14" t="s">
        <v>35</v>
      </c>
      <c r="AP57" s="13" t="s">
        <v>35</v>
      </c>
      <c r="AQ57" s="14" t="s">
        <v>35</v>
      </c>
      <c r="AR57" s="13" t="s">
        <v>35</v>
      </c>
      <c r="AS57" s="14" t="s">
        <v>35</v>
      </c>
      <c r="AT57" s="13" t="s">
        <v>35</v>
      </c>
      <c r="AU57" s="14" t="s">
        <v>35</v>
      </c>
      <c r="AV57" s="13" t="s">
        <v>35</v>
      </c>
      <c r="AW57" s="14" t="s">
        <v>35</v>
      </c>
      <c r="AX57" s="13" t="s">
        <v>35</v>
      </c>
      <c r="AY57" s="14" t="s">
        <v>35</v>
      </c>
    </row>
    <row r="58" spans="1:51" ht="12.75">
      <c r="A58" s="15" t="s">
        <v>210</v>
      </c>
      <c r="B58" s="8"/>
      <c r="C58" s="16"/>
      <c r="D58" s="12"/>
      <c r="E58" s="16"/>
      <c r="F58" s="13" t="s">
        <v>35</v>
      </c>
      <c r="G58" s="24" t="s">
        <v>35</v>
      </c>
      <c r="H58" s="12">
        <f aca="true" t="shared" si="55" ref="H58:M63">H14+H36</f>
        <v>357655</v>
      </c>
      <c r="I58" s="16">
        <f t="shared" si="55"/>
        <v>641</v>
      </c>
      <c r="J58" s="12">
        <f t="shared" si="55"/>
        <v>782435</v>
      </c>
      <c r="K58" s="16">
        <f t="shared" si="55"/>
        <v>23245</v>
      </c>
      <c r="L58" s="12">
        <f t="shared" si="55"/>
        <v>941083</v>
      </c>
      <c r="M58" s="16">
        <f t="shared" si="55"/>
        <v>33755</v>
      </c>
      <c r="N58" s="12">
        <f t="shared" si="45"/>
        <v>907328</v>
      </c>
      <c r="O58" s="16">
        <f t="shared" si="45"/>
        <v>59593</v>
      </c>
      <c r="P58" s="12">
        <f t="shared" si="45"/>
        <v>847735</v>
      </c>
      <c r="Q58" s="16">
        <f t="shared" si="45"/>
        <v>66441</v>
      </c>
      <c r="R58" s="12">
        <f t="shared" si="49"/>
        <v>781294</v>
      </c>
      <c r="S58" s="16">
        <f t="shared" si="49"/>
        <v>64495</v>
      </c>
      <c r="T58" s="12">
        <f t="shared" si="52"/>
        <v>716799</v>
      </c>
      <c r="U58" s="16">
        <f t="shared" si="52"/>
        <v>62550</v>
      </c>
      <c r="V58" s="12">
        <f t="shared" si="52"/>
        <v>654249</v>
      </c>
      <c r="W58" s="16">
        <f t="shared" si="52"/>
        <v>60676</v>
      </c>
      <c r="X58" s="12">
        <f t="shared" si="52"/>
        <v>593573</v>
      </c>
      <c r="Y58" s="16">
        <f t="shared" si="52"/>
        <v>58658</v>
      </c>
      <c r="Z58" s="12">
        <f t="shared" si="54"/>
        <v>534915</v>
      </c>
      <c r="AA58" s="16">
        <f t="shared" si="54"/>
        <v>56712</v>
      </c>
      <c r="AB58" s="12">
        <f aca="true" t="shared" si="56" ref="AB58:AW58">AB14+AB36</f>
        <v>478203</v>
      </c>
      <c r="AC58" s="16">
        <f t="shared" si="56"/>
        <v>54767</v>
      </c>
      <c r="AD58" s="12">
        <f t="shared" si="56"/>
        <v>423436</v>
      </c>
      <c r="AE58" s="16">
        <f t="shared" si="56"/>
        <v>52871</v>
      </c>
      <c r="AF58" s="12">
        <f t="shared" si="56"/>
        <v>370565</v>
      </c>
      <c r="AG58" s="16">
        <f t="shared" si="56"/>
        <v>50875</v>
      </c>
      <c r="AH58" s="12">
        <f t="shared" si="56"/>
        <v>319690</v>
      </c>
      <c r="AI58" s="16">
        <f t="shared" si="56"/>
        <v>48929</v>
      </c>
      <c r="AJ58" s="12">
        <f t="shared" si="56"/>
        <v>270761</v>
      </c>
      <c r="AK58" s="16">
        <f t="shared" si="56"/>
        <v>46983</v>
      </c>
      <c r="AL58" s="12">
        <f t="shared" si="56"/>
        <v>223778</v>
      </c>
      <c r="AM58" s="16">
        <f t="shared" si="56"/>
        <v>45067</v>
      </c>
      <c r="AN58" s="12">
        <f t="shared" si="56"/>
        <v>178711</v>
      </c>
      <c r="AO58" s="16">
        <f t="shared" si="56"/>
        <v>43092</v>
      </c>
      <c r="AP58" s="12">
        <f t="shared" si="56"/>
        <v>135619</v>
      </c>
      <c r="AQ58" s="16">
        <f t="shared" si="56"/>
        <v>41146</v>
      </c>
      <c r="AR58" s="12">
        <f t="shared" si="56"/>
        <v>94473</v>
      </c>
      <c r="AS58" s="16">
        <f t="shared" si="56"/>
        <v>39200</v>
      </c>
      <c r="AT58" s="12">
        <f t="shared" si="56"/>
        <v>55273</v>
      </c>
      <c r="AU58" s="16">
        <f t="shared" si="56"/>
        <v>37263</v>
      </c>
      <c r="AV58" s="12">
        <f t="shared" si="56"/>
        <v>18010</v>
      </c>
      <c r="AW58" s="16">
        <f t="shared" si="56"/>
        <v>18010</v>
      </c>
      <c r="AX58" s="13" t="s">
        <v>35</v>
      </c>
      <c r="AY58" s="14" t="s">
        <v>35</v>
      </c>
    </row>
    <row r="59" spans="1:51" ht="12.75">
      <c r="A59" s="15" t="s">
        <v>211</v>
      </c>
      <c r="B59" s="8"/>
      <c r="C59" s="16"/>
      <c r="D59" s="12"/>
      <c r="E59" s="16"/>
      <c r="F59" s="13"/>
      <c r="G59" s="24"/>
      <c r="H59" s="12">
        <f t="shared" si="55"/>
        <v>91960</v>
      </c>
      <c r="I59" s="16">
        <f t="shared" si="55"/>
        <v>98</v>
      </c>
      <c r="J59" s="12">
        <f t="shared" si="55"/>
        <v>168792</v>
      </c>
      <c r="K59" s="16">
        <f t="shared" si="55"/>
        <v>4336</v>
      </c>
      <c r="L59" s="12">
        <f t="shared" si="55"/>
        <v>266699</v>
      </c>
      <c r="M59" s="16">
        <f t="shared" si="55"/>
        <v>8838</v>
      </c>
      <c r="N59" s="12">
        <f t="shared" si="45"/>
        <v>257861</v>
      </c>
      <c r="O59" s="16">
        <f t="shared" si="45"/>
        <v>16539</v>
      </c>
      <c r="P59" s="12">
        <f t="shared" si="45"/>
        <v>241322</v>
      </c>
      <c r="Q59" s="16">
        <f t="shared" si="45"/>
        <v>18602</v>
      </c>
      <c r="R59" s="12">
        <f t="shared" si="49"/>
        <v>222720</v>
      </c>
      <c r="S59" s="16">
        <f t="shared" si="49"/>
        <v>18090</v>
      </c>
      <c r="T59" s="12">
        <f t="shared" si="52"/>
        <v>204630</v>
      </c>
      <c r="U59" s="16">
        <f t="shared" si="52"/>
        <v>17578</v>
      </c>
      <c r="V59" s="12">
        <f t="shared" si="52"/>
        <v>187052</v>
      </c>
      <c r="W59" s="16">
        <f t="shared" si="52"/>
        <v>17086</v>
      </c>
      <c r="X59" s="12">
        <f t="shared" si="52"/>
        <v>169966</v>
      </c>
      <c r="Y59" s="16">
        <f t="shared" si="52"/>
        <v>16555</v>
      </c>
      <c r="Z59" s="12">
        <f t="shared" si="54"/>
        <v>153411</v>
      </c>
      <c r="AA59" s="16">
        <f t="shared" si="54"/>
        <v>16044</v>
      </c>
      <c r="AB59" s="12">
        <f aca="true" t="shared" si="57" ref="AB59:AW59">AB15+AB37</f>
        <v>137367</v>
      </c>
      <c r="AC59" s="16">
        <f t="shared" si="57"/>
        <v>15532</v>
      </c>
      <c r="AD59" s="12">
        <f t="shared" si="57"/>
        <v>121835</v>
      </c>
      <c r="AE59" s="16">
        <f t="shared" si="57"/>
        <v>15034</v>
      </c>
      <c r="AF59" s="12">
        <f t="shared" si="57"/>
        <v>106801</v>
      </c>
      <c r="AG59" s="16">
        <f t="shared" si="57"/>
        <v>14509</v>
      </c>
      <c r="AH59" s="12">
        <f t="shared" si="57"/>
        <v>92292</v>
      </c>
      <c r="AI59" s="16">
        <f t="shared" si="57"/>
        <v>13997</v>
      </c>
      <c r="AJ59" s="12">
        <f t="shared" si="57"/>
        <v>78295</v>
      </c>
      <c r="AK59" s="16">
        <f t="shared" si="57"/>
        <v>13486</v>
      </c>
      <c r="AL59" s="12">
        <f t="shared" si="57"/>
        <v>64809</v>
      </c>
      <c r="AM59" s="16">
        <f t="shared" si="57"/>
        <v>12982</v>
      </c>
      <c r="AN59" s="12">
        <f t="shared" si="57"/>
        <v>51827</v>
      </c>
      <c r="AO59" s="16">
        <f t="shared" si="57"/>
        <v>12462</v>
      </c>
      <c r="AP59" s="12">
        <f t="shared" si="57"/>
        <v>39365</v>
      </c>
      <c r="AQ59" s="16">
        <f t="shared" si="57"/>
        <v>11951</v>
      </c>
      <c r="AR59" s="12">
        <f t="shared" si="57"/>
        <v>27414</v>
      </c>
      <c r="AS59" s="16">
        <f t="shared" si="57"/>
        <v>11439</v>
      </c>
      <c r="AT59" s="12">
        <f t="shared" si="57"/>
        <v>15975</v>
      </c>
      <c r="AU59" s="16">
        <f t="shared" si="57"/>
        <v>10930</v>
      </c>
      <c r="AV59" s="12">
        <f t="shared" si="57"/>
        <v>5045</v>
      </c>
      <c r="AW59" s="16">
        <f t="shared" si="57"/>
        <v>5045</v>
      </c>
      <c r="AX59" s="13" t="s">
        <v>35</v>
      </c>
      <c r="AY59" s="14" t="s">
        <v>35</v>
      </c>
    </row>
    <row r="60" spans="1:51" ht="12.75">
      <c r="A60" s="15" t="s">
        <v>56</v>
      </c>
      <c r="B60" s="8">
        <f aca="true" t="shared" si="58" ref="B60:G63">B16+B38</f>
        <v>129923</v>
      </c>
      <c r="C60" s="16">
        <f t="shared" si="58"/>
        <v>9355</v>
      </c>
      <c r="D60" s="8">
        <f t="shared" si="58"/>
        <v>120568</v>
      </c>
      <c r="E60" s="16">
        <f t="shared" si="58"/>
        <v>16282</v>
      </c>
      <c r="F60" s="8">
        <f t="shared" si="58"/>
        <v>104286</v>
      </c>
      <c r="G60" s="16">
        <f t="shared" si="58"/>
        <v>16727</v>
      </c>
      <c r="H60" s="8">
        <f t="shared" si="55"/>
        <v>87559</v>
      </c>
      <c r="I60" s="16">
        <f t="shared" si="55"/>
        <v>14206</v>
      </c>
      <c r="J60" s="27">
        <f t="shared" si="55"/>
        <v>73353</v>
      </c>
      <c r="K60" s="16">
        <f t="shared" si="55"/>
        <v>14452</v>
      </c>
      <c r="L60" s="27">
        <f t="shared" si="55"/>
        <v>58901</v>
      </c>
      <c r="M60" s="16">
        <f t="shared" si="55"/>
        <v>13952</v>
      </c>
      <c r="N60" s="27">
        <f t="shared" si="45"/>
        <v>44949</v>
      </c>
      <c r="O60" s="16">
        <f t="shared" si="45"/>
        <v>13453</v>
      </c>
      <c r="P60" s="8">
        <f t="shared" si="45"/>
        <v>31496</v>
      </c>
      <c r="Q60" s="9">
        <f t="shared" si="45"/>
        <v>12963</v>
      </c>
      <c r="R60" s="27">
        <f t="shared" si="49"/>
        <v>18533</v>
      </c>
      <c r="S60" s="16">
        <f t="shared" si="49"/>
        <v>12477</v>
      </c>
      <c r="T60" s="27">
        <f aca="true" t="shared" si="59" ref="T60:U69">T16+T38</f>
        <v>6056</v>
      </c>
      <c r="U60" s="16">
        <f t="shared" si="59"/>
        <v>6056</v>
      </c>
      <c r="V60" s="39" t="s">
        <v>35</v>
      </c>
      <c r="W60" s="22" t="s">
        <v>35</v>
      </c>
      <c r="X60" s="13" t="s">
        <v>35</v>
      </c>
      <c r="Y60" s="24" t="s">
        <v>35</v>
      </c>
      <c r="Z60" s="13" t="s">
        <v>35</v>
      </c>
      <c r="AA60" s="14" t="s">
        <v>35</v>
      </c>
      <c r="AB60" s="13" t="s">
        <v>35</v>
      </c>
      <c r="AC60" s="14" t="s">
        <v>35</v>
      </c>
      <c r="AD60" s="13" t="s">
        <v>35</v>
      </c>
      <c r="AE60" s="14" t="s">
        <v>35</v>
      </c>
      <c r="AF60" s="13" t="s">
        <v>35</v>
      </c>
      <c r="AG60" s="14" t="s">
        <v>35</v>
      </c>
      <c r="AH60" s="13" t="s">
        <v>35</v>
      </c>
      <c r="AI60" s="14" t="s">
        <v>35</v>
      </c>
      <c r="AJ60" s="13" t="s">
        <v>35</v>
      </c>
      <c r="AK60" s="14" t="s">
        <v>35</v>
      </c>
      <c r="AL60" s="13" t="s">
        <v>35</v>
      </c>
      <c r="AM60" s="14" t="s">
        <v>35</v>
      </c>
      <c r="AN60" s="13" t="s">
        <v>35</v>
      </c>
      <c r="AO60" s="14" t="s">
        <v>35</v>
      </c>
      <c r="AP60" s="13" t="s">
        <v>35</v>
      </c>
      <c r="AQ60" s="14" t="s">
        <v>35</v>
      </c>
      <c r="AR60" s="13" t="s">
        <v>35</v>
      </c>
      <c r="AS60" s="14" t="s">
        <v>35</v>
      </c>
      <c r="AT60" s="13" t="s">
        <v>35</v>
      </c>
      <c r="AU60" s="14" t="s">
        <v>35</v>
      </c>
      <c r="AV60" s="13" t="s">
        <v>35</v>
      </c>
      <c r="AW60" s="14" t="s">
        <v>35</v>
      </c>
      <c r="AX60" s="13" t="s">
        <v>35</v>
      </c>
      <c r="AY60" s="14" t="s">
        <v>35</v>
      </c>
    </row>
    <row r="61" spans="1:51" ht="12.75">
      <c r="A61" s="15" t="s">
        <v>55</v>
      </c>
      <c r="B61" s="8">
        <f t="shared" si="58"/>
        <v>0</v>
      </c>
      <c r="C61" s="16">
        <f t="shared" si="58"/>
        <v>399</v>
      </c>
      <c r="D61" s="8">
        <f t="shared" si="58"/>
        <v>155545</v>
      </c>
      <c r="E61" s="16">
        <f t="shared" si="58"/>
        <v>11517</v>
      </c>
      <c r="F61" s="8">
        <f t="shared" si="58"/>
        <v>144028</v>
      </c>
      <c r="G61" s="16">
        <f t="shared" si="58"/>
        <v>18266</v>
      </c>
      <c r="H61" s="8">
        <f t="shared" si="55"/>
        <v>125762</v>
      </c>
      <c r="I61" s="16">
        <f t="shared" si="55"/>
        <v>15025</v>
      </c>
      <c r="J61" s="27">
        <f t="shared" si="55"/>
        <v>110737</v>
      </c>
      <c r="K61" s="16">
        <f t="shared" si="55"/>
        <v>15570</v>
      </c>
      <c r="L61" s="27">
        <f t="shared" si="55"/>
        <v>95167</v>
      </c>
      <c r="M61" s="16">
        <f t="shared" si="55"/>
        <v>15063</v>
      </c>
      <c r="N61" s="27">
        <f t="shared" si="45"/>
        <v>80104</v>
      </c>
      <c r="O61" s="16">
        <f t="shared" si="45"/>
        <v>14561</v>
      </c>
      <c r="P61" s="8">
        <f t="shared" si="45"/>
        <v>65543</v>
      </c>
      <c r="Q61" s="9">
        <f t="shared" si="45"/>
        <v>14071</v>
      </c>
      <c r="R61" s="27">
        <f t="shared" si="49"/>
        <v>51472</v>
      </c>
      <c r="S61" s="16">
        <f t="shared" si="49"/>
        <v>13590</v>
      </c>
      <c r="T61" s="27">
        <f t="shared" si="59"/>
        <v>37882</v>
      </c>
      <c r="U61" s="16">
        <f t="shared" si="59"/>
        <v>13108</v>
      </c>
      <c r="V61" s="27">
        <f aca="true" t="shared" si="60" ref="V61:Y69">V17+V39</f>
        <v>24774</v>
      </c>
      <c r="W61" s="16">
        <f t="shared" si="60"/>
        <v>12629</v>
      </c>
      <c r="X61" s="8">
        <f t="shared" si="60"/>
        <v>12145</v>
      </c>
      <c r="Y61" s="16">
        <f t="shared" si="60"/>
        <v>12145</v>
      </c>
      <c r="Z61" s="13" t="s">
        <v>35</v>
      </c>
      <c r="AA61" s="14" t="s">
        <v>35</v>
      </c>
      <c r="AB61" s="13" t="s">
        <v>35</v>
      </c>
      <c r="AC61" s="14" t="s">
        <v>35</v>
      </c>
      <c r="AD61" s="13" t="s">
        <v>35</v>
      </c>
      <c r="AE61" s="14" t="s">
        <v>35</v>
      </c>
      <c r="AF61" s="13" t="s">
        <v>35</v>
      </c>
      <c r="AG61" s="14" t="s">
        <v>35</v>
      </c>
      <c r="AH61" s="13" t="s">
        <v>35</v>
      </c>
      <c r="AI61" s="14" t="s">
        <v>35</v>
      </c>
      <c r="AJ61" s="13" t="s">
        <v>35</v>
      </c>
      <c r="AK61" s="14" t="s">
        <v>35</v>
      </c>
      <c r="AL61" s="13" t="s">
        <v>35</v>
      </c>
      <c r="AM61" s="14" t="s">
        <v>35</v>
      </c>
      <c r="AN61" s="13" t="s">
        <v>35</v>
      </c>
      <c r="AO61" s="14" t="s">
        <v>35</v>
      </c>
      <c r="AP61" s="13" t="s">
        <v>35</v>
      </c>
      <c r="AQ61" s="14" t="s">
        <v>35</v>
      </c>
      <c r="AR61" s="13" t="s">
        <v>35</v>
      </c>
      <c r="AS61" s="14" t="s">
        <v>35</v>
      </c>
      <c r="AT61" s="13" t="s">
        <v>35</v>
      </c>
      <c r="AU61" s="14" t="s">
        <v>35</v>
      </c>
      <c r="AV61" s="13" t="s">
        <v>35</v>
      </c>
      <c r="AW61" s="14" t="s">
        <v>35</v>
      </c>
      <c r="AX61" s="13" t="s">
        <v>35</v>
      </c>
      <c r="AY61" s="14" t="s">
        <v>35</v>
      </c>
    </row>
    <row r="62" spans="1:51" ht="12.75">
      <c r="A62" s="15" t="s">
        <v>150</v>
      </c>
      <c r="B62" s="8">
        <f t="shared" si="58"/>
        <v>0</v>
      </c>
      <c r="C62" s="16">
        <f t="shared" si="58"/>
        <v>3</v>
      </c>
      <c r="D62" s="8">
        <f t="shared" si="58"/>
        <v>81985</v>
      </c>
      <c r="E62" s="16">
        <f t="shared" si="58"/>
        <v>7774</v>
      </c>
      <c r="F62" s="8">
        <f t="shared" si="58"/>
        <v>248787</v>
      </c>
      <c r="G62" s="16">
        <f t="shared" si="58"/>
        <v>44873</v>
      </c>
      <c r="H62" s="8">
        <f t="shared" si="55"/>
        <v>203914</v>
      </c>
      <c r="I62" s="16">
        <f t="shared" si="55"/>
        <v>12878</v>
      </c>
      <c r="J62" s="27">
        <f t="shared" si="55"/>
        <v>191036</v>
      </c>
      <c r="K62" s="16">
        <f t="shared" si="55"/>
        <v>14019</v>
      </c>
      <c r="L62" s="27">
        <f t="shared" si="55"/>
        <v>177017</v>
      </c>
      <c r="M62" s="16">
        <f t="shared" si="55"/>
        <v>13640</v>
      </c>
      <c r="N62" s="27">
        <f t="shared" si="45"/>
        <v>163377</v>
      </c>
      <c r="O62" s="16">
        <f t="shared" si="45"/>
        <v>13270</v>
      </c>
      <c r="P62" s="8">
        <f t="shared" si="45"/>
        <v>150107</v>
      </c>
      <c r="Q62" s="9">
        <f t="shared" si="45"/>
        <v>12918</v>
      </c>
      <c r="R62" s="27">
        <f t="shared" si="49"/>
        <v>137189</v>
      </c>
      <c r="S62" s="16">
        <f t="shared" si="49"/>
        <v>12580</v>
      </c>
      <c r="T62" s="27">
        <f t="shared" si="59"/>
        <v>124609</v>
      </c>
      <c r="U62" s="16">
        <f t="shared" si="59"/>
        <v>12242</v>
      </c>
      <c r="V62" s="27">
        <f t="shared" si="60"/>
        <v>112367</v>
      </c>
      <c r="W62" s="16">
        <f t="shared" si="60"/>
        <v>11914</v>
      </c>
      <c r="X62" s="27">
        <f t="shared" si="60"/>
        <v>100453</v>
      </c>
      <c r="Y62" s="16">
        <f t="shared" si="60"/>
        <v>11566</v>
      </c>
      <c r="Z62" s="8">
        <f aca="true" t="shared" si="61" ref="Z62:AQ62">Z18+Z40</f>
        <v>88887</v>
      </c>
      <c r="AA62" s="9">
        <f t="shared" si="61"/>
        <v>11228</v>
      </c>
      <c r="AB62" s="8">
        <f t="shared" si="61"/>
        <v>77659</v>
      </c>
      <c r="AC62" s="9">
        <f t="shared" si="61"/>
        <v>10890</v>
      </c>
      <c r="AD62" s="8">
        <f t="shared" si="61"/>
        <v>66769</v>
      </c>
      <c r="AE62" s="9">
        <f t="shared" si="61"/>
        <v>10558</v>
      </c>
      <c r="AF62" s="8">
        <f t="shared" si="61"/>
        <v>56211</v>
      </c>
      <c r="AG62" s="9">
        <f t="shared" si="61"/>
        <v>10213</v>
      </c>
      <c r="AH62" s="8">
        <f t="shared" si="61"/>
        <v>45998</v>
      </c>
      <c r="AI62" s="9">
        <f t="shared" si="61"/>
        <v>9875</v>
      </c>
      <c r="AJ62" s="8">
        <f t="shared" si="61"/>
        <v>36123</v>
      </c>
      <c r="AK62" s="9">
        <f t="shared" si="61"/>
        <v>9537</v>
      </c>
      <c r="AL62" s="8">
        <f t="shared" si="61"/>
        <v>26586</v>
      </c>
      <c r="AM62" s="9">
        <f t="shared" si="61"/>
        <v>9202</v>
      </c>
      <c r="AN62" s="8">
        <f t="shared" si="61"/>
        <v>17384</v>
      </c>
      <c r="AO62" s="9">
        <f t="shared" si="61"/>
        <v>8861</v>
      </c>
      <c r="AP62" s="8">
        <f t="shared" si="61"/>
        <v>8523</v>
      </c>
      <c r="AQ62" s="9">
        <f t="shared" si="61"/>
        <v>8523</v>
      </c>
      <c r="AR62" s="13" t="s">
        <v>35</v>
      </c>
      <c r="AS62" s="14" t="s">
        <v>35</v>
      </c>
      <c r="AT62" s="13" t="s">
        <v>35</v>
      </c>
      <c r="AU62" s="14" t="s">
        <v>35</v>
      </c>
      <c r="AV62" s="13" t="s">
        <v>35</v>
      </c>
      <c r="AW62" s="14" t="s">
        <v>35</v>
      </c>
      <c r="AX62" s="13" t="s">
        <v>35</v>
      </c>
      <c r="AY62" s="14" t="s">
        <v>35</v>
      </c>
    </row>
    <row r="63" spans="1:51" ht="12.75">
      <c r="A63" s="15" t="s">
        <v>212</v>
      </c>
      <c r="B63" s="8">
        <f t="shared" si="58"/>
        <v>0</v>
      </c>
      <c r="C63" s="16">
        <f t="shared" si="58"/>
        <v>0</v>
      </c>
      <c r="D63" s="8">
        <f t="shared" si="58"/>
        <v>0</v>
      </c>
      <c r="E63" s="16">
        <f t="shared" si="58"/>
        <v>0</v>
      </c>
      <c r="F63" s="8">
        <f t="shared" si="58"/>
        <v>0</v>
      </c>
      <c r="G63" s="16">
        <f t="shared" si="58"/>
        <v>0</v>
      </c>
      <c r="H63" s="8">
        <f t="shared" si="55"/>
        <v>0</v>
      </c>
      <c r="I63" s="16">
        <f t="shared" si="55"/>
        <v>0</v>
      </c>
      <c r="J63" s="27">
        <f t="shared" si="55"/>
        <v>0</v>
      </c>
      <c r="K63" s="16">
        <f t="shared" si="55"/>
        <v>2885</v>
      </c>
      <c r="L63" s="27">
        <f t="shared" si="55"/>
        <v>750300</v>
      </c>
      <c r="M63" s="16">
        <f t="shared" si="55"/>
        <v>30874</v>
      </c>
      <c r="N63" s="27">
        <f t="shared" si="45"/>
        <v>860372</v>
      </c>
      <c r="O63" s="16">
        <f t="shared" si="45"/>
        <v>27866</v>
      </c>
      <c r="P63" s="8">
        <f t="shared" si="45"/>
        <v>832506</v>
      </c>
      <c r="Q63" s="9">
        <f t="shared" si="45"/>
        <v>78779</v>
      </c>
      <c r="R63" s="27">
        <f t="shared" si="49"/>
        <v>753727</v>
      </c>
      <c r="S63" s="16">
        <f t="shared" si="49"/>
        <v>76854</v>
      </c>
      <c r="T63" s="27">
        <f t="shared" si="59"/>
        <v>676873</v>
      </c>
      <c r="U63" s="16">
        <f t="shared" si="59"/>
        <v>74929</v>
      </c>
      <c r="V63" s="27">
        <f t="shared" si="60"/>
        <v>601944</v>
      </c>
      <c r="W63" s="16">
        <f t="shared" si="60"/>
        <v>73053</v>
      </c>
      <c r="X63" s="27">
        <f t="shared" si="60"/>
        <v>528891</v>
      </c>
      <c r="Y63" s="16">
        <f t="shared" si="60"/>
        <v>71080</v>
      </c>
      <c r="Z63" s="8">
        <f aca="true" t="shared" si="62" ref="Z63:AO63">Z19+Z41</f>
        <v>457811</v>
      </c>
      <c r="AA63" s="9">
        <f t="shared" si="62"/>
        <v>69155</v>
      </c>
      <c r="AB63" s="8">
        <f t="shared" si="62"/>
        <v>388656</v>
      </c>
      <c r="AC63" s="9">
        <f t="shared" si="62"/>
        <v>67230</v>
      </c>
      <c r="AD63" s="8">
        <f t="shared" si="62"/>
        <v>321426</v>
      </c>
      <c r="AE63" s="9">
        <f t="shared" si="62"/>
        <v>65333</v>
      </c>
      <c r="AF63" s="8">
        <f t="shared" si="62"/>
        <v>256093</v>
      </c>
      <c r="AG63" s="9">
        <f t="shared" si="62"/>
        <v>63381</v>
      </c>
      <c r="AH63" s="8">
        <f t="shared" si="62"/>
        <v>192712</v>
      </c>
      <c r="AI63" s="9">
        <f t="shared" si="62"/>
        <v>61456</v>
      </c>
      <c r="AJ63" s="8">
        <f t="shared" si="62"/>
        <v>131256</v>
      </c>
      <c r="AK63" s="9">
        <f t="shared" si="62"/>
        <v>59531</v>
      </c>
      <c r="AL63" s="8">
        <f t="shared" si="62"/>
        <v>71725</v>
      </c>
      <c r="AM63" s="9">
        <f t="shared" si="62"/>
        <v>57613</v>
      </c>
      <c r="AN63" s="8">
        <f t="shared" si="62"/>
        <v>14112</v>
      </c>
      <c r="AO63" s="9">
        <f t="shared" si="62"/>
        <v>14112</v>
      </c>
      <c r="AP63" s="13" t="s">
        <v>35</v>
      </c>
      <c r="AQ63" s="14" t="s">
        <v>35</v>
      </c>
      <c r="AR63" s="13" t="s">
        <v>35</v>
      </c>
      <c r="AS63" s="14" t="s">
        <v>35</v>
      </c>
      <c r="AT63" s="13" t="s">
        <v>35</v>
      </c>
      <c r="AU63" s="14" t="s">
        <v>35</v>
      </c>
      <c r="AV63" s="13" t="s">
        <v>35</v>
      </c>
      <c r="AW63" s="14" t="s">
        <v>35</v>
      </c>
      <c r="AX63" s="13" t="s">
        <v>35</v>
      </c>
      <c r="AY63" s="14" t="s">
        <v>35</v>
      </c>
    </row>
    <row r="64" spans="1:51" ht="12.75">
      <c r="A64" s="15" t="s">
        <v>247</v>
      </c>
      <c r="B64" s="8"/>
      <c r="C64" s="16"/>
      <c r="D64" s="8"/>
      <c r="E64" s="16"/>
      <c r="F64" s="8"/>
      <c r="G64" s="16"/>
      <c r="H64" s="8"/>
      <c r="I64" s="16"/>
      <c r="J64" s="27">
        <f aca="true" t="shared" si="63" ref="J64:M69">J20+J42</f>
        <v>0</v>
      </c>
      <c r="K64" s="16">
        <f t="shared" si="63"/>
        <v>239</v>
      </c>
      <c r="L64" s="27">
        <f t="shared" si="63"/>
        <v>308891</v>
      </c>
      <c r="M64" s="16">
        <f t="shared" si="63"/>
        <v>9732</v>
      </c>
      <c r="N64" s="27">
        <f t="shared" si="45"/>
        <v>302006</v>
      </c>
      <c r="O64" s="16">
        <f t="shared" si="45"/>
        <v>9729</v>
      </c>
      <c r="P64" s="8">
        <f t="shared" si="45"/>
        <v>292277</v>
      </c>
      <c r="Q64" s="9">
        <f t="shared" si="45"/>
        <v>18448</v>
      </c>
      <c r="R64" s="27">
        <f t="shared" si="49"/>
        <v>273829</v>
      </c>
      <c r="S64" s="16">
        <f t="shared" si="49"/>
        <v>20879</v>
      </c>
      <c r="T64" s="27">
        <f t="shared" si="59"/>
        <v>252950</v>
      </c>
      <c r="U64" s="16">
        <f t="shared" si="59"/>
        <v>20324</v>
      </c>
      <c r="V64" s="27">
        <f t="shared" si="60"/>
        <v>232626</v>
      </c>
      <c r="W64" s="16">
        <f t="shared" si="60"/>
        <v>19793</v>
      </c>
      <c r="X64" s="27">
        <f t="shared" si="60"/>
        <v>212833</v>
      </c>
      <c r="Y64" s="16">
        <f t="shared" si="60"/>
        <v>19217</v>
      </c>
      <c r="Z64" s="8">
        <f aca="true" t="shared" si="64" ref="Z64:AO64">Z20+Z42</f>
        <v>193616</v>
      </c>
      <c r="AA64" s="9">
        <f t="shared" si="64"/>
        <v>18664</v>
      </c>
      <c r="AB64" s="8">
        <f t="shared" si="64"/>
        <v>174952</v>
      </c>
      <c r="AC64" s="9">
        <f t="shared" si="64"/>
        <v>18110</v>
      </c>
      <c r="AD64" s="8">
        <f t="shared" si="64"/>
        <v>156842</v>
      </c>
      <c r="AE64" s="9">
        <f t="shared" si="64"/>
        <v>17573</v>
      </c>
      <c r="AF64" s="8">
        <f t="shared" si="64"/>
        <v>139269</v>
      </c>
      <c r="AG64" s="9">
        <f t="shared" si="64"/>
        <v>17003</v>
      </c>
      <c r="AH64" s="8">
        <f t="shared" si="64"/>
        <v>122266</v>
      </c>
      <c r="AI64" s="9">
        <f t="shared" si="64"/>
        <v>16450</v>
      </c>
      <c r="AJ64" s="8">
        <f t="shared" si="64"/>
        <v>105816</v>
      </c>
      <c r="AK64" s="9">
        <f t="shared" si="64"/>
        <v>15895</v>
      </c>
      <c r="AL64" s="8">
        <f t="shared" si="64"/>
        <v>89921</v>
      </c>
      <c r="AM64" s="9">
        <f t="shared" si="64"/>
        <v>15353</v>
      </c>
      <c r="AN64" s="8">
        <f t="shared" si="64"/>
        <v>74568</v>
      </c>
      <c r="AO64" s="9">
        <f t="shared" si="64"/>
        <v>14788</v>
      </c>
      <c r="AP64" s="8">
        <f aca="true" t="shared" si="65" ref="AP64:AY64">AP20+AP42</f>
        <v>59780</v>
      </c>
      <c r="AQ64" s="9">
        <f t="shared" si="65"/>
        <v>14236</v>
      </c>
      <c r="AR64" s="8">
        <f t="shared" si="65"/>
        <v>45544</v>
      </c>
      <c r="AS64" s="9">
        <f t="shared" si="65"/>
        <v>13681</v>
      </c>
      <c r="AT64" s="8">
        <f t="shared" si="65"/>
        <v>31863</v>
      </c>
      <c r="AU64" s="9">
        <f t="shared" si="65"/>
        <v>13132</v>
      </c>
      <c r="AV64" s="8">
        <f t="shared" si="65"/>
        <v>18731</v>
      </c>
      <c r="AW64" s="9">
        <f t="shared" si="65"/>
        <v>12574</v>
      </c>
      <c r="AX64" s="8">
        <f t="shared" si="65"/>
        <v>6157</v>
      </c>
      <c r="AY64" s="9">
        <f t="shared" si="65"/>
        <v>6157</v>
      </c>
    </row>
    <row r="65" spans="1:51" ht="12.75">
      <c r="A65" s="15" t="s">
        <v>215</v>
      </c>
      <c r="B65" s="8"/>
      <c r="C65" s="16"/>
      <c r="D65" s="8"/>
      <c r="E65" s="16"/>
      <c r="F65" s="8"/>
      <c r="G65" s="16"/>
      <c r="H65" s="8"/>
      <c r="I65" s="16"/>
      <c r="J65" s="27">
        <f t="shared" si="63"/>
        <v>0</v>
      </c>
      <c r="K65" s="16">
        <f t="shared" si="63"/>
        <v>299</v>
      </c>
      <c r="L65" s="27">
        <f t="shared" si="63"/>
        <v>357686</v>
      </c>
      <c r="M65" s="16">
        <f t="shared" si="63"/>
        <v>11952</v>
      </c>
      <c r="N65" s="27">
        <f t="shared" si="45"/>
        <v>345734</v>
      </c>
      <c r="O65" s="16">
        <f t="shared" si="45"/>
        <v>11920</v>
      </c>
      <c r="P65" s="8">
        <f t="shared" si="45"/>
        <v>333814</v>
      </c>
      <c r="Q65" s="9">
        <f t="shared" si="45"/>
        <v>21554</v>
      </c>
      <c r="R65" s="27">
        <f t="shared" si="49"/>
        <v>312260</v>
      </c>
      <c r="S65" s="16">
        <f t="shared" si="49"/>
        <v>24181</v>
      </c>
      <c r="T65" s="27">
        <f t="shared" si="59"/>
        <v>288079</v>
      </c>
      <c r="U65" s="16">
        <f t="shared" si="59"/>
        <v>23502</v>
      </c>
      <c r="V65" s="27">
        <f t="shared" si="60"/>
        <v>264577</v>
      </c>
      <c r="W65" s="16">
        <f t="shared" si="60"/>
        <v>22850</v>
      </c>
      <c r="X65" s="27">
        <f t="shared" si="60"/>
        <v>241727</v>
      </c>
      <c r="Y65" s="16">
        <f t="shared" si="60"/>
        <v>22143</v>
      </c>
      <c r="Z65" s="8">
        <f aca="true" t="shared" si="66" ref="Z65:AO65">Z21+Z43</f>
        <v>219584</v>
      </c>
      <c r="AA65" s="9">
        <f t="shared" si="66"/>
        <v>21464</v>
      </c>
      <c r="AB65" s="8">
        <f t="shared" si="66"/>
        <v>198120</v>
      </c>
      <c r="AC65" s="9">
        <f t="shared" si="66"/>
        <v>20785</v>
      </c>
      <c r="AD65" s="8">
        <f t="shared" si="66"/>
        <v>177335</v>
      </c>
      <c r="AE65" s="9">
        <f t="shared" si="66"/>
        <v>20125</v>
      </c>
      <c r="AF65" s="8">
        <f t="shared" si="66"/>
        <v>157210</v>
      </c>
      <c r="AG65" s="9">
        <f t="shared" si="66"/>
        <v>19426</v>
      </c>
      <c r="AH65" s="8">
        <f t="shared" si="66"/>
        <v>137784</v>
      </c>
      <c r="AI65" s="9">
        <f t="shared" si="66"/>
        <v>18747</v>
      </c>
      <c r="AJ65" s="8">
        <f t="shared" si="66"/>
        <v>119037</v>
      </c>
      <c r="AK65" s="9">
        <f t="shared" si="66"/>
        <v>18067</v>
      </c>
      <c r="AL65" s="8">
        <f t="shared" si="66"/>
        <v>100970</v>
      </c>
      <c r="AM65" s="9">
        <f t="shared" si="66"/>
        <v>17400</v>
      </c>
      <c r="AN65" s="8">
        <f t="shared" si="66"/>
        <v>83570</v>
      </c>
      <c r="AO65" s="9">
        <f t="shared" si="66"/>
        <v>16709</v>
      </c>
      <c r="AP65" s="8">
        <f aca="true" t="shared" si="67" ref="AP65:AY65">AP21+AP43</f>
        <v>66861</v>
      </c>
      <c r="AQ65" s="9">
        <f t="shared" si="67"/>
        <v>16029</v>
      </c>
      <c r="AR65" s="8">
        <f t="shared" si="67"/>
        <v>50832</v>
      </c>
      <c r="AS65" s="9">
        <f t="shared" si="67"/>
        <v>15350</v>
      </c>
      <c r="AT65" s="8">
        <f t="shared" si="67"/>
        <v>35482</v>
      </c>
      <c r="AU65" s="9">
        <f t="shared" si="67"/>
        <v>14675</v>
      </c>
      <c r="AV65" s="8">
        <f t="shared" si="67"/>
        <v>20807</v>
      </c>
      <c r="AW65" s="9">
        <f t="shared" si="67"/>
        <v>13991</v>
      </c>
      <c r="AX65" s="8">
        <f t="shared" si="67"/>
        <v>6816</v>
      </c>
      <c r="AY65" s="9">
        <f t="shared" si="67"/>
        <v>6816</v>
      </c>
    </row>
    <row r="66" spans="1:51" ht="12.75">
      <c r="A66" s="15" t="s">
        <v>248</v>
      </c>
      <c r="B66" s="8"/>
      <c r="C66" s="16"/>
      <c r="D66" s="8"/>
      <c r="E66" s="16"/>
      <c r="F66" s="8"/>
      <c r="G66" s="16"/>
      <c r="H66" s="8"/>
      <c r="I66" s="16"/>
      <c r="J66" s="27">
        <f t="shared" si="63"/>
        <v>0</v>
      </c>
      <c r="K66" s="16">
        <f t="shared" si="63"/>
        <v>10</v>
      </c>
      <c r="L66" s="27">
        <f t="shared" si="63"/>
        <v>13965</v>
      </c>
      <c r="M66" s="16">
        <f t="shared" si="63"/>
        <v>480</v>
      </c>
      <c r="N66" s="27">
        <f t="shared" si="45"/>
        <v>15307</v>
      </c>
      <c r="O66" s="16">
        <f t="shared" si="45"/>
        <v>493</v>
      </c>
      <c r="P66" s="8">
        <f t="shared" si="45"/>
        <v>14814</v>
      </c>
      <c r="Q66" s="9">
        <f t="shared" si="45"/>
        <v>935</v>
      </c>
      <c r="R66" s="27">
        <f t="shared" si="49"/>
        <v>13879</v>
      </c>
      <c r="S66" s="16">
        <f t="shared" si="49"/>
        <v>1058</v>
      </c>
      <c r="T66" s="27">
        <f t="shared" si="59"/>
        <v>12821</v>
      </c>
      <c r="U66" s="16">
        <f t="shared" si="59"/>
        <v>1030</v>
      </c>
      <c r="V66" s="27">
        <f t="shared" si="60"/>
        <v>11791</v>
      </c>
      <c r="W66" s="16">
        <f t="shared" si="60"/>
        <v>1003</v>
      </c>
      <c r="X66" s="27">
        <f t="shared" si="60"/>
        <v>10788</v>
      </c>
      <c r="Y66" s="16">
        <f t="shared" si="60"/>
        <v>974</v>
      </c>
      <c r="Z66" s="8">
        <f aca="true" t="shared" si="68" ref="Z66:AO66">Z22+Z44</f>
        <v>9814</v>
      </c>
      <c r="AA66" s="9">
        <f t="shared" si="68"/>
        <v>946</v>
      </c>
      <c r="AB66" s="8">
        <f t="shared" si="68"/>
        <v>8868</v>
      </c>
      <c r="AC66" s="9">
        <f t="shared" si="68"/>
        <v>918</v>
      </c>
      <c r="AD66" s="8">
        <f t="shared" si="68"/>
        <v>7950</v>
      </c>
      <c r="AE66" s="9">
        <f t="shared" si="68"/>
        <v>891</v>
      </c>
      <c r="AF66" s="8">
        <f t="shared" si="68"/>
        <v>7059</v>
      </c>
      <c r="AG66" s="9">
        <f t="shared" si="68"/>
        <v>862</v>
      </c>
      <c r="AH66" s="8">
        <f t="shared" si="68"/>
        <v>6197</v>
      </c>
      <c r="AI66" s="9">
        <f t="shared" si="68"/>
        <v>834</v>
      </c>
      <c r="AJ66" s="8">
        <f t="shared" si="68"/>
        <v>5363</v>
      </c>
      <c r="AK66" s="9">
        <f t="shared" si="68"/>
        <v>806</v>
      </c>
      <c r="AL66" s="8">
        <f t="shared" si="68"/>
        <v>4557</v>
      </c>
      <c r="AM66" s="9">
        <f t="shared" si="68"/>
        <v>778</v>
      </c>
      <c r="AN66" s="8">
        <f t="shared" si="68"/>
        <v>3779</v>
      </c>
      <c r="AO66" s="9">
        <f t="shared" si="68"/>
        <v>750</v>
      </c>
      <c r="AP66" s="8">
        <f aca="true" t="shared" si="69" ref="AP66:AY66">AP22+AP44</f>
        <v>3029</v>
      </c>
      <c r="AQ66" s="9">
        <f t="shared" si="69"/>
        <v>721</v>
      </c>
      <c r="AR66" s="8">
        <f t="shared" si="69"/>
        <v>2308</v>
      </c>
      <c r="AS66" s="9">
        <f t="shared" si="69"/>
        <v>693</v>
      </c>
      <c r="AT66" s="8">
        <f t="shared" si="69"/>
        <v>1615</v>
      </c>
      <c r="AU66" s="9">
        <f t="shared" si="69"/>
        <v>666</v>
      </c>
      <c r="AV66" s="8">
        <f t="shared" si="69"/>
        <v>949</v>
      </c>
      <c r="AW66" s="9">
        <f t="shared" si="69"/>
        <v>637</v>
      </c>
      <c r="AX66" s="8">
        <f t="shared" si="69"/>
        <v>312</v>
      </c>
      <c r="AY66" s="9">
        <f t="shared" si="69"/>
        <v>312</v>
      </c>
    </row>
    <row r="67" spans="1:51" ht="13.5" thickBot="1">
      <c r="A67" s="15" t="s">
        <v>249</v>
      </c>
      <c r="B67" s="398"/>
      <c r="C67" s="17"/>
      <c r="D67" s="398"/>
      <c r="E67" s="17"/>
      <c r="F67" s="398"/>
      <c r="G67" s="17"/>
      <c r="H67" s="398"/>
      <c r="I67" s="17"/>
      <c r="J67" s="27">
        <f t="shared" si="63"/>
        <v>0</v>
      </c>
      <c r="K67" s="16">
        <f t="shared" si="63"/>
        <v>11</v>
      </c>
      <c r="L67" s="27">
        <f t="shared" si="63"/>
        <v>15047</v>
      </c>
      <c r="M67" s="16">
        <f t="shared" si="63"/>
        <v>512</v>
      </c>
      <c r="N67" s="27">
        <f t="shared" si="45"/>
        <v>16279</v>
      </c>
      <c r="O67" s="16">
        <f t="shared" si="45"/>
        <v>524</v>
      </c>
      <c r="P67" s="8">
        <f t="shared" si="45"/>
        <v>15755</v>
      </c>
      <c r="Q67" s="9">
        <f t="shared" si="45"/>
        <v>995</v>
      </c>
      <c r="R67" s="27">
        <f t="shared" si="49"/>
        <v>14760</v>
      </c>
      <c r="S67" s="16">
        <f t="shared" si="49"/>
        <v>1125</v>
      </c>
      <c r="T67" s="27">
        <f t="shared" si="59"/>
        <v>13635</v>
      </c>
      <c r="U67" s="16">
        <f t="shared" si="59"/>
        <v>1095</v>
      </c>
      <c r="V67" s="27">
        <f t="shared" si="60"/>
        <v>12540</v>
      </c>
      <c r="W67" s="16">
        <f t="shared" si="60"/>
        <v>1067</v>
      </c>
      <c r="X67" s="27">
        <f t="shared" si="60"/>
        <v>11473</v>
      </c>
      <c r="Y67" s="16">
        <f t="shared" si="60"/>
        <v>1036</v>
      </c>
      <c r="Z67" s="8">
        <f aca="true" t="shared" si="70" ref="Z67:AY67">Z23+Z45</f>
        <v>10437</v>
      </c>
      <c r="AA67" s="9">
        <f t="shared" si="70"/>
        <v>1006</v>
      </c>
      <c r="AB67" s="8">
        <f t="shared" si="70"/>
        <v>9431</v>
      </c>
      <c r="AC67" s="9">
        <f t="shared" si="70"/>
        <v>976</v>
      </c>
      <c r="AD67" s="8">
        <f t="shared" si="70"/>
        <v>8455</v>
      </c>
      <c r="AE67" s="9">
        <f t="shared" si="70"/>
        <v>947</v>
      </c>
      <c r="AF67" s="8">
        <f t="shared" si="70"/>
        <v>7508</v>
      </c>
      <c r="AG67" s="9">
        <f t="shared" si="70"/>
        <v>916</v>
      </c>
      <c r="AH67" s="8">
        <f t="shared" si="70"/>
        <v>6592</v>
      </c>
      <c r="AI67" s="9">
        <f t="shared" si="70"/>
        <v>887</v>
      </c>
      <c r="AJ67" s="8">
        <f t="shared" si="70"/>
        <v>5705</v>
      </c>
      <c r="AK67" s="9">
        <f t="shared" si="70"/>
        <v>857</v>
      </c>
      <c r="AL67" s="8">
        <f t="shared" si="70"/>
        <v>4848</v>
      </c>
      <c r="AM67" s="9">
        <f t="shared" si="70"/>
        <v>827</v>
      </c>
      <c r="AN67" s="8">
        <f t="shared" si="70"/>
        <v>4021</v>
      </c>
      <c r="AO67" s="9">
        <f t="shared" si="70"/>
        <v>797</v>
      </c>
      <c r="AP67" s="8">
        <f t="shared" si="70"/>
        <v>3224</v>
      </c>
      <c r="AQ67" s="9">
        <f t="shared" si="70"/>
        <v>767</v>
      </c>
      <c r="AR67" s="8">
        <f t="shared" si="70"/>
        <v>2457</v>
      </c>
      <c r="AS67" s="9">
        <f t="shared" si="70"/>
        <v>737</v>
      </c>
      <c r="AT67" s="8">
        <f t="shared" si="70"/>
        <v>1720</v>
      </c>
      <c r="AU67" s="9">
        <f t="shared" si="70"/>
        <v>708</v>
      </c>
      <c r="AV67" s="8">
        <f t="shared" si="70"/>
        <v>1012</v>
      </c>
      <c r="AW67" s="9">
        <f t="shared" si="70"/>
        <v>678</v>
      </c>
      <c r="AX67" s="8">
        <f t="shared" si="70"/>
        <v>334</v>
      </c>
      <c r="AY67" s="9">
        <f t="shared" si="70"/>
        <v>334</v>
      </c>
    </row>
    <row r="68" spans="1:51" ht="13.5" thickTop="1">
      <c r="A68" s="15" t="s">
        <v>250</v>
      </c>
      <c r="B68" s="8"/>
      <c r="C68" s="16"/>
      <c r="D68" s="8"/>
      <c r="E68" s="16"/>
      <c r="F68" s="8"/>
      <c r="G68" s="16"/>
      <c r="H68" s="8"/>
      <c r="I68" s="16"/>
      <c r="J68" s="27">
        <f t="shared" si="63"/>
        <v>0</v>
      </c>
      <c r="K68" s="16">
        <f t="shared" si="63"/>
        <v>0</v>
      </c>
      <c r="L68" s="27">
        <f>L24+L46</f>
        <v>0</v>
      </c>
      <c r="M68" s="16">
        <f t="shared" si="63"/>
        <v>10231</v>
      </c>
      <c r="N68" s="27">
        <f t="shared" si="45"/>
        <v>687402</v>
      </c>
      <c r="O68" s="16">
        <f t="shared" si="45"/>
        <v>24102</v>
      </c>
      <c r="P68" s="8">
        <f t="shared" si="45"/>
        <v>663300</v>
      </c>
      <c r="Q68" s="9">
        <f t="shared" si="45"/>
        <v>34123</v>
      </c>
      <c r="R68" s="27">
        <f t="shared" si="49"/>
        <v>629177</v>
      </c>
      <c r="S68" s="16">
        <f t="shared" si="49"/>
        <v>63112</v>
      </c>
      <c r="T68" s="27">
        <f t="shared" si="59"/>
        <v>566065</v>
      </c>
      <c r="U68" s="16">
        <f t="shared" si="59"/>
        <v>61204</v>
      </c>
      <c r="V68" s="27">
        <f t="shared" si="60"/>
        <v>504861</v>
      </c>
      <c r="W68" s="16">
        <f t="shared" si="60"/>
        <v>59348</v>
      </c>
      <c r="X68" s="27">
        <f t="shared" si="60"/>
        <v>445513</v>
      </c>
      <c r="Y68" s="16">
        <f t="shared" si="60"/>
        <v>57387</v>
      </c>
      <c r="Z68" s="8">
        <f aca="true" t="shared" si="71" ref="Z68:AO68">Z24+Z46</f>
        <v>388126</v>
      </c>
      <c r="AA68" s="9">
        <f t="shared" si="71"/>
        <v>55479</v>
      </c>
      <c r="AB68" s="8">
        <f t="shared" si="71"/>
        <v>332647</v>
      </c>
      <c r="AC68" s="9">
        <f t="shared" si="71"/>
        <v>53570</v>
      </c>
      <c r="AD68" s="8">
        <f t="shared" si="71"/>
        <v>279077</v>
      </c>
      <c r="AE68" s="9">
        <f t="shared" si="71"/>
        <v>51693</v>
      </c>
      <c r="AF68" s="8">
        <f t="shared" si="71"/>
        <v>227384</v>
      </c>
      <c r="AG68" s="9">
        <f t="shared" si="71"/>
        <v>49753</v>
      </c>
      <c r="AH68" s="8">
        <f t="shared" si="71"/>
        <v>177631</v>
      </c>
      <c r="AI68" s="9">
        <f t="shared" si="71"/>
        <v>47515</v>
      </c>
      <c r="AJ68" s="8">
        <f t="shared" si="71"/>
        <v>130116</v>
      </c>
      <c r="AK68" s="9">
        <f t="shared" si="71"/>
        <v>45277</v>
      </c>
      <c r="AL68" s="8">
        <f t="shared" si="71"/>
        <v>84839</v>
      </c>
      <c r="AM68" s="9">
        <f t="shared" si="71"/>
        <v>43379</v>
      </c>
      <c r="AN68" s="8">
        <f t="shared" si="71"/>
        <v>41460</v>
      </c>
      <c r="AO68" s="9">
        <f t="shared" si="71"/>
        <v>41460</v>
      </c>
      <c r="AP68" s="13" t="s">
        <v>35</v>
      </c>
      <c r="AQ68" s="24" t="s">
        <v>35</v>
      </c>
      <c r="AR68" s="13" t="s">
        <v>35</v>
      </c>
      <c r="AS68" s="14" t="s">
        <v>35</v>
      </c>
      <c r="AT68" s="13" t="s">
        <v>35</v>
      </c>
      <c r="AU68" s="14" t="s">
        <v>35</v>
      </c>
      <c r="AV68" s="13" t="s">
        <v>35</v>
      </c>
      <c r="AW68" s="14" t="s">
        <v>35</v>
      </c>
      <c r="AX68" s="13" t="s">
        <v>35</v>
      </c>
      <c r="AY68" s="14" t="s">
        <v>35</v>
      </c>
    </row>
    <row r="69" spans="1:51" ht="13.5" thickBot="1">
      <c r="A69" s="15" t="s">
        <v>246</v>
      </c>
      <c r="B69" s="8"/>
      <c r="C69" s="16"/>
      <c r="D69" s="8"/>
      <c r="E69" s="16"/>
      <c r="F69" s="8"/>
      <c r="G69" s="16"/>
      <c r="H69" s="8"/>
      <c r="I69" s="16"/>
      <c r="J69" s="400">
        <f t="shared" si="63"/>
        <v>0</v>
      </c>
      <c r="K69" s="17">
        <f t="shared" si="63"/>
        <v>0</v>
      </c>
      <c r="L69" s="400">
        <f t="shared" si="63"/>
        <v>0</v>
      </c>
      <c r="M69" s="17">
        <f t="shared" si="63"/>
        <v>0</v>
      </c>
      <c r="N69" s="400">
        <f t="shared" si="45"/>
        <v>0</v>
      </c>
      <c r="O69" s="17">
        <f t="shared" si="45"/>
        <v>0</v>
      </c>
      <c r="P69" s="398">
        <f t="shared" si="45"/>
        <v>0</v>
      </c>
      <c r="Q69" s="399">
        <f t="shared" si="45"/>
        <v>0</v>
      </c>
      <c r="R69" s="400">
        <f t="shared" si="49"/>
        <v>0</v>
      </c>
      <c r="S69" s="17">
        <f t="shared" si="49"/>
        <v>0</v>
      </c>
      <c r="T69" s="400">
        <f t="shared" si="59"/>
        <v>0</v>
      </c>
      <c r="U69" s="17">
        <f t="shared" si="59"/>
        <v>0</v>
      </c>
      <c r="V69" s="400">
        <f t="shared" si="60"/>
        <v>0</v>
      </c>
      <c r="W69" s="17">
        <f t="shared" si="60"/>
        <v>0</v>
      </c>
      <c r="X69" s="400">
        <f t="shared" si="60"/>
        <v>0</v>
      </c>
      <c r="Y69" s="17">
        <f t="shared" si="60"/>
        <v>0</v>
      </c>
      <c r="Z69" s="398">
        <f aca="true" t="shared" si="72" ref="Z69:AQ69">Z25+Z47</f>
        <v>0</v>
      </c>
      <c r="AA69" s="399">
        <f t="shared" si="72"/>
        <v>0</v>
      </c>
      <c r="AB69" s="398">
        <f t="shared" si="72"/>
        <v>0</v>
      </c>
      <c r="AC69" s="399">
        <f t="shared" si="72"/>
        <v>0</v>
      </c>
      <c r="AD69" s="398">
        <f t="shared" si="72"/>
        <v>0</v>
      </c>
      <c r="AE69" s="399">
        <f t="shared" si="72"/>
        <v>0</v>
      </c>
      <c r="AF69" s="398">
        <f t="shared" si="72"/>
        <v>0</v>
      </c>
      <c r="AG69" s="399">
        <f t="shared" si="72"/>
        <v>0</v>
      </c>
      <c r="AH69" s="398">
        <f t="shared" si="72"/>
        <v>0</v>
      </c>
      <c r="AI69" s="399">
        <f t="shared" si="72"/>
        <v>0</v>
      </c>
      <c r="AJ69" s="398">
        <f t="shared" si="72"/>
        <v>0</v>
      </c>
      <c r="AK69" s="399">
        <f t="shared" si="72"/>
        <v>0</v>
      </c>
      <c r="AL69" s="398">
        <f t="shared" si="72"/>
        <v>0</v>
      </c>
      <c r="AM69" s="399">
        <f t="shared" si="72"/>
        <v>0</v>
      </c>
      <c r="AN69" s="398">
        <f t="shared" si="72"/>
        <v>0</v>
      </c>
      <c r="AO69" s="399">
        <f t="shared" si="72"/>
        <v>0</v>
      </c>
      <c r="AP69" s="398">
        <f t="shared" si="72"/>
        <v>0</v>
      </c>
      <c r="AQ69" s="399">
        <f t="shared" si="72"/>
        <v>0</v>
      </c>
      <c r="AR69" s="398">
        <f aca="true" t="shared" si="73" ref="AR69:AY69">AR25+AR47</f>
        <v>0</v>
      </c>
      <c r="AS69" s="399">
        <f t="shared" si="73"/>
        <v>0</v>
      </c>
      <c r="AT69" s="398">
        <f t="shared" si="73"/>
        <v>0</v>
      </c>
      <c r="AU69" s="399">
        <f t="shared" si="73"/>
        <v>0</v>
      </c>
      <c r="AV69" s="398">
        <f t="shared" si="73"/>
        <v>0</v>
      </c>
      <c r="AW69" s="399">
        <f t="shared" si="73"/>
        <v>0</v>
      </c>
      <c r="AX69" s="398">
        <f t="shared" si="73"/>
        <v>0</v>
      </c>
      <c r="AY69" s="399">
        <f t="shared" si="73"/>
        <v>0</v>
      </c>
    </row>
    <row r="70" spans="1:51" ht="13.5" thickTop="1">
      <c r="A70" s="10" t="s">
        <v>39</v>
      </c>
      <c r="B70" s="11">
        <f>SUM(B49:B62)</f>
        <v>1490964</v>
      </c>
      <c r="C70" s="2">
        <f>SUM(C49:C62)</f>
        <v>343356</v>
      </c>
      <c r="D70" s="11">
        <f>D26+D48</f>
        <v>2351935</v>
      </c>
      <c r="E70" s="2">
        <f>SUM(E49:E62)</f>
        <v>295594</v>
      </c>
      <c r="F70" s="29">
        <f>SUM(F49:F62)</f>
        <v>3227250</v>
      </c>
      <c r="G70" s="2">
        <f>SUM(G49:G62)</f>
        <v>506429</v>
      </c>
      <c r="H70" s="29">
        <f>SUM(H49:H62)</f>
        <v>3921361</v>
      </c>
      <c r="I70" s="2">
        <f>SUM(I49:I62)</f>
        <v>489346</v>
      </c>
      <c r="J70" s="29">
        <f>SUM(J49:J68)</f>
        <v>3934366</v>
      </c>
      <c r="K70" s="2">
        <f>SUM(K49:K68)</f>
        <v>538569</v>
      </c>
      <c r="L70" s="29">
        <f aca="true" t="shared" si="74" ref="L70:AY70">SUM(L49:L68)</f>
        <v>5129266</v>
      </c>
      <c r="M70" s="2">
        <f t="shared" si="74"/>
        <v>611512</v>
      </c>
      <c r="N70" s="29">
        <f t="shared" si="74"/>
        <v>5362746</v>
      </c>
      <c r="O70" s="2">
        <f t="shared" si="74"/>
        <v>608877</v>
      </c>
      <c r="P70" s="29">
        <f t="shared" si="74"/>
        <v>4753869</v>
      </c>
      <c r="Q70" s="2">
        <f t="shared" si="74"/>
        <v>640616</v>
      </c>
      <c r="R70" s="29">
        <f t="shared" si="74"/>
        <v>4113253</v>
      </c>
      <c r="S70" s="2">
        <f t="shared" si="74"/>
        <v>619583</v>
      </c>
      <c r="T70" s="29">
        <f t="shared" si="74"/>
        <v>3493670</v>
      </c>
      <c r="U70" s="2">
        <f t="shared" si="74"/>
        <v>513105</v>
      </c>
      <c r="V70" s="29">
        <f t="shared" si="74"/>
        <v>2980565</v>
      </c>
      <c r="W70" s="2">
        <f t="shared" si="74"/>
        <v>483993</v>
      </c>
      <c r="X70" s="29">
        <f t="shared" si="74"/>
        <v>2496572</v>
      </c>
      <c r="Y70" s="2">
        <f t="shared" si="74"/>
        <v>398832</v>
      </c>
      <c r="Z70" s="29">
        <f t="shared" si="74"/>
        <v>2097740</v>
      </c>
      <c r="AA70" s="2">
        <f t="shared" si="74"/>
        <v>291837</v>
      </c>
      <c r="AB70" s="29">
        <f t="shared" si="74"/>
        <v>1805903</v>
      </c>
      <c r="AC70" s="2">
        <f t="shared" si="74"/>
        <v>242778</v>
      </c>
      <c r="AD70" s="29">
        <f t="shared" si="74"/>
        <v>1563125</v>
      </c>
      <c r="AE70" s="2">
        <f t="shared" si="74"/>
        <v>235025</v>
      </c>
      <c r="AF70" s="29">
        <f t="shared" si="74"/>
        <v>1328100</v>
      </c>
      <c r="AG70" s="2">
        <f t="shared" si="74"/>
        <v>226938</v>
      </c>
      <c r="AH70" s="29">
        <f t="shared" si="74"/>
        <v>1101162</v>
      </c>
      <c r="AI70" s="2">
        <f t="shared" si="74"/>
        <v>218690</v>
      </c>
      <c r="AJ70" s="29">
        <f t="shared" si="74"/>
        <v>882472</v>
      </c>
      <c r="AK70" s="2">
        <f t="shared" si="74"/>
        <v>210439</v>
      </c>
      <c r="AL70" s="29">
        <f t="shared" si="74"/>
        <v>672033</v>
      </c>
      <c r="AM70" s="2">
        <f t="shared" si="74"/>
        <v>202601</v>
      </c>
      <c r="AN70" s="29">
        <f t="shared" si="74"/>
        <v>469432</v>
      </c>
      <c r="AO70" s="2">
        <f t="shared" si="74"/>
        <v>153031</v>
      </c>
      <c r="AP70" s="29">
        <f t="shared" si="74"/>
        <v>316401</v>
      </c>
      <c r="AQ70" s="2">
        <f t="shared" si="74"/>
        <v>93373</v>
      </c>
      <c r="AR70" s="29">
        <f t="shared" si="74"/>
        <v>223028</v>
      </c>
      <c r="AS70" s="2">
        <f t="shared" si="74"/>
        <v>81100</v>
      </c>
      <c r="AT70" s="29">
        <f t="shared" si="74"/>
        <v>141928</v>
      </c>
      <c r="AU70" s="2">
        <f t="shared" si="74"/>
        <v>77374</v>
      </c>
      <c r="AV70" s="29">
        <f t="shared" si="74"/>
        <v>64554</v>
      </c>
      <c r="AW70" s="2">
        <f t="shared" si="74"/>
        <v>50935</v>
      </c>
      <c r="AX70" s="29">
        <f t="shared" si="74"/>
        <v>13619</v>
      </c>
      <c r="AY70" s="2">
        <f t="shared" si="74"/>
        <v>13619</v>
      </c>
    </row>
    <row r="71" ht="12.75"/>
    <row r="72" ht="15.75">
      <c r="A72" s="463" t="s">
        <v>245</v>
      </c>
    </row>
    <row r="73" spans="1:51" ht="12.75">
      <c r="A73" s="3" t="s">
        <v>22</v>
      </c>
      <c r="B73" s="481" t="s">
        <v>69</v>
      </c>
      <c r="C73" s="479"/>
      <c r="D73" s="478" t="s">
        <v>23</v>
      </c>
      <c r="E73" s="479"/>
      <c r="F73" s="478" t="s">
        <v>24</v>
      </c>
      <c r="G73" s="479"/>
      <c r="H73" s="478" t="s">
        <v>25</v>
      </c>
      <c r="I73" s="481"/>
      <c r="J73" s="478" t="s">
        <v>26</v>
      </c>
      <c r="K73" s="479"/>
      <c r="L73" s="475" t="s">
        <v>27</v>
      </c>
      <c r="M73" s="476"/>
      <c r="N73" s="480" t="s">
        <v>28</v>
      </c>
      <c r="O73" s="480"/>
      <c r="P73" s="477" t="s">
        <v>29</v>
      </c>
      <c r="Q73" s="477"/>
      <c r="R73" s="478" t="s">
        <v>30</v>
      </c>
      <c r="S73" s="479"/>
      <c r="T73" s="475" t="s">
        <v>31</v>
      </c>
      <c r="U73" s="482"/>
      <c r="V73" s="475" t="s">
        <v>44</v>
      </c>
      <c r="W73" s="476"/>
      <c r="X73" s="475" t="s">
        <v>45</v>
      </c>
      <c r="Y73" s="476"/>
      <c r="Z73" s="475" t="s">
        <v>46</v>
      </c>
      <c r="AA73" s="476"/>
      <c r="AB73" s="475" t="s">
        <v>47</v>
      </c>
      <c r="AC73" s="476"/>
      <c r="AD73" s="475" t="s">
        <v>48</v>
      </c>
      <c r="AE73" s="476"/>
      <c r="AF73" s="475" t="s">
        <v>49</v>
      </c>
      <c r="AG73" s="476"/>
      <c r="AH73" s="475" t="s">
        <v>50</v>
      </c>
      <c r="AI73" s="476"/>
      <c r="AJ73" s="475" t="s">
        <v>51</v>
      </c>
      <c r="AK73" s="476"/>
      <c r="AL73" s="475" t="s">
        <v>52</v>
      </c>
      <c r="AM73" s="476"/>
      <c r="AN73" s="475" t="s">
        <v>53</v>
      </c>
      <c r="AO73" s="476"/>
      <c r="AP73" s="475" t="s">
        <v>54</v>
      </c>
      <c r="AQ73" s="476"/>
      <c r="AR73" s="475" t="s">
        <v>139</v>
      </c>
      <c r="AS73" s="476"/>
      <c r="AT73" s="475" t="s">
        <v>140</v>
      </c>
      <c r="AU73" s="476"/>
      <c r="AV73" s="475" t="s">
        <v>141</v>
      </c>
      <c r="AW73" s="476"/>
      <c r="AX73" s="475" t="s">
        <v>185</v>
      </c>
      <c r="AY73" s="476"/>
    </row>
    <row r="74" spans="1:51" ht="12.75">
      <c r="A74" s="5"/>
      <c r="B74" s="33" t="s">
        <v>32</v>
      </c>
      <c r="C74" s="21" t="s">
        <v>33</v>
      </c>
      <c r="D74" s="6" t="s">
        <v>32</v>
      </c>
      <c r="E74" s="21" t="s">
        <v>33</v>
      </c>
      <c r="F74" s="6" t="s">
        <v>32</v>
      </c>
      <c r="G74" s="21" t="s">
        <v>33</v>
      </c>
      <c r="H74" s="6" t="s">
        <v>32</v>
      </c>
      <c r="I74" s="421" t="s">
        <v>33</v>
      </c>
      <c r="J74" s="6" t="s">
        <v>32</v>
      </c>
      <c r="K74" s="21" t="s">
        <v>33</v>
      </c>
      <c r="L74" s="6" t="s">
        <v>32</v>
      </c>
      <c r="M74" s="21" t="s">
        <v>33</v>
      </c>
      <c r="N74" s="46" t="s">
        <v>32</v>
      </c>
      <c r="O74" s="21" t="s">
        <v>33</v>
      </c>
      <c r="P74" s="6" t="s">
        <v>32</v>
      </c>
      <c r="Q74" s="49" t="s">
        <v>33</v>
      </c>
      <c r="R74" s="6" t="s">
        <v>32</v>
      </c>
      <c r="S74" s="21" t="s">
        <v>33</v>
      </c>
      <c r="T74" s="6" t="s">
        <v>32</v>
      </c>
      <c r="U74" s="421" t="s">
        <v>33</v>
      </c>
      <c r="V74" s="6" t="s">
        <v>32</v>
      </c>
      <c r="W74" s="21" t="s">
        <v>33</v>
      </c>
      <c r="X74" s="32" t="s">
        <v>32</v>
      </c>
      <c r="Y74" s="34" t="s">
        <v>33</v>
      </c>
      <c r="Z74" s="32" t="s">
        <v>32</v>
      </c>
      <c r="AA74" s="34" t="s">
        <v>33</v>
      </c>
      <c r="AB74" s="32" t="s">
        <v>32</v>
      </c>
      <c r="AC74" s="34" t="s">
        <v>33</v>
      </c>
      <c r="AD74" s="32" t="s">
        <v>32</v>
      </c>
      <c r="AE74" s="34" t="s">
        <v>33</v>
      </c>
      <c r="AF74" s="32" t="s">
        <v>32</v>
      </c>
      <c r="AG74" s="34" t="s">
        <v>33</v>
      </c>
      <c r="AH74" s="32" t="s">
        <v>32</v>
      </c>
      <c r="AI74" s="34" t="s">
        <v>33</v>
      </c>
      <c r="AJ74" s="32" t="s">
        <v>32</v>
      </c>
      <c r="AK74" s="34" t="s">
        <v>33</v>
      </c>
      <c r="AL74" s="32" t="s">
        <v>32</v>
      </c>
      <c r="AM74" s="34" t="s">
        <v>33</v>
      </c>
      <c r="AN74" s="32" t="s">
        <v>32</v>
      </c>
      <c r="AO74" s="34" t="s">
        <v>33</v>
      </c>
      <c r="AP74" s="32" t="s">
        <v>32</v>
      </c>
      <c r="AQ74" s="34" t="s">
        <v>216</v>
      </c>
      <c r="AR74" s="32" t="s">
        <v>32</v>
      </c>
      <c r="AS74" s="34" t="s">
        <v>216</v>
      </c>
      <c r="AT74" s="32" t="s">
        <v>32</v>
      </c>
      <c r="AU74" s="34" t="s">
        <v>216</v>
      </c>
      <c r="AV74" s="32" t="s">
        <v>32</v>
      </c>
      <c r="AW74" s="34" t="s">
        <v>216</v>
      </c>
      <c r="AX74" s="32" t="s">
        <v>32</v>
      </c>
      <c r="AY74" s="34" t="s">
        <v>216</v>
      </c>
    </row>
    <row r="75" spans="1:51" ht="12.75">
      <c r="A75" s="25"/>
      <c r="B75" s="1" t="s">
        <v>34</v>
      </c>
      <c r="C75" s="26"/>
      <c r="D75" s="7" t="s">
        <v>34</v>
      </c>
      <c r="E75" s="26"/>
      <c r="F75" s="7" t="s">
        <v>34</v>
      </c>
      <c r="G75" s="26"/>
      <c r="H75" s="7" t="s">
        <v>34</v>
      </c>
      <c r="I75" s="422"/>
      <c r="J75" s="7" t="s">
        <v>34</v>
      </c>
      <c r="K75" s="26"/>
      <c r="L75" s="7" t="s">
        <v>34</v>
      </c>
      <c r="M75" s="26"/>
      <c r="N75" s="47" t="s">
        <v>34</v>
      </c>
      <c r="O75" s="26"/>
      <c r="P75" s="7" t="s">
        <v>34</v>
      </c>
      <c r="Q75" s="50"/>
      <c r="R75" s="7" t="s">
        <v>34</v>
      </c>
      <c r="S75" s="26"/>
      <c r="T75" s="7" t="s">
        <v>34</v>
      </c>
      <c r="U75" s="422"/>
      <c r="V75" s="7" t="s">
        <v>34</v>
      </c>
      <c r="W75" s="26"/>
      <c r="X75" s="30" t="s">
        <v>34</v>
      </c>
      <c r="Y75" s="31"/>
      <c r="Z75" s="30" t="s">
        <v>34</v>
      </c>
      <c r="AA75" s="31"/>
      <c r="AB75" s="30" t="s">
        <v>34</v>
      </c>
      <c r="AC75" s="31"/>
      <c r="AD75" s="30" t="s">
        <v>34</v>
      </c>
      <c r="AE75" s="31"/>
      <c r="AF75" s="30" t="s">
        <v>34</v>
      </c>
      <c r="AG75" s="31"/>
      <c r="AH75" s="30" t="s">
        <v>34</v>
      </c>
      <c r="AI75" s="31"/>
      <c r="AJ75" s="30" t="s">
        <v>34</v>
      </c>
      <c r="AK75" s="31"/>
      <c r="AL75" s="30" t="s">
        <v>34</v>
      </c>
      <c r="AM75" s="31"/>
      <c r="AN75" s="30" t="s">
        <v>34</v>
      </c>
      <c r="AO75" s="31"/>
      <c r="AP75" s="30" t="s">
        <v>34</v>
      </c>
      <c r="AQ75" s="31" t="s">
        <v>217</v>
      </c>
      <c r="AR75" s="30" t="s">
        <v>34</v>
      </c>
      <c r="AS75" s="31" t="s">
        <v>217</v>
      </c>
      <c r="AT75" s="30" t="s">
        <v>34</v>
      </c>
      <c r="AU75" s="31" t="s">
        <v>217</v>
      </c>
      <c r="AV75" s="30" t="s">
        <v>34</v>
      </c>
      <c r="AW75" s="31" t="s">
        <v>217</v>
      </c>
      <c r="AX75" s="30" t="s">
        <v>34</v>
      </c>
      <c r="AY75" s="31" t="s">
        <v>217</v>
      </c>
    </row>
    <row r="76" spans="1:51" s="38" customFormat="1" ht="12.75">
      <c r="A76" s="438" t="s">
        <v>218</v>
      </c>
      <c r="B76" s="439"/>
      <c r="C76" s="440"/>
      <c r="D76" s="441"/>
      <c r="E76" s="440"/>
      <c r="F76" s="441"/>
      <c r="G76" s="440"/>
      <c r="H76" s="441"/>
      <c r="I76" s="442"/>
      <c r="J76" s="443">
        <f aca="true" t="shared" si="75" ref="J76:AY76">SUM(J5:J18,J20:J24)</f>
        <v>2839622</v>
      </c>
      <c r="K76" s="35">
        <f t="shared" si="75"/>
        <v>363239</v>
      </c>
      <c r="L76" s="443">
        <f t="shared" si="75"/>
        <v>3205765</v>
      </c>
      <c r="M76" s="35">
        <f t="shared" si="75"/>
        <v>363239</v>
      </c>
      <c r="N76" s="443">
        <f t="shared" si="75"/>
        <v>3343856</v>
      </c>
      <c r="O76" s="35">
        <f t="shared" si="75"/>
        <v>379079</v>
      </c>
      <c r="P76" s="443">
        <f t="shared" si="75"/>
        <v>2964777</v>
      </c>
      <c r="Q76" s="35">
        <f t="shared" si="75"/>
        <v>389274</v>
      </c>
      <c r="R76" s="443">
        <f t="shared" si="75"/>
        <v>2575503</v>
      </c>
      <c r="S76" s="35">
        <f t="shared" si="75"/>
        <v>399303</v>
      </c>
      <c r="T76" s="443">
        <f t="shared" si="75"/>
        <v>2176200</v>
      </c>
      <c r="U76" s="35">
        <f t="shared" si="75"/>
        <v>320398</v>
      </c>
      <c r="V76" s="443">
        <f t="shared" si="75"/>
        <v>1855802</v>
      </c>
      <c r="W76" s="35">
        <f t="shared" si="75"/>
        <v>314431</v>
      </c>
      <c r="X76" s="443">
        <f t="shared" si="75"/>
        <v>1541371</v>
      </c>
      <c r="Y76" s="35">
        <f t="shared" si="75"/>
        <v>251830</v>
      </c>
      <c r="Z76" s="443">
        <f t="shared" si="75"/>
        <v>1289541</v>
      </c>
      <c r="AA76" s="35">
        <f t="shared" si="75"/>
        <v>160431</v>
      </c>
      <c r="AB76" s="443">
        <f t="shared" si="75"/>
        <v>1129110</v>
      </c>
      <c r="AC76" s="35">
        <f t="shared" si="75"/>
        <v>120498</v>
      </c>
      <c r="AD76" s="443">
        <f t="shared" si="75"/>
        <v>1008612</v>
      </c>
      <c r="AE76" s="35">
        <f t="shared" si="75"/>
        <v>120499</v>
      </c>
      <c r="AF76" s="443">
        <f t="shared" si="75"/>
        <v>888113</v>
      </c>
      <c r="AG76" s="35">
        <f t="shared" si="75"/>
        <v>120498</v>
      </c>
      <c r="AH76" s="443">
        <f t="shared" si="75"/>
        <v>767615</v>
      </c>
      <c r="AI76" s="35">
        <f t="shared" si="75"/>
        <v>120499</v>
      </c>
      <c r="AJ76" s="443">
        <f t="shared" si="75"/>
        <v>647116</v>
      </c>
      <c r="AK76" s="35">
        <f t="shared" si="75"/>
        <v>120498</v>
      </c>
      <c r="AL76" s="443">
        <f t="shared" si="75"/>
        <v>526618</v>
      </c>
      <c r="AM76" s="35">
        <f t="shared" si="75"/>
        <v>120499</v>
      </c>
      <c r="AN76" s="443">
        <f t="shared" si="75"/>
        <v>406119</v>
      </c>
      <c r="AO76" s="35">
        <f t="shared" si="75"/>
        <v>120498</v>
      </c>
      <c r="AP76" s="443">
        <f t="shared" si="75"/>
        <v>285621</v>
      </c>
      <c r="AQ76" s="35">
        <f t="shared" si="75"/>
        <v>80099</v>
      </c>
      <c r="AR76" s="443">
        <f t="shared" si="75"/>
        <v>205522</v>
      </c>
      <c r="AS76" s="35">
        <f t="shared" si="75"/>
        <v>71783</v>
      </c>
      <c r="AT76" s="443">
        <f t="shared" si="75"/>
        <v>133739</v>
      </c>
      <c r="AU76" s="35">
        <f t="shared" si="75"/>
        <v>71784</v>
      </c>
      <c r="AV76" s="443">
        <f t="shared" si="75"/>
        <v>61955</v>
      </c>
      <c r="AW76" s="35">
        <f t="shared" si="75"/>
        <v>48870</v>
      </c>
      <c r="AX76" s="443">
        <f t="shared" si="75"/>
        <v>13085</v>
      </c>
      <c r="AY76" s="35">
        <f t="shared" si="75"/>
        <v>13085</v>
      </c>
    </row>
    <row r="77" spans="1:51" s="38" customFormat="1" ht="12.75">
      <c r="A77" s="438" t="s">
        <v>219</v>
      </c>
      <c r="B77" s="439"/>
      <c r="C77" s="440"/>
      <c r="D77" s="441"/>
      <c r="E77" s="440"/>
      <c r="F77" s="441"/>
      <c r="G77" s="440"/>
      <c r="H77" s="441"/>
      <c r="I77" s="442"/>
      <c r="J77" s="443">
        <f aca="true" t="shared" si="76" ref="J77:AO77">J19</f>
        <v>0</v>
      </c>
      <c r="K77" s="35">
        <f t="shared" si="76"/>
        <v>0</v>
      </c>
      <c r="L77" s="443">
        <f t="shared" si="76"/>
        <v>492390</v>
      </c>
      <c r="M77" s="35">
        <f t="shared" si="76"/>
        <v>0</v>
      </c>
      <c r="N77" s="443">
        <f t="shared" si="76"/>
        <v>633336</v>
      </c>
      <c r="O77" s="35">
        <f t="shared" si="76"/>
        <v>0</v>
      </c>
      <c r="P77" s="443">
        <f t="shared" si="76"/>
        <v>633336</v>
      </c>
      <c r="Q77" s="35">
        <f t="shared" si="76"/>
        <v>51700</v>
      </c>
      <c r="R77" s="443">
        <f t="shared" si="76"/>
        <v>581636</v>
      </c>
      <c r="S77" s="35">
        <f t="shared" si="76"/>
        <v>51700</v>
      </c>
      <c r="T77" s="443">
        <f t="shared" si="76"/>
        <v>529936</v>
      </c>
      <c r="U77" s="35">
        <f t="shared" si="76"/>
        <v>51700</v>
      </c>
      <c r="V77" s="443">
        <f t="shared" si="76"/>
        <v>478236</v>
      </c>
      <c r="W77" s="35">
        <f t="shared" si="76"/>
        <v>51700</v>
      </c>
      <c r="X77" s="443">
        <f t="shared" si="76"/>
        <v>426536</v>
      </c>
      <c r="Y77" s="35">
        <f t="shared" si="76"/>
        <v>51700</v>
      </c>
      <c r="Z77" s="443">
        <f t="shared" si="76"/>
        <v>374836</v>
      </c>
      <c r="AA77" s="35">
        <f t="shared" si="76"/>
        <v>51700</v>
      </c>
      <c r="AB77" s="443">
        <f t="shared" si="76"/>
        <v>323136</v>
      </c>
      <c r="AC77" s="35">
        <f t="shared" si="76"/>
        <v>51700</v>
      </c>
      <c r="AD77" s="443">
        <f t="shared" si="76"/>
        <v>271436</v>
      </c>
      <c r="AE77" s="35">
        <f t="shared" si="76"/>
        <v>51700</v>
      </c>
      <c r="AF77" s="443">
        <f t="shared" si="76"/>
        <v>219736</v>
      </c>
      <c r="AG77" s="35">
        <f t="shared" si="76"/>
        <v>51700</v>
      </c>
      <c r="AH77" s="443">
        <f t="shared" si="76"/>
        <v>168036</v>
      </c>
      <c r="AI77" s="35">
        <f t="shared" si="76"/>
        <v>51700</v>
      </c>
      <c r="AJ77" s="443">
        <f t="shared" si="76"/>
        <v>116336</v>
      </c>
      <c r="AK77" s="35">
        <f t="shared" si="76"/>
        <v>51700</v>
      </c>
      <c r="AL77" s="443">
        <f t="shared" si="76"/>
        <v>64636</v>
      </c>
      <c r="AM77" s="35">
        <f t="shared" si="76"/>
        <v>51700</v>
      </c>
      <c r="AN77" s="443">
        <f t="shared" si="76"/>
        <v>12936</v>
      </c>
      <c r="AO77" s="35">
        <f t="shared" si="76"/>
        <v>12936</v>
      </c>
      <c r="AP77" s="411" t="s">
        <v>35</v>
      </c>
      <c r="AQ77" s="444" t="s">
        <v>35</v>
      </c>
      <c r="AR77" s="411" t="s">
        <v>35</v>
      </c>
      <c r="AS77" s="444" t="s">
        <v>35</v>
      </c>
      <c r="AT77" s="411" t="s">
        <v>35</v>
      </c>
      <c r="AU77" s="444" t="s">
        <v>35</v>
      </c>
      <c r="AV77" s="411" t="s">
        <v>35</v>
      </c>
      <c r="AW77" s="444" t="s">
        <v>35</v>
      </c>
      <c r="AX77" s="411" t="s">
        <v>35</v>
      </c>
      <c r="AY77" s="444" t="s">
        <v>35</v>
      </c>
    </row>
    <row r="78" spans="1:51" s="38" customFormat="1" ht="26.25" thickBot="1">
      <c r="A78" s="445" t="s">
        <v>243</v>
      </c>
      <c r="B78" s="446"/>
      <c r="C78" s="447"/>
      <c r="D78" s="448"/>
      <c r="E78" s="447"/>
      <c r="F78" s="448"/>
      <c r="G78" s="447"/>
      <c r="H78" s="448"/>
      <c r="I78" s="449"/>
      <c r="J78" s="450">
        <f aca="true" t="shared" si="77" ref="J78:AQ78">SUM(J25)</f>
        <v>0</v>
      </c>
      <c r="K78" s="451">
        <f t="shared" si="77"/>
        <v>0</v>
      </c>
      <c r="L78" s="450">
        <f t="shared" si="77"/>
        <v>0</v>
      </c>
      <c r="M78" s="451">
        <f t="shared" si="77"/>
        <v>0</v>
      </c>
      <c r="N78" s="450">
        <f t="shared" si="77"/>
        <v>0</v>
      </c>
      <c r="O78" s="451">
        <f t="shared" si="77"/>
        <v>0</v>
      </c>
      <c r="P78" s="450">
        <f t="shared" si="77"/>
        <v>0</v>
      </c>
      <c r="Q78" s="451">
        <f t="shared" si="77"/>
        <v>0</v>
      </c>
      <c r="R78" s="450">
        <f t="shared" si="77"/>
        <v>0</v>
      </c>
      <c r="S78" s="451">
        <f t="shared" si="77"/>
        <v>0</v>
      </c>
      <c r="T78" s="450">
        <f t="shared" si="77"/>
        <v>0</v>
      </c>
      <c r="U78" s="451">
        <f t="shared" si="77"/>
        <v>0</v>
      </c>
      <c r="V78" s="450">
        <f t="shared" si="77"/>
        <v>0</v>
      </c>
      <c r="W78" s="451">
        <f t="shared" si="77"/>
        <v>0</v>
      </c>
      <c r="X78" s="450">
        <f t="shared" si="77"/>
        <v>0</v>
      </c>
      <c r="Y78" s="451">
        <f t="shared" si="77"/>
        <v>0</v>
      </c>
      <c r="Z78" s="450">
        <f t="shared" si="77"/>
        <v>0</v>
      </c>
      <c r="AA78" s="451">
        <f t="shared" si="77"/>
        <v>0</v>
      </c>
      <c r="AB78" s="450">
        <f t="shared" si="77"/>
        <v>0</v>
      </c>
      <c r="AC78" s="451">
        <f t="shared" si="77"/>
        <v>0</v>
      </c>
      <c r="AD78" s="450">
        <f t="shared" si="77"/>
        <v>0</v>
      </c>
      <c r="AE78" s="451">
        <f t="shared" si="77"/>
        <v>0</v>
      </c>
      <c r="AF78" s="450">
        <f t="shared" si="77"/>
        <v>0</v>
      </c>
      <c r="AG78" s="451">
        <f t="shared" si="77"/>
        <v>0</v>
      </c>
      <c r="AH78" s="450">
        <f t="shared" si="77"/>
        <v>0</v>
      </c>
      <c r="AI78" s="451">
        <f t="shared" si="77"/>
        <v>0</v>
      </c>
      <c r="AJ78" s="450">
        <f t="shared" si="77"/>
        <v>0</v>
      </c>
      <c r="AK78" s="451">
        <f t="shared" si="77"/>
        <v>0</v>
      </c>
      <c r="AL78" s="450">
        <f t="shared" si="77"/>
        <v>0</v>
      </c>
      <c r="AM78" s="451">
        <f t="shared" si="77"/>
        <v>0</v>
      </c>
      <c r="AN78" s="450">
        <f t="shared" si="77"/>
        <v>0</v>
      </c>
      <c r="AO78" s="451">
        <f t="shared" si="77"/>
        <v>0</v>
      </c>
      <c r="AP78" s="450">
        <f t="shared" si="77"/>
        <v>0</v>
      </c>
      <c r="AQ78" s="451">
        <f t="shared" si="77"/>
        <v>0</v>
      </c>
      <c r="AR78" s="452" t="s">
        <v>35</v>
      </c>
      <c r="AS78" s="453" t="s">
        <v>35</v>
      </c>
      <c r="AT78" s="452" t="s">
        <v>35</v>
      </c>
      <c r="AU78" s="453" t="s">
        <v>35</v>
      </c>
      <c r="AV78" s="452" t="s">
        <v>35</v>
      </c>
      <c r="AW78" s="453" t="s">
        <v>35</v>
      </c>
      <c r="AX78" s="452" t="s">
        <v>35</v>
      </c>
      <c r="AY78" s="453" t="s">
        <v>35</v>
      </c>
    </row>
    <row r="79" spans="1:51" s="415" customFormat="1" ht="13.5" thickTop="1">
      <c r="A79" s="420" t="s">
        <v>220</v>
      </c>
      <c r="B79" s="419"/>
      <c r="C79" s="416"/>
      <c r="D79" s="417"/>
      <c r="E79" s="416"/>
      <c r="F79" s="417"/>
      <c r="G79" s="416"/>
      <c r="H79" s="417"/>
      <c r="I79" s="423"/>
      <c r="J79" s="29">
        <f aca="true" t="shared" si="78" ref="J79:AY79">SUM(J76:J78)</f>
        <v>2839622</v>
      </c>
      <c r="K79" s="418">
        <f t="shared" si="78"/>
        <v>363239</v>
      </c>
      <c r="L79" s="29">
        <f t="shared" si="78"/>
        <v>3698155</v>
      </c>
      <c r="M79" s="418">
        <f t="shared" si="78"/>
        <v>363239</v>
      </c>
      <c r="N79" s="29">
        <f t="shared" si="78"/>
        <v>3977192</v>
      </c>
      <c r="O79" s="418">
        <f t="shared" si="78"/>
        <v>379079</v>
      </c>
      <c r="P79" s="29">
        <f t="shared" si="78"/>
        <v>3598113</v>
      </c>
      <c r="Q79" s="418">
        <f t="shared" si="78"/>
        <v>440974</v>
      </c>
      <c r="R79" s="29">
        <f t="shared" si="78"/>
        <v>3157139</v>
      </c>
      <c r="S79" s="418">
        <f t="shared" si="78"/>
        <v>451003</v>
      </c>
      <c r="T79" s="29">
        <f t="shared" si="78"/>
        <v>2706136</v>
      </c>
      <c r="U79" s="418">
        <f t="shared" si="78"/>
        <v>372098</v>
      </c>
      <c r="V79" s="29">
        <f t="shared" si="78"/>
        <v>2334038</v>
      </c>
      <c r="W79" s="418">
        <f t="shared" si="78"/>
        <v>366131</v>
      </c>
      <c r="X79" s="29">
        <f t="shared" si="78"/>
        <v>1967907</v>
      </c>
      <c r="Y79" s="418">
        <f t="shared" si="78"/>
        <v>303530</v>
      </c>
      <c r="Z79" s="29">
        <f t="shared" si="78"/>
        <v>1664377</v>
      </c>
      <c r="AA79" s="418">
        <f t="shared" si="78"/>
        <v>212131</v>
      </c>
      <c r="AB79" s="29">
        <f t="shared" si="78"/>
        <v>1452246</v>
      </c>
      <c r="AC79" s="418">
        <f t="shared" si="78"/>
        <v>172198</v>
      </c>
      <c r="AD79" s="29">
        <f t="shared" si="78"/>
        <v>1280048</v>
      </c>
      <c r="AE79" s="418">
        <f t="shared" si="78"/>
        <v>172199</v>
      </c>
      <c r="AF79" s="29">
        <f t="shared" si="78"/>
        <v>1107849</v>
      </c>
      <c r="AG79" s="418">
        <f t="shared" si="78"/>
        <v>172198</v>
      </c>
      <c r="AH79" s="29">
        <f t="shared" si="78"/>
        <v>935651</v>
      </c>
      <c r="AI79" s="418">
        <f t="shared" si="78"/>
        <v>172199</v>
      </c>
      <c r="AJ79" s="29">
        <f t="shared" si="78"/>
        <v>763452</v>
      </c>
      <c r="AK79" s="418">
        <f t="shared" si="78"/>
        <v>172198</v>
      </c>
      <c r="AL79" s="29">
        <f t="shared" si="78"/>
        <v>591254</v>
      </c>
      <c r="AM79" s="418">
        <f t="shared" si="78"/>
        <v>172199</v>
      </c>
      <c r="AN79" s="29">
        <f t="shared" si="78"/>
        <v>419055</v>
      </c>
      <c r="AO79" s="418">
        <f t="shared" si="78"/>
        <v>133434</v>
      </c>
      <c r="AP79" s="29">
        <f t="shared" si="78"/>
        <v>285621</v>
      </c>
      <c r="AQ79" s="418">
        <f t="shared" si="78"/>
        <v>80099</v>
      </c>
      <c r="AR79" s="29">
        <f t="shared" si="78"/>
        <v>205522</v>
      </c>
      <c r="AS79" s="418">
        <f t="shared" si="78"/>
        <v>71783</v>
      </c>
      <c r="AT79" s="29">
        <f t="shared" si="78"/>
        <v>133739</v>
      </c>
      <c r="AU79" s="418">
        <f t="shared" si="78"/>
        <v>71784</v>
      </c>
      <c r="AV79" s="29">
        <f t="shared" si="78"/>
        <v>61955</v>
      </c>
      <c r="AW79" s="418">
        <f t="shared" si="78"/>
        <v>48870</v>
      </c>
      <c r="AX79" s="29">
        <f t="shared" si="78"/>
        <v>13085</v>
      </c>
      <c r="AY79" s="418">
        <f t="shared" si="78"/>
        <v>13085</v>
      </c>
    </row>
    <row r="80" spans="1:51" s="38" customFormat="1" ht="12.75">
      <c r="A80" s="438" t="s">
        <v>218</v>
      </c>
      <c r="B80" s="439"/>
      <c r="C80" s="440"/>
      <c r="D80" s="441"/>
      <c r="E80" s="440"/>
      <c r="F80" s="441"/>
      <c r="G80" s="440"/>
      <c r="H80" s="441"/>
      <c r="I80" s="442"/>
      <c r="J80" s="443">
        <f aca="true" t="shared" si="79" ref="J80:AY80">SUM(J27:J40,J42:J46)</f>
        <v>1094744</v>
      </c>
      <c r="K80" s="35">
        <f t="shared" si="79"/>
        <v>172445</v>
      </c>
      <c r="L80" s="443">
        <f t="shared" si="79"/>
        <v>1173201</v>
      </c>
      <c r="M80" s="35">
        <f t="shared" si="79"/>
        <v>217399</v>
      </c>
      <c r="N80" s="443">
        <f t="shared" si="79"/>
        <v>1158518</v>
      </c>
      <c r="O80" s="35">
        <f t="shared" si="79"/>
        <v>201932</v>
      </c>
      <c r="P80" s="443">
        <f t="shared" si="79"/>
        <v>956586</v>
      </c>
      <c r="Q80" s="35">
        <f t="shared" si="79"/>
        <v>172563</v>
      </c>
      <c r="R80" s="443">
        <f t="shared" si="79"/>
        <v>784023</v>
      </c>
      <c r="S80" s="35">
        <f t="shared" si="79"/>
        <v>143426</v>
      </c>
      <c r="T80" s="443">
        <f t="shared" si="79"/>
        <v>640597</v>
      </c>
      <c r="U80" s="35">
        <f t="shared" si="79"/>
        <v>117778</v>
      </c>
      <c r="V80" s="443">
        <f t="shared" si="79"/>
        <v>522819</v>
      </c>
      <c r="W80" s="35">
        <f t="shared" si="79"/>
        <v>96509</v>
      </c>
      <c r="X80" s="443">
        <f t="shared" si="79"/>
        <v>426310</v>
      </c>
      <c r="Y80" s="35">
        <f t="shared" si="79"/>
        <v>75922</v>
      </c>
      <c r="Z80" s="443">
        <f t="shared" si="79"/>
        <v>350388</v>
      </c>
      <c r="AA80" s="35">
        <f t="shared" si="79"/>
        <v>62251</v>
      </c>
      <c r="AB80" s="443">
        <f t="shared" si="79"/>
        <v>288137</v>
      </c>
      <c r="AC80" s="35">
        <f t="shared" si="79"/>
        <v>55050</v>
      </c>
      <c r="AD80" s="443">
        <f t="shared" si="79"/>
        <v>233087</v>
      </c>
      <c r="AE80" s="35">
        <f t="shared" si="79"/>
        <v>49193</v>
      </c>
      <c r="AF80" s="443">
        <f t="shared" si="79"/>
        <v>183894</v>
      </c>
      <c r="AG80" s="35">
        <f t="shared" si="79"/>
        <v>43059</v>
      </c>
      <c r="AH80" s="443">
        <f t="shared" si="79"/>
        <v>140835</v>
      </c>
      <c r="AI80" s="35">
        <f t="shared" si="79"/>
        <v>36735</v>
      </c>
      <c r="AJ80" s="443">
        <f t="shared" si="79"/>
        <v>104100</v>
      </c>
      <c r="AK80" s="35">
        <f t="shared" si="79"/>
        <v>30410</v>
      </c>
      <c r="AL80" s="443">
        <f t="shared" si="79"/>
        <v>73690</v>
      </c>
      <c r="AM80" s="35">
        <f t="shared" si="79"/>
        <v>24489</v>
      </c>
      <c r="AN80" s="443">
        <f t="shared" si="79"/>
        <v>49201</v>
      </c>
      <c r="AO80" s="35">
        <f t="shared" si="79"/>
        <v>18421</v>
      </c>
      <c r="AP80" s="443">
        <f t="shared" si="79"/>
        <v>30780</v>
      </c>
      <c r="AQ80" s="35">
        <f t="shared" si="79"/>
        <v>13274</v>
      </c>
      <c r="AR80" s="443">
        <f t="shared" si="79"/>
        <v>17506</v>
      </c>
      <c r="AS80" s="35">
        <f t="shared" si="79"/>
        <v>9317</v>
      </c>
      <c r="AT80" s="443">
        <f t="shared" si="79"/>
        <v>8189</v>
      </c>
      <c r="AU80" s="35">
        <f t="shared" si="79"/>
        <v>5590</v>
      </c>
      <c r="AV80" s="443">
        <f t="shared" si="79"/>
        <v>2599</v>
      </c>
      <c r="AW80" s="35">
        <f t="shared" si="79"/>
        <v>2065</v>
      </c>
      <c r="AX80" s="443">
        <f t="shared" si="79"/>
        <v>534</v>
      </c>
      <c r="AY80" s="35">
        <f t="shared" si="79"/>
        <v>534</v>
      </c>
    </row>
    <row r="81" spans="1:51" s="38" customFormat="1" ht="12.75">
      <c r="A81" s="438" t="s">
        <v>219</v>
      </c>
      <c r="B81" s="439"/>
      <c r="C81" s="440"/>
      <c r="D81" s="441"/>
      <c r="E81" s="440"/>
      <c r="F81" s="441"/>
      <c r="G81" s="440"/>
      <c r="H81" s="441"/>
      <c r="I81" s="442"/>
      <c r="J81" s="443">
        <f aca="true" t="shared" si="80" ref="J81:AO81">J41</f>
        <v>0</v>
      </c>
      <c r="K81" s="35">
        <f t="shared" si="80"/>
        <v>2885</v>
      </c>
      <c r="L81" s="443">
        <f t="shared" si="80"/>
        <v>257910</v>
      </c>
      <c r="M81" s="35">
        <f t="shared" si="80"/>
        <v>30874</v>
      </c>
      <c r="N81" s="443">
        <f t="shared" si="80"/>
        <v>227036</v>
      </c>
      <c r="O81" s="35">
        <f t="shared" si="80"/>
        <v>27866</v>
      </c>
      <c r="P81" s="443">
        <f t="shared" si="80"/>
        <v>199170</v>
      </c>
      <c r="Q81" s="35">
        <f t="shared" si="80"/>
        <v>27079</v>
      </c>
      <c r="R81" s="443">
        <f t="shared" si="80"/>
        <v>172091</v>
      </c>
      <c r="S81" s="35">
        <f t="shared" si="80"/>
        <v>25154</v>
      </c>
      <c r="T81" s="443">
        <f t="shared" si="80"/>
        <v>146937</v>
      </c>
      <c r="U81" s="35">
        <f t="shared" si="80"/>
        <v>23229</v>
      </c>
      <c r="V81" s="443">
        <f t="shared" si="80"/>
        <v>123708</v>
      </c>
      <c r="W81" s="35">
        <f t="shared" si="80"/>
        <v>21353</v>
      </c>
      <c r="X81" s="443">
        <f t="shared" si="80"/>
        <v>102355</v>
      </c>
      <c r="Y81" s="35">
        <f t="shared" si="80"/>
        <v>19380</v>
      </c>
      <c r="Z81" s="443">
        <f t="shared" si="80"/>
        <v>82975</v>
      </c>
      <c r="AA81" s="35">
        <f t="shared" si="80"/>
        <v>17455</v>
      </c>
      <c r="AB81" s="443">
        <f t="shared" si="80"/>
        <v>65520</v>
      </c>
      <c r="AC81" s="35">
        <f t="shared" si="80"/>
        <v>15530</v>
      </c>
      <c r="AD81" s="443">
        <f t="shared" si="80"/>
        <v>49990</v>
      </c>
      <c r="AE81" s="35">
        <f t="shared" si="80"/>
        <v>13633</v>
      </c>
      <c r="AF81" s="443">
        <f t="shared" si="80"/>
        <v>36357</v>
      </c>
      <c r="AG81" s="35">
        <f t="shared" si="80"/>
        <v>11681</v>
      </c>
      <c r="AH81" s="443">
        <f t="shared" si="80"/>
        <v>24676</v>
      </c>
      <c r="AI81" s="35">
        <f t="shared" si="80"/>
        <v>9756</v>
      </c>
      <c r="AJ81" s="443">
        <f t="shared" si="80"/>
        <v>14920</v>
      </c>
      <c r="AK81" s="35">
        <f t="shared" si="80"/>
        <v>7831</v>
      </c>
      <c r="AL81" s="443">
        <f t="shared" si="80"/>
        <v>7089</v>
      </c>
      <c r="AM81" s="35">
        <f t="shared" si="80"/>
        <v>5913</v>
      </c>
      <c r="AN81" s="443">
        <f t="shared" si="80"/>
        <v>1176</v>
      </c>
      <c r="AO81" s="35">
        <f t="shared" si="80"/>
        <v>1176</v>
      </c>
      <c r="AP81" s="411" t="s">
        <v>35</v>
      </c>
      <c r="AQ81" s="444" t="s">
        <v>35</v>
      </c>
      <c r="AR81" s="411" t="s">
        <v>35</v>
      </c>
      <c r="AS81" s="444" t="s">
        <v>35</v>
      </c>
      <c r="AT81" s="411" t="s">
        <v>35</v>
      </c>
      <c r="AU81" s="444" t="s">
        <v>35</v>
      </c>
      <c r="AV81" s="411" t="s">
        <v>35</v>
      </c>
      <c r="AW81" s="444" t="s">
        <v>35</v>
      </c>
      <c r="AX81" s="411" t="s">
        <v>35</v>
      </c>
      <c r="AY81" s="444" t="s">
        <v>35</v>
      </c>
    </row>
    <row r="82" spans="1:51" s="38" customFormat="1" ht="26.25" thickBot="1">
      <c r="A82" s="445" t="s">
        <v>243</v>
      </c>
      <c r="B82" s="446"/>
      <c r="C82" s="447"/>
      <c r="D82" s="448"/>
      <c r="E82" s="447"/>
      <c r="F82" s="448"/>
      <c r="G82" s="447"/>
      <c r="H82" s="448"/>
      <c r="I82" s="449"/>
      <c r="J82" s="450">
        <f aca="true" t="shared" si="81" ref="J82:AQ82">SUM(J47)</f>
        <v>0</v>
      </c>
      <c r="K82" s="451">
        <f t="shared" si="81"/>
        <v>0</v>
      </c>
      <c r="L82" s="450">
        <f t="shared" si="81"/>
        <v>0</v>
      </c>
      <c r="M82" s="451">
        <f t="shared" si="81"/>
        <v>0</v>
      </c>
      <c r="N82" s="450">
        <f t="shared" si="81"/>
        <v>0</v>
      </c>
      <c r="O82" s="451">
        <f t="shared" si="81"/>
        <v>0</v>
      </c>
      <c r="P82" s="450">
        <f t="shared" si="81"/>
        <v>0</v>
      </c>
      <c r="Q82" s="451">
        <f t="shared" si="81"/>
        <v>0</v>
      </c>
      <c r="R82" s="450">
        <f t="shared" si="81"/>
        <v>0</v>
      </c>
      <c r="S82" s="451">
        <f t="shared" si="81"/>
        <v>0</v>
      </c>
      <c r="T82" s="450">
        <f t="shared" si="81"/>
        <v>0</v>
      </c>
      <c r="U82" s="451">
        <f t="shared" si="81"/>
        <v>0</v>
      </c>
      <c r="V82" s="450">
        <f t="shared" si="81"/>
        <v>0</v>
      </c>
      <c r="W82" s="451">
        <f t="shared" si="81"/>
        <v>0</v>
      </c>
      <c r="X82" s="450">
        <f t="shared" si="81"/>
        <v>0</v>
      </c>
      <c r="Y82" s="451">
        <f t="shared" si="81"/>
        <v>0</v>
      </c>
      <c r="Z82" s="450">
        <f t="shared" si="81"/>
        <v>0</v>
      </c>
      <c r="AA82" s="451">
        <f t="shared" si="81"/>
        <v>0</v>
      </c>
      <c r="AB82" s="450">
        <f t="shared" si="81"/>
        <v>0</v>
      </c>
      <c r="AC82" s="451">
        <f t="shared" si="81"/>
        <v>0</v>
      </c>
      <c r="AD82" s="450">
        <f t="shared" si="81"/>
        <v>0</v>
      </c>
      <c r="AE82" s="451">
        <f t="shared" si="81"/>
        <v>0</v>
      </c>
      <c r="AF82" s="450">
        <f t="shared" si="81"/>
        <v>0</v>
      </c>
      <c r="AG82" s="451">
        <f t="shared" si="81"/>
        <v>0</v>
      </c>
      <c r="AH82" s="450">
        <f t="shared" si="81"/>
        <v>0</v>
      </c>
      <c r="AI82" s="451">
        <f t="shared" si="81"/>
        <v>0</v>
      </c>
      <c r="AJ82" s="450">
        <f t="shared" si="81"/>
        <v>0</v>
      </c>
      <c r="AK82" s="451">
        <f t="shared" si="81"/>
        <v>0</v>
      </c>
      <c r="AL82" s="450">
        <f t="shared" si="81"/>
        <v>0</v>
      </c>
      <c r="AM82" s="451">
        <f t="shared" si="81"/>
        <v>0</v>
      </c>
      <c r="AN82" s="450">
        <f t="shared" si="81"/>
        <v>0</v>
      </c>
      <c r="AO82" s="451">
        <f t="shared" si="81"/>
        <v>0</v>
      </c>
      <c r="AP82" s="450">
        <f t="shared" si="81"/>
        <v>0</v>
      </c>
      <c r="AQ82" s="451">
        <f t="shared" si="81"/>
        <v>0</v>
      </c>
      <c r="AR82" s="452" t="s">
        <v>35</v>
      </c>
      <c r="AS82" s="453" t="s">
        <v>35</v>
      </c>
      <c r="AT82" s="452" t="s">
        <v>35</v>
      </c>
      <c r="AU82" s="453" t="s">
        <v>35</v>
      </c>
      <c r="AV82" s="452" t="s">
        <v>35</v>
      </c>
      <c r="AW82" s="453" t="s">
        <v>35</v>
      </c>
      <c r="AX82" s="452" t="s">
        <v>35</v>
      </c>
      <c r="AY82" s="453" t="s">
        <v>35</v>
      </c>
    </row>
    <row r="83" spans="1:51" s="415" customFormat="1" ht="13.5" thickTop="1">
      <c r="A83" s="420" t="s">
        <v>156</v>
      </c>
      <c r="B83" s="419"/>
      <c r="C83" s="416"/>
      <c r="D83" s="417"/>
      <c r="E83" s="416"/>
      <c r="F83" s="417"/>
      <c r="G83" s="416"/>
      <c r="H83" s="417"/>
      <c r="I83" s="423"/>
      <c r="J83" s="29">
        <f aca="true" t="shared" si="82" ref="J83:AY83">SUM(J80:J82)</f>
        <v>1094744</v>
      </c>
      <c r="K83" s="418">
        <f t="shared" si="82"/>
        <v>175330</v>
      </c>
      <c r="L83" s="29">
        <f t="shared" si="82"/>
        <v>1431111</v>
      </c>
      <c r="M83" s="418">
        <f t="shared" si="82"/>
        <v>248273</v>
      </c>
      <c r="N83" s="29">
        <f t="shared" si="82"/>
        <v>1385554</v>
      </c>
      <c r="O83" s="418">
        <f t="shared" si="82"/>
        <v>229798</v>
      </c>
      <c r="P83" s="29">
        <f t="shared" si="82"/>
        <v>1155756</v>
      </c>
      <c r="Q83" s="418">
        <f t="shared" si="82"/>
        <v>199642</v>
      </c>
      <c r="R83" s="29">
        <f t="shared" si="82"/>
        <v>956114</v>
      </c>
      <c r="S83" s="418">
        <f t="shared" si="82"/>
        <v>168580</v>
      </c>
      <c r="T83" s="29">
        <f t="shared" si="82"/>
        <v>787534</v>
      </c>
      <c r="U83" s="418">
        <f t="shared" si="82"/>
        <v>141007</v>
      </c>
      <c r="V83" s="29">
        <f t="shared" si="82"/>
        <v>646527</v>
      </c>
      <c r="W83" s="418">
        <f t="shared" si="82"/>
        <v>117862</v>
      </c>
      <c r="X83" s="29">
        <f t="shared" si="82"/>
        <v>528665</v>
      </c>
      <c r="Y83" s="418">
        <f t="shared" si="82"/>
        <v>95302</v>
      </c>
      <c r="Z83" s="29">
        <f t="shared" si="82"/>
        <v>433363</v>
      </c>
      <c r="AA83" s="418">
        <f t="shared" si="82"/>
        <v>79706</v>
      </c>
      <c r="AB83" s="29">
        <f t="shared" si="82"/>
        <v>353657</v>
      </c>
      <c r="AC83" s="418">
        <f t="shared" si="82"/>
        <v>70580</v>
      </c>
      <c r="AD83" s="29">
        <f t="shared" si="82"/>
        <v>283077</v>
      </c>
      <c r="AE83" s="418">
        <f t="shared" si="82"/>
        <v>62826</v>
      </c>
      <c r="AF83" s="29">
        <f t="shared" si="82"/>
        <v>220251</v>
      </c>
      <c r="AG83" s="418">
        <f t="shared" si="82"/>
        <v>54740</v>
      </c>
      <c r="AH83" s="29">
        <f t="shared" si="82"/>
        <v>165511</v>
      </c>
      <c r="AI83" s="418">
        <f t="shared" si="82"/>
        <v>46491</v>
      </c>
      <c r="AJ83" s="29">
        <f t="shared" si="82"/>
        <v>119020</v>
      </c>
      <c r="AK83" s="418">
        <f t="shared" si="82"/>
        <v>38241</v>
      </c>
      <c r="AL83" s="29">
        <f t="shared" si="82"/>
        <v>80779</v>
      </c>
      <c r="AM83" s="418">
        <f t="shared" si="82"/>
        <v>30402</v>
      </c>
      <c r="AN83" s="29">
        <f t="shared" si="82"/>
        <v>50377</v>
      </c>
      <c r="AO83" s="418">
        <f t="shared" si="82"/>
        <v>19597</v>
      </c>
      <c r="AP83" s="29">
        <f t="shared" si="82"/>
        <v>30780</v>
      </c>
      <c r="AQ83" s="418">
        <f t="shared" si="82"/>
        <v>13274</v>
      </c>
      <c r="AR83" s="29">
        <f t="shared" si="82"/>
        <v>17506</v>
      </c>
      <c r="AS83" s="418">
        <f t="shared" si="82"/>
        <v>9317</v>
      </c>
      <c r="AT83" s="29">
        <f t="shared" si="82"/>
        <v>8189</v>
      </c>
      <c r="AU83" s="418">
        <f t="shared" si="82"/>
        <v>5590</v>
      </c>
      <c r="AV83" s="29">
        <f t="shared" si="82"/>
        <v>2599</v>
      </c>
      <c r="AW83" s="418">
        <f t="shared" si="82"/>
        <v>2065</v>
      </c>
      <c r="AX83" s="29">
        <f t="shared" si="82"/>
        <v>534</v>
      </c>
      <c r="AY83" s="418">
        <f t="shared" si="82"/>
        <v>534</v>
      </c>
    </row>
    <row r="84" spans="1:51" ht="12.75">
      <c r="A84" s="438" t="s">
        <v>218</v>
      </c>
      <c r="B84" s="454"/>
      <c r="C84" s="455"/>
      <c r="D84" s="456"/>
      <c r="E84" s="455"/>
      <c r="F84" s="456"/>
      <c r="G84" s="455"/>
      <c r="H84" s="456"/>
      <c r="I84" s="457"/>
      <c r="J84" s="8">
        <f aca="true" t="shared" si="83" ref="J84:AO84">SUM(J76,J80)</f>
        <v>3934366</v>
      </c>
      <c r="K84" s="16">
        <f t="shared" si="83"/>
        <v>535684</v>
      </c>
      <c r="L84" s="8">
        <f t="shared" si="83"/>
        <v>4378966</v>
      </c>
      <c r="M84" s="16">
        <f t="shared" si="83"/>
        <v>580638</v>
      </c>
      <c r="N84" s="8">
        <f t="shared" si="83"/>
        <v>4502374</v>
      </c>
      <c r="O84" s="16">
        <f t="shared" si="83"/>
        <v>581011</v>
      </c>
      <c r="P84" s="8">
        <f t="shared" si="83"/>
        <v>3921363</v>
      </c>
      <c r="Q84" s="16">
        <f t="shared" si="83"/>
        <v>561837</v>
      </c>
      <c r="R84" s="8">
        <f t="shared" si="83"/>
        <v>3359526</v>
      </c>
      <c r="S84" s="16">
        <f t="shared" si="83"/>
        <v>542729</v>
      </c>
      <c r="T84" s="8">
        <f t="shared" si="83"/>
        <v>2816797</v>
      </c>
      <c r="U84" s="16">
        <f t="shared" si="83"/>
        <v>438176</v>
      </c>
      <c r="V84" s="8">
        <f t="shared" si="83"/>
        <v>2378621</v>
      </c>
      <c r="W84" s="16">
        <f t="shared" si="83"/>
        <v>410940</v>
      </c>
      <c r="X84" s="8">
        <f t="shared" si="83"/>
        <v>1967681</v>
      </c>
      <c r="Y84" s="16">
        <f t="shared" si="83"/>
        <v>327752</v>
      </c>
      <c r="Z84" s="8">
        <f t="shared" si="83"/>
        <v>1639929</v>
      </c>
      <c r="AA84" s="16">
        <f t="shared" si="83"/>
        <v>222682</v>
      </c>
      <c r="AB84" s="8">
        <f t="shared" si="83"/>
        <v>1417247</v>
      </c>
      <c r="AC84" s="16">
        <f t="shared" si="83"/>
        <v>175548</v>
      </c>
      <c r="AD84" s="8">
        <f t="shared" si="83"/>
        <v>1241699</v>
      </c>
      <c r="AE84" s="16">
        <f t="shared" si="83"/>
        <v>169692</v>
      </c>
      <c r="AF84" s="8">
        <f t="shared" si="83"/>
        <v>1072007</v>
      </c>
      <c r="AG84" s="16">
        <f t="shared" si="83"/>
        <v>163557</v>
      </c>
      <c r="AH84" s="8">
        <f t="shared" si="83"/>
        <v>908450</v>
      </c>
      <c r="AI84" s="16">
        <f t="shared" si="83"/>
        <v>157234</v>
      </c>
      <c r="AJ84" s="8">
        <f t="shared" si="83"/>
        <v>751216</v>
      </c>
      <c r="AK84" s="16">
        <f t="shared" si="83"/>
        <v>150908</v>
      </c>
      <c r="AL84" s="8">
        <f t="shared" si="83"/>
        <v>600308</v>
      </c>
      <c r="AM84" s="16">
        <f t="shared" si="83"/>
        <v>144988</v>
      </c>
      <c r="AN84" s="8">
        <f t="shared" si="83"/>
        <v>455320</v>
      </c>
      <c r="AO84" s="16">
        <f t="shared" si="83"/>
        <v>138919</v>
      </c>
      <c r="AP84" s="8">
        <f aca="true" t="shared" si="84" ref="AP84:AY84">SUM(AP76,AP80)</f>
        <v>316401</v>
      </c>
      <c r="AQ84" s="16">
        <f t="shared" si="84"/>
        <v>93373</v>
      </c>
      <c r="AR84" s="8">
        <f t="shared" si="84"/>
        <v>223028</v>
      </c>
      <c r="AS84" s="16">
        <f t="shared" si="84"/>
        <v>81100</v>
      </c>
      <c r="AT84" s="8">
        <f t="shared" si="84"/>
        <v>141928</v>
      </c>
      <c r="AU84" s="16">
        <f t="shared" si="84"/>
        <v>77374</v>
      </c>
      <c r="AV84" s="8">
        <f t="shared" si="84"/>
        <v>64554</v>
      </c>
      <c r="AW84" s="16">
        <f t="shared" si="84"/>
        <v>50935</v>
      </c>
      <c r="AX84" s="8">
        <f t="shared" si="84"/>
        <v>13619</v>
      </c>
      <c r="AY84" s="16">
        <f t="shared" si="84"/>
        <v>13619</v>
      </c>
    </row>
    <row r="85" spans="1:51" ht="12.75">
      <c r="A85" s="438" t="s">
        <v>219</v>
      </c>
      <c r="B85" s="454"/>
      <c r="C85" s="455"/>
      <c r="D85" s="456"/>
      <c r="E85" s="455"/>
      <c r="F85" s="456"/>
      <c r="G85" s="455"/>
      <c r="H85" s="456"/>
      <c r="I85" s="457"/>
      <c r="J85" s="8">
        <f aca="true" t="shared" si="85" ref="J85:AO85">SUM(J77,J81)</f>
        <v>0</v>
      </c>
      <c r="K85" s="16">
        <f t="shared" si="85"/>
        <v>2885</v>
      </c>
      <c r="L85" s="8">
        <f t="shared" si="85"/>
        <v>750300</v>
      </c>
      <c r="M85" s="16">
        <f t="shared" si="85"/>
        <v>30874</v>
      </c>
      <c r="N85" s="8">
        <f t="shared" si="85"/>
        <v>860372</v>
      </c>
      <c r="O85" s="16">
        <f t="shared" si="85"/>
        <v>27866</v>
      </c>
      <c r="P85" s="8">
        <f t="shared" si="85"/>
        <v>832506</v>
      </c>
      <c r="Q85" s="16">
        <f t="shared" si="85"/>
        <v>78779</v>
      </c>
      <c r="R85" s="8">
        <f t="shared" si="85"/>
        <v>753727</v>
      </c>
      <c r="S85" s="16">
        <f t="shared" si="85"/>
        <v>76854</v>
      </c>
      <c r="T85" s="8">
        <f t="shared" si="85"/>
        <v>676873</v>
      </c>
      <c r="U85" s="16">
        <f t="shared" si="85"/>
        <v>74929</v>
      </c>
      <c r="V85" s="8">
        <f t="shared" si="85"/>
        <v>601944</v>
      </c>
      <c r="W85" s="16">
        <f t="shared" si="85"/>
        <v>73053</v>
      </c>
      <c r="X85" s="8">
        <f t="shared" si="85"/>
        <v>528891</v>
      </c>
      <c r="Y85" s="16">
        <f t="shared" si="85"/>
        <v>71080</v>
      </c>
      <c r="Z85" s="8">
        <f t="shared" si="85"/>
        <v>457811</v>
      </c>
      <c r="AA85" s="16">
        <f t="shared" si="85"/>
        <v>69155</v>
      </c>
      <c r="AB85" s="8">
        <f t="shared" si="85"/>
        <v>388656</v>
      </c>
      <c r="AC85" s="16">
        <f t="shared" si="85"/>
        <v>67230</v>
      </c>
      <c r="AD85" s="8">
        <f t="shared" si="85"/>
        <v>321426</v>
      </c>
      <c r="AE85" s="16">
        <f t="shared" si="85"/>
        <v>65333</v>
      </c>
      <c r="AF85" s="8">
        <f t="shared" si="85"/>
        <v>256093</v>
      </c>
      <c r="AG85" s="16">
        <f t="shared" si="85"/>
        <v>63381</v>
      </c>
      <c r="AH85" s="8">
        <f t="shared" si="85"/>
        <v>192712</v>
      </c>
      <c r="AI85" s="16">
        <f t="shared" si="85"/>
        <v>61456</v>
      </c>
      <c r="AJ85" s="8">
        <f t="shared" si="85"/>
        <v>131256</v>
      </c>
      <c r="AK85" s="16">
        <f t="shared" si="85"/>
        <v>59531</v>
      </c>
      <c r="AL85" s="8">
        <f t="shared" si="85"/>
        <v>71725</v>
      </c>
      <c r="AM85" s="16">
        <f t="shared" si="85"/>
        <v>57613</v>
      </c>
      <c r="AN85" s="8">
        <f t="shared" si="85"/>
        <v>14112</v>
      </c>
      <c r="AO85" s="16">
        <f t="shared" si="85"/>
        <v>14112</v>
      </c>
      <c r="AP85" s="411" t="s">
        <v>35</v>
      </c>
      <c r="AQ85" s="444" t="s">
        <v>35</v>
      </c>
      <c r="AR85" s="411" t="s">
        <v>35</v>
      </c>
      <c r="AS85" s="444" t="s">
        <v>35</v>
      </c>
      <c r="AT85" s="411" t="s">
        <v>35</v>
      </c>
      <c r="AU85" s="444" t="s">
        <v>35</v>
      </c>
      <c r="AV85" s="411" t="s">
        <v>35</v>
      </c>
      <c r="AW85" s="444" t="s">
        <v>35</v>
      </c>
      <c r="AX85" s="411" t="s">
        <v>35</v>
      </c>
      <c r="AY85" s="444" t="s">
        <v>35</v>
      </c>
    </row>
    <row r="86" spans="1:51" ht="26.25" thickBot="1">
      <c r="A86" s="445" t="s">
        <v>243</v>
      </c>
      <c r="B86" s="458"/>
      <c r="C86" s="459"/>
      <c r="D86" s="460"/>
      <c r="E86" s="459"/>
      <c r="F86" s="460"/>
      <c r="G86" s="459"/>
      <c r="H86" s="460"/>
      <c r="I86" s="461"/>
      <c r="J86" s="398">
        <f aca="true" t="shared" si="86" ref="J86:AO86">SUM(J78,J82)</f>
        <v>0</v>
      </c>
      <c r="K86" s="17">
        <f t="shared" si="86"/>
        <v>0</v>
      </c>
      <c r="L86" s="398">
        <f t="shared" si="86"/>
        <v>0</v>
      </c>
      <c r="M86" s="17">
        <f t="shared" si="86"/>
        <v>0</v>
      </c>
      <c r="N86" s="398">
        <f t="shared" si="86"/>
        <v>0</v>
      </c>
      <c r="O86" s="17">
        <f t="shared" si="86"/>
        <v>0</v>
      </c>
      <c r="P86" s="398">
        <f t="shared" si="86"/>
        <v>0</v>
      </c>
      <c r="Q86" s="17">
        <f t="shared" si="86"/>
        <v>0</v>
      </c>
      <c r="R86" s="398">
        <f t="shared" si="86"/>
        <v>0</v>
      </c>
      <c r="S86" s="17">
        <f t="shared" si="86"/>
        <v>0</v>
      </c>
      <c r="T86" s="398">
        <f t="shared" si="86"/>
        <v>0</v>
      </c>
      <c r="U86" s="17">
        <f t="shared" si="86"/>
        <v>0</v>
      </c>
      <c r="V86" s="398">
        <f t="shared" si="86"/>
        <v>0</v>
      </c>
      <c r="W86" s="17">
        <f t="shared" si="86"/>
        <v>0</v>
      </c>
      <c r="X86" s="398">
        <f t="shared" si="86"/>
        <v>0</v>
      </c>
      <c r="Y86" s="17">
        <f t="shared" si="86"/>
        <v>0</v>
      </c>
      <c r="Z86" s="398">
        <f t="shared" si="86"/>
        <v>0</v>
      </c>
      <c r="AA86" s="17">
        <f t="shared" si="86"/>
        <v>0</v>
      </c>
      <c r="AB86" s="398">
        <f t="shared" si="86"/>
        <v>0</v>
      </c>
      <c r="AC86" s="17">
        <f t="shared" si="86"/>
        <v>0</v>
      </c>
      <c r="AD86" s="398">
        <f t="shared" si="86"/>
        <v>0</v>
      </c>
      <c r="AE86" s="17">
        <f t="shared" si="86"/>
        <v>0</v>
      </c>
      <c r="AF86" s="398">
        <f t="shared" si="86"/>
        <v>0</v>
      </c>
      <c r="AG86" s="17">
        <f t="shared" si="86"/>
        <v>0</v>
      </c>
      <c r="AH86" s="398">
        <f t="shared" si="86"/>
        <v>0</v>
      </c>
      <c r="AI86" s="17">
        <f t="shared" si="86"/>
        <v>0</v>
      </c>
      <c r="AJ86" s="398">
        <f t="shared" si="86"/>
        <v>0</v>
      </c>
      <c r="AK86" s="17">
        <f t="shared" si="86"/>
        <v>0</v>
      </c>
      <c r="AL86" s="398">
        <f t="shared" si="86"/>
        <v>0</v>
      </c>
      <c r="AM86" s="17">
        <f t="shared" si="86"/>
        <v>0</v>
      </c>
      <c r="AN86" s="398">
        <f t="shared" si="86"/>
        <v>0</v>
      </c>
      <c r="AO86" s="17">
        <f t="shared" si="86"/>
        <v>0</v>
      </c>
      <c r="AP86" s="398">
        <f>SUM(AP78,AP82)</f>
        <v>0</v>
      </c>
      <c r="AQ86" s="17">
        <f>SUM(AQ78,AQ82)</f>
        <v>0</v>
      </c>
      <c r="AR86" s="452" t="s">
        <v>35</v>
      </c>
      <c r="AS86" s="453" t="s">
        <v>35</v>
      </c>
      <c r="AT86" s="452" t="s">
        <v>35</v>
      </c>
      <c r="AU86" s="453" t="s">
        <v>35</v>
      </c>
      <c r="AV86" s="452" t="s">
        <v>35</v>
      </c>
      <c r="AW86" s="453" t="s">
        <v>35</v>
      </c>
      <c r="AX86" s="452" t="s">
        <v>35</v>
      </c>
      <c r="AY86" s="453" t="s">
        <v>35</v>
      </c>
    </row>
    <row r="87" spans="1:51" s="415" customFormat="1" ht="13.5" thickTop="1">
      <c r="A87" s="420" t="s">
        <v>221</v>
      </c>
      <c r="B87" s="419"/>
      <c r="C87" s="416"/>
      <c r="D87" s="417"/>
      <c r="E87" s="416"/>
      <c r="F87" s="417"/>
      <c r="G87" s="416"/>
      <c r="H87" s="417"/>
      <c r="I87" s="423"/>
      <c r="J87" s="29">
        <f aca="true" t="shared" si="87" ref="J87:AY87">SUM(J84:J86)</f>
        <v>3934366</v>
      </c>
      <c r="K87" s="418">
        <f t="shared" si="87"/>
        <v>538569</v>
      </c>
      <c r="L87" s="29">
        <f t="shared" si="87"/>
        <v>5129266</v>
      </c>
      <c r="M87" s="418">
        <f t="shared" si="87"/>
        <v>611512</v>
      </c>
      <c r="N87" s="29">
        <f t="shared" si="87"/>
        <v>5362746</v>
      </c>
      <c r="O87" s="418">
        <f t="shared" si="87"/>
        <v>608877</v>
      </c>
      <c r="P87" s="29">
        <f t="shared" si="87"/>
        <v>4753869</v>
      </c>
      <c r="Q87" s="418">
        <f t="shared" si="87"/>
        <v>640616</v>
      </c>
      <c r="R87" s="29">
        <f t="shared" si="87"/>
        <v>4113253</v>
      </c>
      <c r="S87" s="418">
        <f t="shared" si="87"/>
        <v>619583</v>
      </c>
      <c r="T87" s="29">
        <f t="shared" si="87"/>
        <v>3493670</v>
      </c>
      <c r="U87" s="418">
        <f t="shared" si="87"/>
        <v>513105</v>
      </c>
      <c r="V87" s="29">
        <f t="shared" si="87"/>
        <v>2980565</v>
      </c>
      <c r="W87" s="418">
        <f t="shared" si="87"/>
        <v>483993</v>
      </c>
      <c r="X87" s="29">
        <f t="shared" si="87"/>
        <v>2496572</v>
      </c>
      <c r="Y87" s="418">
        <f t="shared" si="87"/>
        <v>398832</v>
      </c>
      <c r="Z87" s="29">
        <f t="shared" si="87"/>
        <v>2097740</v>
      </c>
      <c r="AA87" s="418">
        <f t="shared" si="87"/>
        <v>291837</v>
      </c>
      <c r="AB87" s="29">
        <f t="shared" si="87"/>
        <v>1805903</v>
      </c>
      <c r="AC87" s="418">
        <f t="shared" si="87"/>
        <v>242778</v>
      </c>
      <c r="AD87" s="29">
        <f t="shared" si="87"/>
        <v>1563125</v>
      </c>
      <c r="AE87" s="418">
        <f t="shared" si="87"/>
        <v>235025</v>
      </c>
      <c r="AF87" s="29">
        <f t="shared" si="87"/>
        <v>1328100</v>
      </c>
      <c r="AG87" s="418">
        <f t="shared" si="87"/>
        <v>226938</v>
      </c>
      <c r="AH87" s="29">
        <f t="shared" si="87"/>
        <v>1101162</v>
      </c>
      <c r="AI87" s="418">
        <f t="shared" si="87"/>
        <v>218690</v>
      </c>
      <c r="AJ87" s="29">
        <f t="shared" si="87"/>
        <v>882472</v>
      </c>
      <c r="AK87" s="418">
        <f t="shared" si="87"/>
        <v>210439</v>
      </c>
      <c r="AL87" s="29">
        <f t="shared" si="87"/>
        <v>672033</v>
      </c>
      <c r="AM87" s="418">
        <f t="shared" si="87"/>
        <v>202601</v>
      </c>
      <c r="AN87" s="29">
        <f t="shared" si="87"/>
        <v>469432</v>
      </c>
      <c r="AO87" s="418">
        <f t="shared" si="87"/>
        <v>153031</v>
      </c>
      <c r="AP87" s="29">
        <f t="shared" si="87"/>
        <v>316401</v>
      </c>
      <c r="AQ87" s="418">
        <f t="shared" si="87"/>
        <v>93373</v>
      </c>
      <c r="AR87" s="29">
        <f t="shared" si="87"/>
        <v>223028</v>
      </c>
      <c r="AS87" s="418">
        <f t="shared" si="87"/>
        <v>81100</v>
      </c>
      <c r="AT87" s="29">
        <f t="shared" si="87"/>
        <v>141928</v>
      </c>
      <c r="AU87" s="418">
        <f t="shared" si="87"/>
        <v>77374</v>
      </c>
      <c r="AV87" s="29">
        <f t="shared" si="87"/>
        <v>64554</v>
      </c>
      <c r="AW87" s="418">
        <f t="shared" si="87"/>
        <v>50935</v>
      </c>
      <c r="AX87" s="29">
        <f t="shared" si="87"/>
        <v>13619</v>
      </c>
      <c r="AY87" s="418">
        <f t="shared" si="87"/>
        <v>13619</v>
      </c>
    </row>
  </sheetData>
  <mergeCells count="50">
    <mergeCell ref="AX73:AY73"/>
    <mergeCell ref="AP73:AQ73"/>
    <mergeCell ref="AR73:AS73"/>
    <mergeCell ref="AT73:AU73"/>
    <mergeCell ref="AV73:AW73"/>
    <mergeCell ref="AH73:AI73"/>
    <mergeCell ref="AJ73:AK73"/>
    <mergeCell ref="AL73:AM73"/>
    <mergeCell ref="AN73:AO73"/>
    <mergeCell ref="Z73:AA73"/>
    <mergeCell ref="AB73:AC73"/>
    <mergeCell ref="AD73:AE73"/>
    <mergeCell ref="AF73:AG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J2:K2"/>
    <mergeCell ref="L2:M2"/>
    <mergeCell ref="N2:O2"/>
    <mergeCell ref="B2:C2"/>
    <mergeCell ref="D2:E2"/>
    <mergeCell ref="F2:G2"/>
    <mergeCell ref="H2:I2"/>
    <mergeCell ref="P2:Q2"/>
    <mergeCell ref="R2:S2"/>
    <mergeCell ref="T2:U2"/>
    <mergeCell ref="V2:W2"/>
    <mergeCell ref="X2:Y2"/>
    <mergeCell ref="Z2:AA2"/>
    <mergeCell ref="AB2:AC2"/>
    <mergeCell ref="AD2:AE2"/>
    <mergeCell ref="AX2:AY2"/>
    <mergeCell ref="AF2:AG2"/>
    <mergeCell ref="AP2:AQ2"/>
    <mergeCell ref="AH2:AI2"/>
    <mergeCell ref="AJ2:AK2"/>
    <mergeCell ref="AL2:AM2"/>
    <mergeCell ref="AN2:AO2"/>
    <mergeCell ref="AR2:AS2"/>
    <mergeCell ref="AT2:AU2"/>
    <mergeCell ref="AV2:AW2"/>
  </mergeCells>
  <printOptions horizontalCentered="1"/>
  <pageMargins left="0.3937007874015748" right="0.3937007874015748" top="0.3937007874015748" bottom="0.1968503937007874" header="0" footer="0"/>
  <pageSetup blackAndWhite="1" horizontalDpi="300" verticalDpi="300" orientation="portrait" pageOrder="overThenDown" paperSize="9" scale="68" r:id="rId1"/>
  <headerFooter alignWithMargins="0">
    <oddHeader>&amp;C&amp;"Times New Roman CE,Félkövér"&amp;16Kimutatás az önkormányzat fejlesztési célú adósságszolgálatának alakulásáról &amp;R2. sz. kimutatás
(ezer Ft-ban)</oddHeader>
    <oddFooter>&amp;L2007. február 26.&amp;Cadósságszolgálat_2006.\&amp;F\&amp;A    Oláhné P. Andrea&amp;R&amp;P/&amp;N</oddFooter>
  </headerFooter>
  <colBreaks count="5" manualBreakCount="5">
    <brk id="17" max="65535" man="1"/>
    <brk id="25" max="65535" man="1"/>
    <brk id="33" max="65535" man="1"/>
    <brk id="41" max="65535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workbookViewId="0" topLeftCell="A1">
      <pane ySplit="6" topLeftCell="BM104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0.875" style="58" customWidth="1"/>
    <col min="2" max="2" width="6.875" style="58" customWidth="1"/>
    <col min="3" max="3" width="12.375" style="124" bestFit="1" customWidth="1"/>
    <col min="4" max="4" width="12.625" style="124" bestFit="1" customWidth="1"/>
    <col min="5" max="5" width="9.00390625" style="125" customWidth="1"/>
    <col min="6" max="6" width="11.375" style="58" customWidth="1"/>
    <col min="7" max="7" width="12.625" style="58" bestFit="1" customWidth="1"/>
    <col min="8" max="9" width="12.375" style="58" customWidth="1"/>
    <col min="10" max="10" width="10.125" style="58" bestFit="1" customWidth="1"/>
    <col min="11" max="16384" width="9.375" style="58" customWidth="1"/>
  </cols>
  <sheetData>
    <row r="1" spans="1:9" ht="12.75">
      <c r="A1" s="166" t="s">
        <v>78</v>
      </c>
      <c r="B1" s="165"/>
      <c r="C1" s="166"/>
      <c r="D1" s="166"/>
      <c r="E1" s="167"/>
      <c r="G1" s="166"/>
      <c r="H1" s="166"/>
      <c r="I1" s="166"/>
    </row>
    <row r="2" spans="1:9" ht="12.75">
      <c r="A2" s="138" t="s">
        <v>1</v>
      </c>
      <c r="B2" s="136"/>
      <c r="C2" s="135"/>
      <c r="D2" s="135"/>
      <c r="E2" s="168"/>
      <c r="F2" s="135"/>
      <c r="G2" s="135"/>
      <c r="H2" s="135"/>
      <c r="I2" s="135"/>
    </row>
    <row r="3" spans="1:9" ht="12.75">
      <c r="A3" s="137" t="s">
        <v>62</v>
      </c>
      <c r="B3" s="136"/>
      <c r="C3" s="135"/>
      <c r="D3" s="135"/>
      <c r="E3" s="168"/>
      <c r="F3" s="135"/>
      <c r="G3" s="135"/>
      <c r="H3" s="135"/>
      <c r="I3" s="136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84">
        <v>36526</v>
      </c>
      <c r="B7" s="140"/>
      <c r="C7" s="141">
        <v>200000000</v>
      </c>
      <c r="D7" s="141"/>
      <c r="E7" s="141"/>
      <c r="F7" s="141"/>
      <c r="G7" s="151"/>
      <c r="H7" s="151"/>
      <c r="I7" s="152"/>
    </row>
    <row r="8" spans="1:9" ht="12.75">
      <c r="A8" s="84">
        <v>36616</v>
      </c>
      <c r="B8" s="140">
        <f aca="true" t="shared" si="0" ref="B8:B50">A8-A7</f>
        <v>90</v>
      </c>
      <c r="C8" s="141">
        <v>200000000</v>
      </c>
      <c r="D8" s="140"/>
      <c r="E8" s="53">
        <v>0.1413</v>
      </c>
      <c r="F8" s="141">
        <f>C8*E8/365*B8</f>
        <v>6968219.178082192</v>
      </c>
      <c r="G8" s="151"/>
      <c r="H8" s="151"/>
      <c r="I8" s="152"/>
    </row>
    <row r="9" spans="1:9" ht="12.75">
      <c r="A9" s="84">
        <v>36705</v>
      </c>
      <c r="B9" s="140">
        <f t="shared" si="0"/>
        <v>89</v>
      </c>
      <c r="C9" s="141">
        <f aca="true" t="shared" si="1" ref="C9:C49">C8-D9</f>
        <v>196667000</v>
      </c>
      <c r="D9" s="141">
        <v>3333000</v>
      </c>
      <c r="E9" s="53"/>
      <c r="F9" s="141"/>
      <c r="G9" s="151"/>
      <c r="H9" s="151"/>
      <c r="I9" s="152"/>
    </row>
    <row r="10" spans="1:9" ht="12.75">
      <c r="A10" s="84">
        <v>36707</v>
      </c>
      <c r="B10" s="140">
        <f t="shared" si="0"/>
        <v>2</v>
      </c>
      <c r="C10" s="141">
        <f t="shared" si="1"/>
        <v>196667000</v>
      </c>
      <c r="D10" s="141"/>
      <c r="E10" s="53">
        <v>0.109</v>
      </c>
      <c r="F10" s="141">
        <f>((C9+D9)*E10/365*B9)+(C10*E10/365*B10)</f>
        <v>5433077.824657533</v>
      </c>
      <c r="G10" s="151"/>
      <c r="H10" s="151"/>
      <c r="I10" s="152"/>
    </row>
    <row r="11" spans="1:9" ht="12.75">
      <c r="A11" s="84">
        <v>36735</v>
      </c>
      <c r="B11" s="140">
        <f t="shared" si="0"/>
        <v>28</v>
      </c>
      <c r="C11" s="141">
        <f t="shared" si="1"/>
        <v>193334000</v>
      </c>
      <c r="D11" s="141">
        <v>3333000</v>
      </c>
      <c r="E11" s="53"/>
      <c r="F11" s="141"/>
      <c r="G11" s="151"/>
      <c r="H11" s="151"/>
      <c r="I11" s="152"/>
    </row>
    <row r="12" spans="1:9" ht="12.75">
      <c r="A12" s="84">
        <v>36766</v>
      </c>
      <c r="B12" s="140">
        <f t="shared" si="0"/>
        <v>31</v>
      </c>
      <c r="C12" s="141">
        <f t="shared" si="1"/>
        <v>190001000</v>
      </c>
      <c r="D12" s="141">
        <v>3333000</v>
      </c>
      <c r="E12" s="53"/>
      <c r="F12" s="141"/>
      <c r="G12" s="151"/>
      <c r="H12" s="151"/>
      <c r="I12" s="152"/>
    </row>
    <row r="13" spans="1:9" ht="12.75">
      <c r="A13" s="84">
        <v>36797</v>
      </c>
      <c r="B13" s="140">
        <f t="shared" si="0"/>
        <v>31</v>
      </c>
      <c r="C13" s="141">
        <f t="shared" si="1"/>
        <v>186668000</v>
      </c>
      <c r="D13" s="141">
        <v>3333000</v>
      </c>
      <c r="E13" s="53"/>
      <c r="F13" s="141"/>
      <c r="G13" s="151"/>
      <c r="H13" s="151"/>
      <c r="I13" s="152"/>
    </row>
    <row r="14" spans="1:9" ht="12.75">
      <c r="A14" s="84">
        <v>36799</v>
      </c>
      <c r="B14" s="140">
        <f t="shared" si="0"/>
        <v>2</v>
      </c>
      <c r="C14" s="141">
        <f t="shared" si="1"/>
        <v>186668000</v>
      </c>
      <c r="D14" s="141"/>
      <c r="E14" s="53">
        <v>0.1111</v>
      </c>
      <c r="F14" s="141">
        <f>((C11+D11)*E14/365*B11)+((C12+D12)*E14/365*B12)+((C13+D13)*E14/365*B13)+C14*E14/365*B14</f>
        <v>5406886.045753424</v>
      </c>
      <c r="G14" s="151"/>
      <c r="H14" s="151"/>
      <c r="I14" s="152"/>
    </row>
    <row r="15" spans="1:9" ht="12.75">
      <c r="A15" s="84">
        <v>36827</v>
      </c>
      <c r="B15" s="140">
        <f t="shared" si="0"/>
        <v>28</v>
      </c>
      <c r="C15" s="141">
        <f t="shared" si="1"/>
        <v>183335000</v>
      </c>
      <c r="D15" s="141">
        <v>3333000</v>
      </c>
      <c r="E15" s="53"/>
      <c r="F15" s="141"/>
      <c r="G15" s="151"/>
      <c r="H15" s="151"/>
      <c r="I15" s="152"/>
    </row>
    <row r="16" spans="1:9" ht="12.75">
      <c r="A16" s="84">
        <v>36858</v>
      </c>
      <c r="B16" s="140">
        <f t="shared" si="0"/>
        <v>31</v>
      </c>
      <c r="C16" s="141">
        <f t="shared" si="1"/>
        <v>180002000</v>
      </c>
      <c r="D16" s="141">
        <v>3333000</v>
      </c>
      <c r="E16" s="53"/>
      <c r="F16" s="141"/>
      <c r="G16" s="151"/>
      <c r="H16" s="151"/>
      <c r="I16" s="152"/>
    </row>
    <row r="17" spans="1:9" ht="12.75">
      <c r="A17" s="84">
        <v>36888</v>
      </c>
      <c r="B17" s="140">
        <f t="shared" si="0"/>
        <v>30</v>
      </c>
      <c r="C17" s="141">
        <f t="shared" si="1"/>
        <v>176669000</v>
      </c>
      <c r="D17" s="141">
        <v>3333000</v>
      </c>
      <c r="E17" s="53"/>
      <c r="F17" s="141"/>
      <c r="G17" s="151"/>
      <c r="H17" s="151"/>
      <c r="I17" s="152"/>
    </row>
    <row r="18" spans="1:9" ht="12.75">
      <c r="A18" s="145">
        <v>36891</v>
      </c>
      <c r="B18" s="246">
        <f t="shared" si="0"/>
        <v>3</v>
      </c>
      <c r="C18" s="146">
        <f t="shared" si="1"/>
        <v>176669000</v>
      </c>
      <c r="D18" s="146"/>
      <c r="E18" s="100">
        <f>E14</f>
        <v>0.1111</v>
      </c>
      <c r="F18" s="147">
        <f>((C15+D15)*E18/365*B15)+((C16+D16)*E18/365*B16)+((C17+D17)*E18/365*B17)+C18*E18/365*B18</f>
        <v>5125866.661917808</v>
      </c>
      <c r="G18" s="153">
        <f>SUM(F8:F18)</f>
        <v>22934049.71041096</v>
      </c>
      <c r="H18" s="153">
        <f>SUM(D9:D18)</f>
        <v>23331000</v>
      </c>
      <c r="I18" s="154">
        <f>SUM(G18:H18)</f>
        <v>46265049.71041096</v>
      </c>
    </row>
    <row r="19" spans="1:9" ht="12.75">
      <c r="A19" s="84">
        <v>36919</v>
      </c>
      <c r="B19" s="140">
        <f t="shared" si="0"/>
        <v>28</v>
      </c>
      <c r="C19" s="141">
        <f t="shared" si="1"/>
        <v>173336000</v>
      </c>
      <c r="D19" s="141">
        <v>3333000</v>
      </c>
      <c r="E19" s="53"/>
      <c r="F19" s="141"/>
      <c r="G19" s="151"/>
      <c r="H19" s="151"/>
      <c r="I19" s="152"/>
    </row>
    <row r="20" spans="1:9" ht="12.75">
      <c r="A20" s="84">
        <v>36950</v>
      </c>
      <c r="B20" s="140">
        <f t="shared" si="0"/>
        <v>31</v>
      </c>
      <c r="C20" s="141">
        <f t="shared" si="1"/>
        <v>170003000</v>
      </c>
      <c r="D20" s="141">
        <v>3333000</v>
      </c>
      <c r="E20" s="53"/>
      <c r="F20" s="141"/>
      <c r="G20" s="151"/>
      <c r="H20" s="151"/>
      <c r="I20" s="152"/>
    </row>
    <row r="21" spans="1:9" ht="12.75">
      <c r="A21" s="84">
        <v>36978</v>
      </c>
      <c r="B21" s="140">
        <f t="shared" si="0"/>
        <v>28</v>
      </c>
      <c r="C21" s="141">
        <f t="shared" si="1"/>
        <v>166670000</v>
      </c>
      <c r="D21" s="141">
        <v>3333000</v>
      </c>
      <c r="E21" s="53"/>
      <c r="F21" s="141"/>
      <c r="G21" s="151"/>
      <c r="H21" s="151"/>
      <c r="I21" s="152"/>
    </row>
    <row r="22" spans="1:9" ht="12.75">
      <c r="A22" s="90">
        <v>36981</v>
      </c>
      <c r="B22" s="247">
        <f t="shared" si="0"/>
        <v>3</v>
      </c>
      <c r="C22" s="157">
        <f t="shared" si="1"/>
        <v>166670000</v>
      </c>
      <c r="D22" s="157"/>
      <c r="E22" s="53">
        <f>F22/(((C19+D19)*B19)+((C20+D20)*B20)+((C21+D21)*B21)+(C22*B22))*365</f>
        <v>0.12369512617326484</v>
      </c>
      <c r="F22" s="141">
        <v>5280000</v>
      </c>
      <c r="G22" s="158"/>
      <c r="H22" s="158"/>
      <c r="I22" s="159"/>
    </row>
    <row r="23" spans="1:9" ht="12.75">
      <c r="A23" s="90">
        <v>37009</v>
      </c>
      <c r="B23" s="247">
        <f t="shared" si="0"/>
        <v>28</v>
      </c>
      <c r="C23" s="157">
        <f t="shared" si="1"/>
        <v>163337000</v>
      </c>
      <c r="D23" s="157">
        <v>3333000</v>
      </c>
      <c r="E23" s="53"/>
      <c r="F23" s="157"/>
      <c r="G23" s="158"/>
      <c r="H23" s="158"/>
      <c r="I23" s="159"/>
    </row>
    <row r="24" spans="1:9" ht="12.75">
      <c r="A24" s="84">
        <v>37039</v>
      </c>
      <c r="B24" s="140">
        <f t="shared" si="0"/>
        <v>30</v>
      </c>
      <c r="C24" s="141">
        <f t="shared" si="1"/>
        <v>160004000</v>
      </c>
      <c r="D24" s="141">
        <v>3333000</v>
      </c>
      <c r="E24" s="53"/>
      <c r="F24" s="141"/>
      <c r="G24" s="151"/>
      <c r="H24" s="151"/>
      <c r="I24" s="152"/>
    </row>
    <row r="25" spans="1:9" ht="12.75">
      <c r="A25" s="84">
        <v>37070</v>
      </c>
      <c r="B25" s="140">
        <f t="shared" si="0"/>
        <v>31</v>
      </c>
      <c r="C25" s="141">
        <f t="shared" si="1"/>
        <v>156671000</v>
      </c>
      <c r="D25" s="141">
        <v>3333000</v>
      </c>
      <c r="E25" s="53"/>
      <c r="F25" s="141"/>
      <c r="G25" s="151"/>
      <c r="H25" s="151"/>
      <c r="I25" s="152"/>
    </row>
    <row r="26" spans="1:9" ht="12.75">
      <c r="A26" s="90">
        <v>37072</v>
      </c>
      <c r="B26" s="247">
        <f t="shared" si="0"/>
        <v>2</v>
      </c>
      <c r="C26" s="157">
        <f t="shared" si="1"/>
        <v>156671000</v>
      </c>
      <c r="D26" s="157"/>
      <c r="E26" s="53">
        <f>F26/(((C23+D23)*B23)+((C24+D24)*B24)+((C25+D25)*B25)+(C26*B26))*365</f>
        <v>0.11492800264091056</v>
      </c>
      <c r="F26" s="141">
        <v>4672795</v>
      </c>
      <c r="G26" s="158"/>
      <c r="H26" s="158"/>
      <c r="I26" s="159"/>
    </row>
    <row r="27" spans="1:9" ht="12.75">
      <c r="A27" s="90">
        <v>37100</v>
      </c>
      <c r="B27" s="247">
        <f t="shared" si="0"/>
        <v>28</v>
      </c>
      <c r="C27" s="157">
        <f t="shared" si="1"/>
        <v>153338000</v>
      </c>
      <c r="D27" s="157">
        <v>3333000</v>
      </c>
      <c r="E27" s="248"/>
      <c r="F27" s="157"/>
      <c r="G27" s="158"/>
      <c r="H27" s="158"/>
      <c r="I27" s="159"/>
    </row>
    <row r="28" spans="1:9" ht="12.75">
      <c r="A28" s="84">
        <v>37131</v>
      </c>
      <c r="B28" s="140">
        <f t="shared" si="0"/>
        <v>31</v>
      </c>
      <c r="C28" s="141">
        <f t="shared" si="1"/>
        <v>150005000</v>
      </c>
      <c r="D28" s="141">
        <v>3333000</v>
      </c>
      <c r="E28" s="53"/>
      <c r="F28" s="141"/>
      <c r="G28" s="151"/>
      <c r="H28" s="151"/>
      <c r="I28" s="152"/>
    </row>
    <row r="29" spans="1:9" ht="12.75">
      <c r="A29" s="84">
        <v>37162</v>
      </c>
      <c r="B29" s="140">
        <f t="shared" si="0"/>
        <v>31</v>
      </c>
      <c r="C29" s="141">
        <f t="shared" si="1"/>
        <v>146672000</v>
      </c>
      <c r="D29" s="141">
        <v>3333000</v>
      </c>
      <c r="E29" s="53"/>
      <c r="F29" s="141"/>
      <c r="G29" s="151"/>
      <c r="H29" s="151"/>
      <c r="I29" s="152"/>
    </row>
    <row r="30" spans="1:9" ht="12.75">
      <c r="A30" s="84">
        <v>37164</v>
      </c>
      <c r="B30" s="140">
        <f t="shared" si="0"/>
        <v>2</v>
      </c>
      <c r="C30" s="141">
        <f t="shared" si="1"/>
        <v>146672000</v>
      </c>
      <c r="D30" s="141"/>
      <c r="E30" s="53">
        <f>F30/(((C27+D27)*B27)+((C28+D28)*B28)+((C29+D29)*B29)+(C30*B30))*365</f>
        <v>0.11060316896795708</v>
      </c>
      <c r="F30" s="141">
        <v>4267696</v>
      </c>
      <c r="G30" s="151"/>
      <c r="H30" s="151"/>
      <c r="I30" s="152"/>
    </row>
    <row r="31" spans="1:9" ht="12.75">
      <c r="A31" s="84">
        <v>37192</v>
      </c>
      <c r="B31" s="140">
        <f t="shared" si="0"/>
        <v>28</v>
      </c>
      <c r="C31" s="141">
        <f t="shared" si="1"/>
        <v>143339000</v>
      </c>
      <c r="D31" s="141">
        <v>3333000</v>
      </c>
      <c r="E31" s="53"/>
      <c r="F31" s="141"/>
      <c r="G31" s="151"/>
      <c r="H31" s="151"/>
      <c r="I31" s="152"/>
    </row>
    <row r="32" spans="1:9" ht="12.75">
      <c r="A32" s="84">
        <v>37223</v>
      </c>
      <c r="B32" s="140">
        <f t="shared" si="0"/>
        <v>31</v>
      </c>
      <c r="C32" s="141">
        <f t="shared" si="1"/>
        <v>140006000</v>
      </c>
      <c r="D32" s="141">
        <v>3333000</v>
      </c>
      <c r="E32" s="53"/>
      <c r="F32" s="141"/>
      <c r="G32" s="151"/>
      <c r="H32" s="151"/>
      <c r="I32" s="152"/>
    </row>
    <row r="33" spans="1:9" ht="12.75">
      <c r="A33" s="84">
        <v>37253</v>
      </c>
      <c r="B33" s="140">
        <f t="shared" si="0"/>
        <v>30</v>
      </c>
      <c r="C33" s="141">
        <f t="shared" si="1"/>
        <v>136673000</v>
      </c>
      <c r="D33" s="141">
        <v>3333000</v>
      </c>
      <c r="E33" s="53"/>
      <c r="F33" s="141"/>
      <c r="G33" s="151"/>
      <c r="H33" s="151"/>
      <c r="I33" s="152"/>
    </row>
    <row r="34" spans="1:9" ht="12.75">
      <c r="A34" s="145">
        <v>37253</v>
      </c>
      <c r="B34" s="246">
        <f t="shared" si="0"/>
        <v>0</v>
      </c>
      <c r="C34" s="146">
        <f t="shared" si="1"/>
        <v>136673000</v>
      </c>
      <c r="D34" s="146"/>
      <c r="E34" s="100">
        <f>F34/(((C31+D31)*B31)+((C32+D32)*B32)+((C33+D33)*B33)+(C34*B34))*365</f>
        <v>0.11486524455305887</v>
      </c>
      <c r="F34" s="147">
        <v>4012575</v>
      </c>
      <c r="G34" s="153">
        <f>SUM(F22:F34)</f>
        <v>18233066</v>
      </c>
      <c r="H34" s="153">
        <f>SUM(D19:D34)</f>
        <v>39996000</v>
      </c>
      <c r="I34" s="154">
        <f>SUM(G34:H34)</f>
        <v>58229066</v>
      </c>
    </row>
    <row r="35" spans="1:9" ht="12.75">
      <c r="A35" s="84">
        <v>37284</v>
      </c>
      <c r="B35" s="140">
        <f t="shared" si="0"/>
        <v>31</v>
      </c>
      <c r="C35" s="141">
        <f t="shared" si="1"/>
        <v>133340000</v>
      </c>
      <c r="D35" s="141">
        <v>3333000</v>
      </c>
      <c r="E35" s="53"/>
      <c r="F35" s="141"/>
      <c r="G35" s="151"/>
      <c r="H35" s="151"/>
      <c r="I35" s="152"/>
    </row>
    <row r="36" spans="1:9" ht="12.75">
      <c r="A36" s="84">
        <v>37315</v>
      </c>
      <c r="B36" s="140">
        <f t="shared" si="0"/>
        <v>31</v>
      </c>
      <c r="C36" s="141">
        <f t="shared" si="1"/>
        <v>130007000</v>
      </c>
      <c r="D36" s="141">
        <v>3333000</v>
      </c>
      <c r="E36" s="53"/>
      <c r="F36" s="141"/>
      <c r="G36" s="151"/>
      <c r="H36" s="151"/>
      <c r="I36" s="152"/>
    </row>
    <row r="37" spans="1:9" ht="12.75">
      <c r="A37" s="84">
        <v>37343</v>
      </c>
      <c r="B37" s="140">
        <f t="shared" si="0"/>
        <v>28</v>
      </c>
      <c r="C37" s="141">
        <f t="shared" si="1"/>
        <v>126674000</v>
      </c>
      <c r="D37" s="141">
        <v>3333000</v>
      </c>
      <c r="E37" s="53"/>
      <c r="F37" s="141"/>
      <c r="G37" s="151"/>
      <c r="H37" s="151"/>
      <c r="I37" s="152"/>
    </row>
    <row r="38" spans="1:9" ht="12.75">
      <c r="A38" s="84">
        <v>37344</v>
      </c>
      <c r="B38" s="140">
        <f t="shared" si="0"/>
        <v>1</v>
      </c>
      <c r="C38" s="141">
        <f t="shared" si="1"/>
        <v>126674000</v>
      </c>
      <c r="D38" s="141"/>
      <c r="E38" s="53">
        <f>F38/(((C35+D35)*B35)+((C36+D36)*B36)+((C37+D37)*B37)+(C38*B38))*365</f>
        <v>0.09924336380997609</v>
      </c>
      <c r="F38" s="141">
        <v>3300120</v>
      </c>
      <c r="G38" s="151"/>
      <c r="H38" s="151"/>
      <c r="I38" s="152"/>
    </row>
    <row r="39" spans="1:9" ht="12.75">
      <c r="A39" s="84">
        <v>37374</v>
      </c>
      <c r="B39" s="140">
        <f t="shared" si="0"/>
        <v>30</v>
      </c>
      <c r="C39" s="141">
        <f t="shared" si="1"/>
        <v>123341000</v>
      </c>
      <c r="D39" s="141">
        <v>3333000</v>
      </c>
      <c r="E39" s="53"/>
      <c r="F39" s="141"/>
      <c r="G39" s="151"/>
      <c r="H39" s="151"/>
      <c r="I39" s="152"/>
    </row>
    <row r="40" spans="1:9" ht="12.75">
      <c r="A40" s="84">
        <v>37404</v>
      </c>
      <c r="B40" s="140">
        <f t="shared" si="0"/>
        <v>30</v>
      </c>
      <c r="C40" s="141">
        <f t="shared" si="1"/>
        <v>120008000</v>
      </c>
      <c r="D40" s="141">
        <v>3333000</v>
      </c>
      <c r="E40" s="53"/>
      <c r="F40" s="141"/>
      <c r="G40" s="151"/>
      <c r="H40" s="151"/>
      <c r="I40" s="152"/>
    </row>
    <row r="41" spans="1:9" ht="12.75">
      <c r="A41" s="84">
        <v>37435</v>
      </c>
      <c r="B41" s="140">
        <f t="shared" si="0"/>
        <v>31</v>
      </c>
      <c r="C41" s="141">
        <f t="shared" si="1"/>
        <v>116675000</v>
      </c>
      <c r="D41" s="141">
        <v>3333000</v>
      </c>
      <c r="E41" s="53"/>
      <c r="F41" s="141"/>
      <c r="G41" s="151"/>
      <c r="H41" s="151"/>
      <c r="I41" s="152"/>
    </row>
    <row r="42" spans="1:9" ht="12.75">
      <c r="A42" s="84">
        <v>37437</v>
      </c>
      <c r="B42" s="140">
        <f t="shared" si="0"/>
        <v>2</v>
      </c>
      <c r="C42" s="141">
        <f t="shared" si="1"/>
        <v>116675000</v>
      </c>
      <c r="D42" s="141"/>
      <c r="E42" s="53">
        <v>0.0845</v>
      </c>
      <c r="F42" s="141">
        <v>2648358</v>
      </c>
      <c r="G42" s="151"/>
      <c r="H42" s="151"/>
      <c r="I42" s="152"/>
    </row>
    <row r="43" spans="1:9" ht="12.75">
      <c r="A43" s="84">
        <v>37465</v>
      </c>
      <c r="B43" s="140">
        <f t="shared" si="0"/>
        <v>28</v>
      </c>
      <c r="C43" s="141">
        <f t="shared" si="1"/>
        <v>113342000</v>
      </c>
      <c r="D43" s="141">
        <v>3333000</v>
      </c>
      <c r="E43" s="53"/>
      <c r="F43" s="141"/>
      <c r="G43" s="151"/>
      <c r="H43" s="151"/>
      <c r="I43" s="152"/>
    </row>
    <row r="44" spans="1:9" ht="12.75">
      <c r="A44" s="84">
        <v>37496</v>
      </c>
      <c r="B44" s="140">
        <f t="shared" si="0"/>
        <v>31</v>
      </c>
      <c r="C44" s="141">
        <f t="shared" si="1"/>
        <v>110009000</v>
      </c>
      <c r="D44" s="141">
        <v>3333000</v>
      </c>
      <c r="E44" s="53"/>
      <c r="F44" s="141"/>
      <c r="G44" s="151"/>
      <c r="H44" s="151"/>
      <c r="I44" s="152"/>
    </row>
    <row r="45" spans="1:9" ht="12.75">
      <c r="A45" s="84">
        <v>37527</v>
      </c>
      <c r="B45" s="140">
        <f t="shared" si="0"/>
        <v>31</v>
      </c>
      <c r="C45" s="141">
        <f t="shared" si="1"/>
        <v>106676000</v>
      </c>
      <c r="D45" s="141">
        <v>3333000</v>
      </c>
      <c r="E45" s="53"/>
      <c r="F45" s="141"/>
      <c r="G45" s="151"/>
      <c r="H45" s="151"/>
      <c r="I45" s="152"/>
    </row>
    <row r="46" spans="1:9" ht="12.75">
      <c r="A46" s="84">
        <v>37529</v>
      </c>
      <c r="B46" s="140">
        <f t="shared" si="0"/>
        <v>2</v>
      </c>
      <c r="C46" s="141">
        <f t="shared" si="1"/>
        <v>106676000</v>
      </c>
      <c r="D46" s="141"/>
      <c r="E46" s="53">
        <v>0.0926</v>
      </c>
      <c r="F46" s="141">
        <v>2730893</v>
      </c>
      <c r="G46" s="151"/>
      <c r="H46" s="151"/>
      <c r="I46" s="152"/>
    </row>
    <row r="47" spans="1:9" ht="12.75">
      <c r="A47" s="84">
        <v>37557</v>
      </c>
      <c r="B47" s="140">
        <f t="shared" si="0"/>
        <v>28</v>
      </c>
      <c r="C47" s="141">
        <f t="shared" si="1"/>
        <v>103343000</v>
      </c>
      <c r="D47" s="141">
        <v>3333000</v>
      </c>
      <c r="E47" s="53"/>
      <c r="F47" s="141"/>
      <c r="G47" s="151"/>
      <c r="H47" s="151"/>
      <c r="I47" s="152"/>
    </row>
    <row r="48" spans="1:9" ht="12.75">
      <c r="A48" s="84">
        <v>37588</v>
      </c>
      <c r="B48" s="140">
        <f t="shared" si="0"/>
        <v>31</v>
      </c>
      <c r="C48" s="141">
        <f t="shared" si="1"/>
        <v>100010000</v>
      </c>
      <c r="D48" s="141">
        <v>3333000</v>
      </c>
      <c r="E48" s="53"/>
      <c r="F48" s="141"/>
      <c r="G48" s="151"/>
      <c r="H48" s="151"/>
      <c r="I48" s="152"/>
    </row>
    <row r="49" spans="1:9" ht="12.75">
      <c r="A49" s="90">
        <v>37618</v>
      </c>
      <c r="B49" s="91">
        <f t="shared" si="0"/>
        <v>30</v>
      </c>
      <c r="C49" s="41">
        <f t="shared" si="1"/>
        <v>96677000</v>
      </c>
      <c r="D49" s="41">
        <v>3333000</v>
      </c>
      <c r="E49" s="92"/>
      <c r="F49" s="41"/>
      <c r="G49" s="93"/>
      <c r="H49" s="93"/>
      <c r="I49" s="152"/>
    </row>
    <row r="50" spans="1:9" ht="12.75">
      <c r="A50" s="97">
        <v>37621</v>
      </c>
      <c r="B50" s="98">
        <f t="shared" si="0"/>
        <v>3</v>
      </c>
      <c r="C50" s="250">
        <v>96677000</v>
      </c>
      <c r="D50" s="99"/>
      <c r="E50" s="191">
        <v>0.0975</v>
      </c>
      <c r="F50" s="99">
        <v>2566289</v>
      </c>
      <c r="G50" s="101">
        <f>SUM(F38:F50)</f>
        <v>11245660</v>
      </c>
      <c r="H50" s="101">
        <f>SUM(D35:D50)</f>
        <v>39996000</v>
      </c>
      <c r="I50" s="149">
        <f>SUM(G50:H50)</f>
        <v>51241660</v>
      </c>
    </row>
    <row r="51" spans="1:9" ht="12.75">
      <c r="A51" s="103">
        <v>37649</v>
      </c>
      <c r="B51" s="104">
        <f aca="true" t="shared" si="2" ref="B51:B115">A51-A50</f>
        <v>28</v>
      </c>
      <c r="C51" s="42">
        <f aca="true" t="shared" si="3" ref="C51:C115">C50-D51</f>
        <v>95850000</v>
      </c>
      <c r="D51" s="42">
        <v>827000</v>
      </c>
      <c r="E51" s="105"/>
      <c r="F51" s="104"/>
      <c r="G51" s="104"/>
      <c r="H51" s="104"/>
      <c r="I51" s="253"/>
    </row>
    <row r="52" spans="1:9" ht="12.75">
      <c r="A52" s="90">
        <v>37680</v>
      </c>
      <c r="B52" s="91">
        <f t="shared" si="2"/>
        <v>31</v>
      </c>
      <c r="C52" s="41">
        <f t="shared" si="3"/>
        <v>94500000</v>
      </c>
      <c r="D52" s="41">
        <v>1350000</v>
      </c>
      <c r="E52" s="95"/>
      <c r="F52" s="91"/>
      <c r="G52" s="91"/>
      <c r="H52" s="91"/>
      <c r="I52" s="242"/>
    </row>
    <row r="53" spans="1:9" ht="12.75">
      <c r="A53" s="90">
        <v>37708</v>
      </c>
      <c r="B53" s="91">
        <f t="shared" si="2"/>
        <v>28</v>
      </c>
      <c r="C53" s="41">
        <f t="shared" si="3"/>
        <v>93150000</v>
      </c>
      <c r="D53" s="41">
        <v>1350000</v>
      </c>
      <c r="E53" s="95"/>
      <c r="F53" s="91"/>
      <c r="G53" s="91"/>
      <c r="H53" s="91"/>
      <c r="I53" s="242"/>
    </row>
    <row r="54" spans="1:9" ht="12.75">
      <c r="A54" s="90">
        <v>37711</v>
      </c>
      <c r="B54" s="91">
        <f t="shared" si="2"/>
        <v>3</v>
      </c>
      <c r="C54" s="41">
        <f t="shared" si="3"/>
        <v>93150000</v>
      </c>
      <c r="D54" s="41"/>
      <c r="E54" s="92">
        <v>0.0842</v>
      </c>
      <c r="F54" s="41">
        <v>2015895</v>
      </c>
      <c r="G54" s="91"/>
      <c r="H54" s="91"/>
      <c r="I54" s="242"/>
    </row>
    <row r="55" spans="1:9" ht="12.75">
      <c r="A55" s="97">
        <v>37739</v>
      </c>
      <c r="B55" s="98">
        <f t="shared" si="2"/>
        <v>28</v>
      </c>
      <c r="C55" s="99">
        <f t="shared" si="3"/>
        <v>91800000</v>
      </c>
      <c r="D55" s="99">
        <v>1350000</v>
      </c>
      <c r="E55" s="191"/>
      <c r="F55" s="98"/>
      <c r="G55" s="98"/>
      <c r="H55" s="98"/>
      <c r="I55" s="261"/>
    </row>
    <row r="56" spans="1:9" ht="12.75">
      <c r="A56" s="103">
        <v>37769</v>
      </c>
      <c r="B56" s="104">
        <f t="shared" si="2"/>
        <v>30</v>
      </c>
      <c r="C56" s="42">
        <f t="shared" si="3"/>
        <v>90450000</v>
      </c>
      <c r="D56" s="86">
        <v>1350000</v>
      </c>
      <c r="E56" s="105"/>
      <c r="F56" s="104"/>
      <c r="G56" s="104"/>
      <c r="H56" s="104"/>
      <c r="I56" s="253"/>
    </row>
    <row r="57" spans="1:9" ht="12.75">
      <c r="A57" s="90">
        <v>37800</v>
      </c>
      <c r="B57" s="91">
        <f t="shared" si="2"/>
        <v>31</v>
      </c>
      <c r="C57" s="41">
        <f t="shared" si="3"/>
        <v>89100000</v>
      </c>
      <c r="D57" s="41">
        <v>1350000</v>
      </c>
      <c r="E57" s="95"/>
      <c r="F57" s="91"/>
      <c r="G57" s="91"/>
      <c r="H57" s="91"/>
      <c r="I57" s="242"/>
    </row>
    <row r="58" spans="1:10" ht="12.75">
      <c r="A58" s="90">
        <v>37802</v>
      </c>
      <c r="B58" s="91">
        <f t="shared" si="2"/>
        <v>2</v>
      </c>
      <c r="C58" s="41">
        <f t="shared" si="3"/>
        <v>89100000</v>
      </c>
      <c r="D58" s="41"/>
      <c r="E58" s="92">
        <v>0.066</v>
      </c>
      <c r="F58" s="41">
        <v>1535002</v>
      </c>
      <c r="G58" s="91"/>
      <c r="H58" s="91"/>
      <c r="I58" s="242"/>
      <c r="J58" s="136"/>
    </row>
    <row r="59" spans="1:9" ht="12.75">
      <c r="A59" s="90">
        <v>37830</v>
      </c>
      <c r="B59" s="91">
        <f t="shared" si="2"/>
        <v>28</v>
      </c>
      <c r="C59" s="41">
        <f t="shared" si="3"/>
        <v>87750000</v>
      </c>
      <c r="D59" s="41">
        <v>1350000</v>
      </c>
      <c r="E59" s="95"/>
      <c r="F59" s="91"/>
      <c r="G59" s="91"/>
      <c r="H59" s="91"/>
      <c r="I59" s="242"/>
    </row>
    <row r="60" spans="1:9" ht="12.75">
      <c r="A60" s="90">
        <v>37861</v>
      </c>
      <c r="B60" s="91">
        <f t="shared" si="2"/>
        <v>31</v>
      </c>
      <c r="C60" s="41">
        <f t="shared" si="3"/>
        <v>86400000</v>
      </c>
      <c r="D60" s="41">
        <v>1350000</v>
      </c>
      <c r="E60" s="95"/>
      <c r="F60" s="91"/>
      <c r="G60" s="91"/>
      <c r="H60" s="91"/>
      <c r="I60" s="242"/>
    </row>
    <row r="61" spans="1:9" ht="12.75">
      <c r="A61" s="90">
        <v>37892</v>
      </c>
      <c r="B61" s="91">
        <f t="shared" si="2"/>
        <v>31</v>
      </c>
      <c r="C61" s="41">
        <f t="shared" si="3"/>
        <v>85050000</v>
      </c>
      <c r="D61" s="41">
        <v>1350000</v>
      </c>
      <c r="E61" s="95"/>
      <c r="F61" s="91"/>
      <c r="G61" s="91"/>
      <c r="H61" s="91"/>
      <c r="I61" s="242"/>
    </row>
    <row r="62" spans="1:9" ht="12.75">
      <c r="A62" s="90">
        <v>37894</v>
      </c>
      <c r="B62" s="91">
        <f t="shared" si="2"/>
        <v>2</v>
      </c>
      <c r="C62" s="41">
        <f t="shared" si="3"/>
        <v>85050000</v>
      </c>
      <c r="D62" s="41"/>
      <c r="E62" s="92">
        <v>0.0888</v>
      </c>
      <c r="F62" s="41">
        <v>1983366</v>
      </c>
      <c r="G62" s="91"/>
      <c r="H62" s="91"/>
      <c r="I62" s="242"/>
    </row>
    <row r="63" spans="1:10" ht="12.75">
      <c r="A63" s="90">
        <v>37922</v>
      </c>
      <c r="B63" s="91">
        <f t="shared" si="2"/>
        <v>28</v>
      </c>
      <c r="C63" s="41">
        <f t="shared" si="3"/>
        <v>83700000</v>
      </c>
      <c r="D63" s="41">
        <v>1350000</v>
      </c>
      <c r="E63" s="95"/>
      <c r="F63" s="91"/>
      <c r="G63" s="91"/>
      <c r="H63" s="91"/>
      <c r="I63" s="242"/>
      <c r="J63" s="124"/>
    </row>
    <row r="64" spans="1:9" ht="12.75">
      <c r="A64" s="90">
        <v>37953</v>
      </c>
      <c r="B64" s="91">
        <f t="shared" si="2"/>
        <v>31</v>
      </c>
      <c r="C64" s="41">
        <f t="shared" si="3"/>
        <v>82350000</v>
      </c>
      <c r="D64" s="41">
        <v>1350000</v>
      </c>
      <c r="E64" s="95"/>
      <c r="F64" s="91"/>
      <c r="G64" s="91"/>
      <c r="H64" s="91"/>
      <c r="I64" s="242"/>
    </row>
    <row r="65" spans="1:9" ht="12.75">
      <c r="A65" s="90">
        <v>37983</v>
      </c>
      <c r="B65" s="91">
        <f t="shared" si="2"/>
        <v>30</v>
      </c>
      <c r="C65" s="41">
        <f t="shared" si="3"/>
        <v>81000000</v>
      </c>
      <c r="D65" s="41">
        <v>1350000</v>
      </c>
      <c r="E65" s="95"/>
      <c r="F65" s="91"/>
      <c r="G65" s="91"/>
      <c r="H65" s="91"/>
      <c r="I65" s="242"/>
    </row>
    <row r="66" spans="1:9" ht="12.75">
      <c r="A66" s="97">
        <v>37986</v>
      </c>
      <c r="B66" s="98">
        <f t="shared" si="2"/>
        <v>3</v>
      </c>
      <c r="C66" s="99">
        <f t="shared" si="3"/>
        <v>81000000</v>
      </c>
      <c r="D66" s="99"/>
      <c r="E66" s="100">
        <v>0.0956</v>
      </c>
      <c r="F66" s="99">
        <v>2040410</v>
      </c>
      <c r="G66" s="101">
        <f>SUM(F54:F66)</f>
        <v>7574673</v>
      </c>
      <c r="H66" s="101">
        <f>SUM(D51:D66)</f>
        <v>15677000</v>
      </c>
      <c r="I66" s="102">
        <f>SUM(G66:H66)</f>
        <v>23251673</v>
      </c>
    </row>
    <row r="67" spans="1:9" ht="12.75">
      <c r="A67" s="84">
        <v>38014</v>
      </c>
      <c r="B67" s="85">
        <f t="shared" si="2"/>
        <v>28</v>
      </c>
      <c r="C67" s="86">
        <f t="shared" si="3"/>
        <v>79650000</v>
      </c>
      <c r="D67" s="41">
        <v>1350000</v>
      </c>
      <c r="E67" s="110"/>
      <c r="F67" s="85"/>
      <c r="G67" s="85"/>
      <c r="H67" s="85"/>
      <c r="I67" s="251"/>
    </row>
    <row r="68" spans="1:9" ht="12.75">
      <c r="A68" s="90">
        <v>38045</v>
      </c>
      <c r="B68" s="91">
        <f t="shared" si="2"/>
        <v>31</v>
      </c>
      <c r="C68" s="41">
        <f t="shared" si="3"/>
        <v>78300000</v>
      </c>
      <c r="D68" s="41">
        <v>1350000</v>
      </c>
      <c r="E68" s="95"/>
      <c r="F68" s="91"/>
      <c r="G68" s="91"/>
      <c r="H68" s="91"/>
      <c r="I68" s="242"/>
    </row>
    <row r="69" spans="1:10" ht="12.75">
      <c r="A69" s="90">
        <v>38074</v>
      </c>
      <c r="B69" s="91">
        <f t="shared" si="2"/>
        <v>29</v>
      </c>
      <c r="C69" s="41">
        <f t="shared" si="3"/>
        <v>76950000</v>
      </c>
      <c r="D69" s="41">
        <v>1350000</v>
      </c>
      <c r="E69" s="95"/>
      <c r="F69" s="91"/>
      <c r="G69" s="91"/>
      <c r="H69" s="91"/>
      <c r="I69" s="242"/>
      <c r="J69" s="124"/>
    </row>
    <row r="70" spans="1:9" ht="12.75">
      <c r="A70" s="90">
        <v>38077</v>
      </c>
      <c r="B70" s="91">
        <f t="shared" si="2"/>
        <v>3</v>
      </c>
      <c r="C70" s="41">
        <f t="shared" si="3"/>
        <v>76950000</v>
      </c>
      <c r="D70" s="41"/>
      <c r="E70" s="92">
        <v>0.125</v>
      </c>
      <c r="F70" s="41">
        <v>2507291</v>
      </c>
      <c r="G70" s="91"/>
      <c r="H70" s="91"/>
      <c r="I70" s="242"/>
    </row>
    <row r="71" spans="1:9" ht="12.75">
      <c r="A71" s="90">
        <v>38105</v>
      </c>
      <c r="B71" s="91">
        <f t="shared" si="2"/>
        <v>28</v>
      </c>
      <c r="C71" s="41">
        <f t="shared" si="3"/>
        <v>75600000</v>
      </c>
      <c r="D71" s="41">
        <v>1350000</v>
      </c>
      <c r="E71" s="95"/>
      <c r="F71" s="91"/>
      <c r="G71" s="91"/>
      <c r="H71" s="91"/>
      <c r="I71" s="242"/>
    </row>
    <row r="72" spans="1:9" ht="12.75">
      <c r="A72" s="90">
        <v>38135</v>
      </c>
      <c r="B72" s="91">
        <f t="shared" si="2"/>
        <v>30</v>
      </c>
      <c r="C72" s="41">
        <f t="shared" si="3"/>
        <v>74250000</v>
      </c>
      <c r="D72" s="41">
        <v>1350000</v>
      </c>
      <c r="E72" s="95"/>
      <c r="F72" s="91"/>
      <c r="G72" s="91"/>
      <c r="H72" s="91"/>
      <c r="I72" s="242"/>
    </row>
    <row r="73" spans="1:9" ht="12.75">
      <c r="A73" s="90">
        <v>38166</v>
      </c>
      <c r="B73" s="91">
        <f t="shared" si="2"/>
        <v>31</v>
      </c>
      <c r="C73" s="41">
        <f t="shared" si="3"/>
        <v>72900000</v>
      </c>
      <c r="D73" s="41">
        <v>1350000</v>
      </c>
      <c r="E73" s="95"/>
      <c r="F73" s="91"/>
      <c r="G73" s="91"/>
      <c r="H73" s="91"/>
      <c r="I73" s="242"/>
    </row>
    <row r="74" spans="1:9" ht="12.75">
      <c r="A74" s="90">
        <v>38168</v>
      </c>
      <c r="B74" s="91">
        <f t="shared" si="2"/>
        <v>2</v>
      </c>
      <c r="C74" s="41">
        <f t="shared" si="3"/>
        <v>72900000</v>
      </c>
      <c r="D74" s="41"/>
      <c r="E74" s="92">
        <v>0.1192</v>
      </c>
      <c r="F74" s="41">
        <v>2276023</v>
      </c>
      <c r="G74" s="91"/>
      <c r="H74" s="91"/>
      <c r="I74" s="242"/>
    </row>
    <row r="75" spans="1:9" ht="12.75">
      <c r="A75" s="90">
        <v>38196</v>
      </c>
      <c r="B75" s="91">
        <f t="shared" si="2"/>
        <v>28</v>
      </c>
      <c r="C75" s="41">
        <f t="shared" si="3"/>
        <v>71550000</v>
      </c>
      <c r="D75" s="41">
        <v>1350000</v>
      </c>
      <c r="E75" s="95"/>
      <c r="F75" s="91"/>
      <c r="G75" s="91"/>
      <c r="H75" s="91"/>
      <c r="I75" s="242"/>
    </row>
    <row r="76" spans="1:9" ht="12.75">
      <c r="A76" s="90">
        <v>38227</v>
      </c>
      <c r="B76" s="91">
        <f t="shared" si="2"/>
        <v>31</v>
      </c>
      <c r="C76" s="41">
        <f t="shared" si="3"/>
        <v>70200000</v>
      </c>
      <c r="D76" s="41">
        <v>1350000</v>
      </c>
      <c r="E76" s="95"/>
      <c r="F76" s="91"/>
      <c r="G76" s="91"/>
      <c r="H76" s="91"/>
      <c r="I76" s="242"/>
    </row>
    <row r="77" spans="1:9" ht="12.75">
      <c r="A77" s="90">
        <v>38258</v>
      </c>
      <c r="B77" s="91">
        <f t="shared" si="2"/>
        <v>31</v>
      </c>
      <c r="C77" s="41">
        <f t="shared" si="3"/>
        <v>68850000</v>
      </c>
      <c r="D77" s="41">
        <v>1350000</v>
      </c>
      <c r="E77" s="95"/>
      <c r="F77" s="91"/>
      <c r="G77" s="91"/>
      <c r="H77" s="91"/>
      <c r="I77" s="242"/>
    </row>
    <row r="78" spans="1:9" ht="12.75">
      <c r="A78" s="90">
        <v>38260</v>
      </c>
      <c r="B78" s="91">
        <f t="shared" si="2"/>
        <v>2</v>
      </c>
      <c r="C78" s="41">
        <f t="shared" si="3"/>
        <v>68850000</v>
      </c>
      <c r="D78" s="41"/>
      <c r="E78" s="92">
        <v>0.1162</v>
      </c>
      <c r="F78" s="41">
        <v>2123146</v>
      </c>
      <c r="G78" s="91"/>
      <c r="H78" s="91"/>
      <c r="I78" s="242"/>
    </row>
    <row r="79" spans="1:9" ht="12.75">
      <c r="A79" s="90">
        <v>38288</v>
      </c>
      <c r="B79" s="91">
        <f t="shared" si="2"/>
        <v>28</v>
      </c>
      <c r="C79" s="41">
        <f t="shared" si="3"/>
        <v>67500000</v>
      </c>
      <c r="D79" s="41">
        <v>1350000</v>
      </c>
      <c r="E79" s="95"/>
      <c r="F79" s="91"/>
      <c r="G79" s="91"/>
      <c r="H79" s="91"/>
      <c r="I79" s="242"/>
    </row>
    <row r="80" spans="1:9" ht="12.75">
      <c r="A80" s="90">
        <v>38320</v>
      </c>
      <c r="B80" s="91">
        <f t="shared" si="2"/>
        <v>32</v>
      </c>
      <c r="C80" s="41">
        <f t="shared" si="3"/>
        <v>66150000</v>
      </c>
      <c r="D80" s="41">
        <v>1350000</v>
      </c>
      <c r="E80" s="95"/>
      <c r="F80" s="91"/>
      <c r="G80" s="91"/>
      <c r="H80" s="91"/>
      <c r="I80" s="242"/>
    </row>
    <row r="81" spans="1:9" ht="12.75">
      <c r="A81" s="90">
        <v>38349</v>
      </c>
      <c r="B81" s="91">
        <f t="shared" si="2"/>
        <v>29</v>
      </c>
      <c r="C81" s="41">
        <f t="shared" si="3"/>
        <v>64800000</v>
      </c>
      <c r="D81" s="41">
        <v>1350000</v>
      </c>
      <c r="E81" s="95"/>
      <c r="F81" s="91"/>
      <c r="G81" s="91"/>
      <c r="H81" s="91"/>
      <c r="I81" s="242"/>
    </row>
    <row r="82" spans="1:9" ht="12.75">
      <c r="A82" s="97">
        <v>38352</v>
      </c>
      <c r="B82" s="98">
        <f t="shared" si="2"/>
        <v>3</v>
      </c>
      <c r="C82" s="99">
        <f t="shared" si="3"/>
        <v>64800000</v>
      </c>
      <c r="D82" s="99"/>
      <c r="E82" s="100">
        <v>0.1105</v>
      </c>
      <c r="F82" s="99">
        <v>1904315</v>
      </c>
      <c r="G82" s="101">
        <f>SUM(F70:F82)</f>
        <v>8810775</v>
      </c>
      <c r="H82" s="101">
        <f>SUM(D67:D82)</f>
        <v>16200000</v>
      </c>
      <c r="I82" s="102">
        <f>SUM(G82:H82)</f>
        <v>25010775</v>
      </c>
    </row>
    <row r="83" spans="1:9" ht="12.75">
      <c r="A83" s="84">
        <v>38380</v>
      </c>
      <c r="B83" s="85">
        <f t="shared" si="2"/>
        <v>28</v>
      </c>
      <c r="C83" s="86">
        <f t="shared" si="3"/>
        <v>63450000</v>
      </c>
      <c r="D83" s="41">
        <v>1350000</v>
      </c>
      <c r="E83" s="110"/>
      <c r="F83" s="85"/>
      <c r="G83" s="85"/>
      <c r="H83" s="85"/>
      <c r="I83" s="251"/>
    </row>
    <row r="84" spans="1:9" ht="12.75">
      <c r="A84" s="90">
        <v>38411</v>
      </c>
      <c r="B84" s="91">
        <f t="shared" si="2"/>
        <v>31</v>
      </c>
      <c r="C84" s="41">
        <f t="shared" si="3"/>
        <v>62100000</v>
      </c>
      <c r="D84" s="41">
        <v>1350000</v>
      </c>
      <c r="E84" s="95"/>
      <c r="F84" s="91"/>
      <c r="G84" s="91"/>
      <c r="H84" s="91"/>
      <c r="I84" s="242"/>
    </row>
    <row r="85" spans="1:9" ht="12.75">
      <c r="A85" s="90">
        <v>38440</v>
      </c>
      <c r="B85" s="91">
        <f t="shared" si="2"/>
        <v>29</v>
      </c>
      <c r="C85" s="41">
        <f t="shared" si="3"/>
        <v>60750000</v>
      </c>
      <c r="D85" s="41">
        <v>1350000</v>
      </c>
      <c r="E85" s="95"/>
      <c r="F85" s="91"/>
      <c r="G85" s="91"/>
      <c r="H85" s="91"/>
      <c r="I85" s="242"/>
    </row>
    <row r="86" spans="1:9" ht="12.75">
      <c r="A86" s="90">
        <v>38442</v>
      </c>
      <c r="B86" s="91">
        <f t="shared" si="2"/>
        <v>2</v>
      </c>
      <c r="C86" s="41">
        <f t="shared" si="3"/>
        <v>60750000</v>
      </c>
      <c r="D86" s="41"/>
      <c r="E86" s="92">
        <v>0.0941</v>
      </c>
      <c r="F86" s="41">
        <v>1493848</v>
      </c>
      <c r="G86" s="91"/>
      <c r="H86" s="91"/>
      <c r="I86" s="242"/>
    </row>
    <row r="87" spans="1:9" ht="12.75">
      <c r="A87" s="90">
        <v>38470</v>
      </c>
      <c r="B87" s="91">
        <f t="shared" si="2"/>
        <v>28</v>
      </c>
      <c r="C87" s="41">
        <f t="shared" si="3"/>
        <v>59400000</v>
      </c>
      <c r="D87" s="41">
        <v>1350000</v>
      </c>
      <c r="E87" s="95"/>
      <c r="F87" s="91"/>
      <c r="G87" s="91"/>
      <c r="H87" s="91"/>
      <c r="I87" s="242"/>
    </row>
    <row r="88" spans="1:9" ht="12.75">
      <c r="A88" s="90">
        <v>38502</v>
      </c>
      <c r="B88" s="91">
        <f t="shared" si="2"/>
        <v>32</v>
      </c>
      <c r="C88" s="41">
        <f t="shared" si="3"/>
        <v>58050000</v>
      </c>
      <c r="D88" s="41">
        <v>1350000</v>
      </c>
      <c r="E88" s="95"/>
      <c r="F88" s="91"/>
      <c r="G88" s="91"/>
      <c r="H88" s="91"/>
      <c r="I88" s="242"/>
    </row>
    <row r="89" spans="1:9" ht="12.75">
      <c r="A89" s="90">
        <v>38531</v>
      </c>
      <c r="B89" s="91">
        <f t="shared" si="2"/>
        <v>29</v>
      </c>
      <c r="C89" s="41">
        <f t="shared" si="3"/>
        <v>56700000</v>
      </c>
      <c r="D89" s="41">
        <v>1350000</v>
      </c>
      <c r="E89" s="95"/>
      <c r="F89" s="91"/>
      <c r="G89" s="91"/>
      <c r="H89" s="91"/>
      <c r="I89" s="242"/>
    </row>
    <row r="90" spans="1:9" ht="12.75">
      <c r="A90" s="90">
        <v>38533</v>
      </c>
      <c r="B90" s="91">
        <f t="shared" si="2"/>
        <v>2</v>
      </c>
      <c r="C90" s="41">
        <f t="shared" si="3"/>
        <v>56700000</v>
      </c>
      <c r="D90" s="41"/>
      <c r="E90" s="92">
        <v>0.0779</v>
      </c>
      <c r="F90" s="41">
        <v>1170942</v>
      </c>
      <c r="G90" s="91"/>
      <c r="H90" s="91"/>
      <c r="I90" s="242"/>
    </row>
    <row r="91" spans="1:9" ht="12.75">
      <c r="A91" s="90">
        <v>38561</v>
      </c>
      <c r="B91" s="91">
        <f t="shared" si="2"/>
        <v>28</v>
      </c>
      <c r="C91" s="41">
        <f t="shared" si="3"/>
        <v>55350000</v>
      </c>
      <c r="D91" s="41">
        <v>1350000</v>
      </c>
      <c r="E91" s="95"/>
      <c r="F91" s="91"/>
      <c r="G91" s="91"/>
      <c r="H91" s="91"/>
      <c r="I91" s="242"/>
    </row>
    <row r="92" spans="1:9" ht="12.75">
      <c r="A92" s="90">
        <v>38593</v>
      </c>
      <c r="B92" s="91">
        <f t="shared" si="2"/>
        <v>32</v>
      </c>
      <c r="C92" s="41">
        <f t="shared" si="3"/>
        <v>54000000</v>
      </c>
      <c r="D92" s="41">
        <v>1350000</v>
      </c>
      <c r="E92" s="95"/>
      <c r="F92" s="91"/>
      <c r="G92" s="91"/>
      <c r="H92" s="91"/>
      <c r="I92" s="242"/>
    </row>
    <row r="93" spans="1:9" ht="12.75">
      <c r="A93" s="90">
        <v>38623</v>
      </c>
      <c r="B93" s="91">
        <f t="shared" si="2"/>
        <v>30</v>
      </c>
      <c r="C93" s="41">
        <f t="shared" si="3"/>
        <v>52650000</v>
      </c>
      <c r="D93" s="41">
        <v>1350000</v>
      </c>
      <c r="E93" s="95"/>
      <c r="F93" s="91"/>
      <c r="G93" s="91"/>
      <c r="H93" s="91"/>
      <c r="I93" s="242"/>
    </row>
    <row r="94" spans="1:9" ht="12.75">
      <c r="A94" s="90">
        <v>38625</v>
      </c>
      <c r="B94" s="91">
        <f t="shared" si="2"/>
        <v>2</v>
      </c>
      <c r="C94" s="41">
        <f t="shared" si="3"/>
        <v>52650000</v>
      </c>
      <c r="D94" s="41"/>
      <c r="E94" s="92">
        <v>0.0697</v>
      </c>
      <c r="F94" s="41">
        <v>985630</v>
      </c>
      <c r="G94" s="91"/>
      <c r="H94" s="91"/>
      <c r="I94" s="242"/>
    </row>
    <row r="95" spans="1:9" ht="12.75">
      <c r="A95" s="90">
        <v>38653</v>
      </c>
      <c r="B95" s="91">
        <f t="shared" si="2"/>
        <v>28</v>
      </c>
      <c r="C95" s="41">
        <f t="shared" si="3"/>
        <v>51300000</v>
      </c>
      <c r="D95" s="41">
        <v>1350000</v>
      </c>
      <c r="E95" s="95"/>
      <c r="F95" s="91"/>
      <c r="G95" s="91"/>
      <c r="H95" s="91"/>
      <c r="I95" s="242"/>
    </row>
    <row r="96" spans="1:9" ht="12.75">
      <c r="A96" s="90">
        <v>38684</v>
      </c>
      <c r="B96" s="91">
        <f t="shared" si="2"/>
        <v>31</v>
      </c>
      <c r="C96" s="41">
        <f t="shared" si="3"/>
        <v>49950000</v>
      </c>
      <c r="D96" s="41">
        <v>1350000</v>
      </c>
      <c r="E96" s="95"/>
      <c r="F96" s="91"/>
      <c r="G96" s="91"/>
      <c r="H96" s="91"/>
      <c r="I96" s="242"/>
    </row>
    <row r="97" spans="1:9" ht="12.75">
      <c r="A97" s="90">
        <v>38714</v>
      </c>
      <c r="B97" s="91">
        <f t="shared" si="2"/>
        <v>30</v>
      </c>
      <c r="C97" s="41">
        <f t="shared" si="3"/>
        <v>48600000</v>
      </c>
      <c r="D97" s="41">
        <v>1350000</v>
      </c>
      <c r="E97" s="95"/>
      <c r="F97" s="91"/>
      <c r="G97" s="91"/>
      <c r="H97" s="91"/>
      <c r="I97" s="242"/>
    </row>
    <row r="98" spans="1:9" ht="12.75">
      <c r="A98" s="97">
        <v>38716</v>
      </c>
      <c r="B98" s="98">
        <f t="shared" si="2"/>
        <v>2</v>
      </c>
      <c r="C98" s="99">
        <f t="shared" si="3"/>
        <v>48600000</v>
      </c>
      <c r="D98" s="99"/>
      <c r="E98" s="100">
        <v>0.0605</v>
      </c>
      <c r="F98" s="99">
        <v>784518</v>
      </c>
      <c r="G98" s="101">
        <f>SUM(F86:F98)</f>
        <v>4434938</v>
      </c>
      <c r="H98" s="101">
        <f>SUM(D83:D98)</f>
        <v>16200000</v>
      </c>
      <c r="I98" s="102">
        <f>SUM(G98:H98)</f>
        <v>20634938</v>
      </c>
    </row>
    <row r="99" spans="1:9" ht="12.75">
      <c r="A99" s="84">
        <v>38747</v>
      </c>
      <c r="B99" s="85">
        <f t="shared" si="2"/>
        <v>31</v>
      </c>
      <c r="C99" s="86">
        <f t="shared" si="3"/>
        <v>47250000</v>
      </c>
      <c r="D99" s="41">
        <v>1350000</v>
      </c>
      <c r="E99" s="110"/>
      <c r="F99" s="85"/>
      <c r="G99" s="85"/>
      <c r="H99" s="85"/>
      <c r="I99" s="251"/>
    </row>
    <row r="100" spans="1:9" ht="12.75">
      <c r="A100" s="90">
        <v>38776</v>
      </c>
      <c r="B100" s="91">
        <f t="shared" si="2"/>
        <v>29</v>
      </c>
      <c r="C100" s="41">
        <f t="shared" si="3"/>
        <v>45900000</v>
      </c>
      <c r="D100" s="41">
        <v>1350000</v>
      </c>
      <c r="E100" s="95"/>
      <c r="F100" s="91"/>
      <c r="G100" s="91"/>
      <c r="H100" s="91"/>
      <c r="I100" s="242"/>
    </row>
    <row r="101" spans="1:9" ht="12.75">
      <c r="A101" s="90">
        <v>38804</v>
      </c>
      <c r="B101" s="91">
        <f t="shared" si="2"/>
        <v>28</v>
      </c>
      <c r="C101" s="41">
        <f t="shared" si="3"/>
        <v>44550000</v>
      </c>
      <c r="D101" s="41">
        <v>1350000</v>
      </c>
      <c r="E101" s="95"/>
      <c r="F101" s="91"/>
      <c r="G101" s="91"/>
      <c r="H101" s="91"/>
      <c r="I101" s="242"/>
    </row>
    <row r="102" spans="1:9" ht="12.75">
      <c r="A102" s="90">
        <v>38807</v>
      </c>
      <c r="B102" s="91">
        <f t="shared" si="2"/>
        <v>3</v>
      </c>
      <c r="C102" s="41">
        <f t="shared" si="3"/>
        <v>44550000</v>
      </c>
      <c r="D102" s="41"/>
      <c r="E102" s="92">
        <v>0.0632</v>
      </c>
      <c r="F102" s="41">
        <v>753405</v>
      </c>
      <c r="G102" s="91"/>
      <c r="H102" s="91"/>
      <c r="I102" s="242"/>
    </row>
    <row r="103" spans="1:9" ht="12.75">
      <c r="A103" s="90">
        <v>38835</v>
      </c>
      <c r="B103" s="91">
        <f t="shared" si="2"/>
        <v>28</v>
      </c>
      <c r="C103" s="41">
        <f t="shared" si="3"/>
        <v>43200000</v>
      </c>
      <c r="D103" s="41">
        <v>1350000</v>
      </c>
      <c r="E103" s="95"/>
      <c r="F103" s="91"/>
      <c r="G103" s="91"/>
      <c r="H103" s="91"/>
      <c r="I103" s="242"/>
    </row>
    <row r="104" spans="1:9" ht="12.75">
      <c r="A104" s="97">
        <v>38866</v>
      </c>
      <c r="B104" s="98">
        <f t="shared" si="2"/>
        <v>31</v>
      </c>
      <c r="C104" s="99">
        <f t="shared" si="3"/>
        <v>41850000</v>
      </c>
      <c r="D104" s="99">
        <v>1350000</v>
      </c>
      <c r="E104" s="191"/>
      <c r="F104" s="98"/>
      <c r="G104" s="98"/>
      <c r="H104" s="98"/>
      <c r="I104" s="261"/>
    </row>
    <row r="105" spans="1:9" ht="12.75">
      <c r="A105" s="103">
        <v>38896</v>
      </c>
      <c r="B105" s="104">
        <f t="shared" si="2"/>
        <v>30</v>
      </c>
      <c r="C105" s="42">
        <f t="shared" si="3"/>
        <v>40500000</v>
      </c>
      <c r="D105" s="86">
        <v>1350000</v>
      </c>
      <c r="E105" s="105"/>
      <c r="F105" s="104"/>
      <c r="G105" s="104"/>
      <c r="H105" s="104"/>
      <c r="I105" s="253"/>
    </row>
    <row r="106" spans="1:9" ht="12.75">
      <c r="A106" s="90">
        <v>38898</v>
      </c>
      <c r="B106" s="91">
        <f t="shared" si="2"/>
        <v>2</v>
      </c>
      <c r="C106" s="41">
        <f t="shared" si="3"/>
        <v>40500000</v>
      </c>
      <c r="D106" s="41"/>
      <c r="E106" s="92">
        <v>0.0638</v>
      </c>
      <c r="F106" s="41">
        <v>695186</v>
      </c>
      <c r="G106" s="91"/>
      <c r="H106" s="91"/>
      <c r="I106" s="242"/>
    </row>
    <row r="107" spans="1:9" ht="12.75">
      <c r="A107" s="90">
        <v>38926</v>
      </c>
      <c r="B107" s="91">
        <f t="shared" si="2"/>
        <v>28</v>
      </c>
      <c r="C107" s="41">
        <f t="shared" si="3"/>
        <v>39150000</v>
      </c>
      <c r="D107" s="41">
        <v>1350000</v>
      </c>
      <c r="E107" s="95"/>
      <c r="F107" s="91"/>
      <c r="G107" s="91"/>
      <c r="H107" s="91"/>
      <c r="I107" s="242"/>
    </row>
    <row r="108" spans="1:9" ht="12.75">
      <c r="A108" s="90">
        <v>38957</v>
      </c>
      <c r="B108" s="91">
        <f t="shared" si="2"/>
        <v>31</v>
      </c>
      <c r="C108" s="41">
        <f t="shared" si="3"/>
        <v>37800000</v>
      </c>
      <c r="D108" s="41">
        <v>1350000</v>
      </c>
      <c r="E108" s="95"/>
      <c r="F108" s="91"/>
      <c r="G108" s="91"/>
      <c r="H108" s="91"/>
      <c r="I108" s="242"/>
    </row>
    <row r="109" spans="1:9" ht="12.75">
      <c r="A109" s="90">
        <v>38988</v>
      </c>
      <c r="B109" s="91">
        <f t="shared" si="2"/>
        <v>31</v>
      </c>
      <c r="C109" s="41">
        <f t="shared" si="3"/>
        <v>36450000</v>
      </c>
      <c r="D109" s="41">
        <v>1350000</v>
      </c>
      <c r="E109" s="95"/>
      <c r="F109" s="91"/>
      <c r="G109" s="91"/>
      <c r="H109" s="91"/>
      <c r="I109" s="242"/>
    </row>
    <row r="110" spans="1:9" ht="12.75">
      <c r="A110" s="90">
        <v>38989</v>
      </c>
      <c r="B110" s="91">
        <f t="shared" si="2"/>
        <v>1</v>
      </c>
      <c r="C110" s="41">
        <f t="shared" si="3"/>
        <v>36450000</v>
      </c>
      <c r="D110" s="41"/>
      <c r="E110" s="92">
        <v>0.0672</v>
      </c>
      <c r="F110" s="41">
        <v>663386</v>
      </c>
      <c r="G110" s="91"/>
      <c r="H110" s="91"/>
      <c r="I110" s="242"/>
    </row>
    <row r="111" spans="1:9" ht="12.75">
      <c r="A111" s="90">
        <v>38991</v>
      </c>
      <c r="B111" s="91">
        <f>A111-A110</f>
        <v>2</v>
      </c>
      <c r="C111" s="41">
        <f>C110-D111</f>
        <v>36450000</v>
      </c>
      <c r="D111" s="41"/>
      <c r="E111" s="92">
        <v>0.0672</v>
      </c>
      <c r="F111" s="41"/>
      <c r="G111" s="91"/>
      <c r="H111" s="91"/>
      <c r="I111" s="242"/>
    </row>
    <row r="112" spans="1:9" ht="12.75">
      <c r="A112" s="90">
        <v>39020</v>
      </c>
      <c r="B112" s="91">
        <f>A112-A111</f>
        <v>29</v>
      </c>
      <c r="C112" s="41">
        <f>C111-D112</f>
        <v>35100000</v>
      </c>
      <c r="D112" s="41">
        <v>1350000</v>
      </c>
      <c r="E112" s="95"/>
      <c r="F112" s="91"/>
      <c r="G112" s="91"/>
      <c r="H112" s="91"/>
      <c r="I112" s="242"/>
    </row>
    <row r="113" spans="1:9" ht="12.75">
      <c r="A113" s="90">
        <v>39049</v>
      </c>
      <c r="B113" s="91">
        <f t="shared" si="2"/>
        <v>29</v>
      </c>
      <c r="C113" s="41">
        <f t="shared" si="3"/>
        <v>33750000</v>
      </c>
      <c r="D113" s="41">
        <v>1350000</v>
      </c>
      <c r="E113" s="95"/>
      <c r="F113" s="91"/>
      <c r="G113" s="91"/>
      <c r="H113" s="91"/>
      <c r="I113" s="242"/>
    </row>
    <row r="114" spans="1:9" ht="12.75">
      <c r="A114" s="90">
        <v>39079</v>
      </c>
      <c r="B114" s="91">
        <f t="shared" si="2"/>
        <v>30</v>
      </c>
      <c r="C114" s="41">
        <f t="shared" si="3"/>
        <v>32400000</v>
      </c>
      <c r="D114" s="41">
        <v>1350000</v>
      </c>
      <c r="E114" s="95"/>
      <c r="F114" s="91"/>
      <c r="G114" s="91"/>
      <c r="H114" s="91"/>
      <c r="I114" s="242"/>
    </row>
    <row r="115" spans="1:9" ht="12.75">
      <c r="A115" s="97">
        <v>39080</v>
      </c>
      <c r="B115" s="98">
        <f t="shared" si="2"/>
        <v>1</v>
      </c>
      <c r="C115" s="99">
        <f t="shared" si="3"/>
        <v>32400000</v>
      </c>
      <c r="D115" s="99"/>
      <c r="E115" s="100">
        <v>0.0799</v>
      </c>
      <c r="F115" s="99">
        <v>706041</v>
      </c>
      <c r="G115" s="101">
        <f>SUM(F102:F115)</f>
        <v>2818018</v>
      </c>
      <c r="H115" s="101">
        <f>SUM(D99:D115)</f>
        <v>16200000</v>
      </c>
      <c r="I115" s="102">
        <f>SUM(G115:H115)</f>
        <v>19018018</v>
      </c>
    </row>
    <row r="116" spans="1:9" ht="12.75">
      <c r="A116" s="84">
        <v>39111</v>
      </c>
      <c r="B116" s="85">
        <f aca="true" t="shared" si="4" ref="B116:B146">A116-A115</f>
        <v>31</v>
      </c>
      <c r="C116" s="86">
        <f aca="true" t="shared" si="5" ref="C116:C146">C115-D116</f>
        <v>31050000</v>
      </c>
      <c r="D116" s="41">
        <v>1350000</v>
      </c>
      <c r="E116" s="110"/>
      <c r="F116" s="85"/>
      <c r="G116" s="85"/>
      <c r="H116" s="85"/>
      <c r="I116" s="251"/>
    </row>
    <row r="117" spans="1:9" ht="12.75">
      <c r="A117" s="90">
        <v>39141</v>
      </c>
      <c r="B117" s="91">
        <f t="shared" si="4"/>
        <v>30</v>
      </c>
      <c r="C117" s="41">
        <f t="shared" si="5"/>
        <v>29700000</v>
      </c>
      <c r="D117" s="41">
        <v>1350000</v>
      </c>
      <c r="E117" s="95"/>
      <c r="F117" s="91"/>
      <c r="G117" s="91"/>
      <c r="H117" s="91"/>
      <c r="I117" s="242"/>
    </row>
    <row r="118" spans="1:9" ht="12.75">
      <c r="A118" s="90">
        <v>39169</v>
      </c>
      <c r="B118" s="91">
        <f t="shared" si="4"/>
        <v>28</v>
      </c>
      <c r="C118" s="41">
        <f t="shared" si="5"/>
        <v>28350000</v>
      </c>
      <c r="D118" s="41">
        <v>1350000</v>
      </c>
      <c r="E118" s="95"/>
      <c r="F118" s="91"/>
      <c r="G118" s="91"/>
      <c r="H118" s="91"/>
      <c r="I118" s="242"/>
    </row>
    <row r="119" spans="1:9" ht="12.75">
      <c r="A119" s="90">
        <v>39172</v>
      </c>
      <c r="B119" s="91">
        <f t="shared" si="4"/>
        <v>3</v>
      </c>
      <c r="C119" s="41">
        <f t="shared" si="5"/>
        <v>28350000</v>
      </c>
      <c r="D119" s="41"/>
      <c r="E119" s="92">
        <v>0.0813</v>
      </c>
      <c r="F119" s="41">
        <f>((C116+D116)*E119/360*B116)+((C117+D117)*E119/360*B117)+((C118+D118)*E119/360*B118)+C119*E119/360*B119</f>
        <v>644200.875</v>
      </c>
      <c r="G119" s="91"/>
      <c r="H119" s="91"/>
      <c r="I119" s="242"/>
    </row>
    <row r="120" spans="1:9" ht="12.75">
      <c r="A120" s="90">
        <v>39200</v>
      </c>
      <c r="B120" s="91">
        <f t="shared" si="4"/>
        <v>28</v>
      </c>
      <c r="C120" s="41">
        <f t="shared" si="5"/>
        <v>27000000</v>
      </c>
      <c r="D120" s="41">
        <v>1350000</v>
      </c>
      <c r="E120" s="95"/>
      <c r="F120" s="91"/>
      <c r="G120" s="91"/>
      <c r="H120" s="91"/>
      <c r="I120" s="242"/>
    </row>
    <row r="121" spans="1:9" ht="12.75">
      <c r="A121" s="90">
        <v>39230</v>
      </c>
      <c r="B121" s="91">
        <f t="shared" si="4"/>
        <v>30</v>
      </c>
      <c r="C121" s="41">
        <f t="shared" si="5"/>
        <v>25650000</v>
      </c>
      <c r="D121" s="41">
        <v>1350000</v>
      </c>
      <c r="E121" s="95"/>
      <c r="F121" s="91"/>
      <c r="G121" s="91"/>
      <c r="H121" s="91"/>
      <c r="I121" s="242"/>
    </row>
    <row r="122" spans="1:9" ht="12.75">
      <c r="A122" s="90">
        <v>39261</v>
      </c>
      <c r="B122" s="91">
        <f t="shared" si="4"/>
        <v>31</v>
      </c>
      <c r="C122" s="41">
        <f t="shared" si="5"/>
        <v>24300000</v>
      </c>
      <c r="D122" s="41">
        <v>1350000</v>
      </c>
      <c r="E122" s="95"/>
      <c r="F122" s="91"/>
      <c r="G122" s="91"/>
      <c r="H122" s="91"/>
      <c r="I122" s="242"/>
    </row>
    <row r="123" spans="1:9" ht="12.75">
      <c r="A123" s="90">
        <v>39263</v>
      </c>
      <c r="B123" s="91">
        <f t="shared" si="4"/>
        <v>2</v>
      </c>
      <c r="C123" s="41">
        <f t="shared" si="5"/>
        <v>24300000</v>
      </c>
      <c r="D123" s="41"/>
      <c r="E123" s="92">
        <f>E119</f>
        <v>0.0813</v>
      </c>
      <c r="F123" s="41">
        <f>((C120+D120)*E123/360*B120)+((C121+D121)*E123/360*B121)+((C122+D122)*E123/360*B122)+C123*E123/360*B123</f>
        <v>552738.375</v>
      </c>
      <c r="G123" s="91"/>
      <c r="H123" s="91"/>
      <c r="I123" s="242"/>
    </row>
    <row r="124" spans="1:9" ht="12.75">
      <c r="A124" s="90">
        <v>39291</v>
      </c>
      <c r="B124" s="91">
        <f t="shared" si="4"/>
        <v>28</v>
      </c>
      <c r="C124" s="41">
        <f t="shared" si="5"/>
        <v>22950000</v>
      </c>
      <c r="D124" s="41">
        <v>1350000</v>
      </c>
      <c r="E124" s="95"/>
      <c r="F124" s="91"/>
      <c r="G124" s="91"/>
      <c r="H124" s="91"/>
      <c r="I124" s="242"/>
    </row>
    <row r="125" spans="1:9" ht="12.75">
      <c r="A125" s="90">
        <v>39322</v>
      </c>
      <c r="B125" s="91">
        <f t="shared" si="4"/>
        <v>31</v>
      </c>
      <c r="C125" s="41">
        <f t="shared" si="5"/>
        <v>21600000</v>
      </c>
      <c r="D125" s="41">
        <v>1350000</v>
      </c>
      <c r="E125" s="95"/>
      <c r="F125" s="91"/>
      <c r="G125" s="91"/>
      <c r="H125" s="91"/>
      <c r="I125" s="242"/>
    </row>
    <row r="126" spans="1:9" ht="12.75">
      <c r="A126" s="90">
        <v>39353</v>
      </c>
      <c r="B126" s="91">
        <f t="shared" si="4"/>
        <v>31</v>
      </c>
      <c r="C126" s="41">
        <f t="shared" si="5"/>
        <v>20250000</v>
      </c>
      <c r="D126" s="41">
        <v>1350000</v>
      </c>
      <c r="E126" s="95"/>
      <c r="F126" s="91"/>
      <c r="G126" s="91"/>
      <c r="H126" s="91"/>
      <c r="I126" s="242"/>
    </row>
    <row r="127" spans="1:9" ht="12.75">
      <c r="A127" s="90">
        <v>39355</v>
      </c>
      <c r="B127" s="91">
        <f t="shared" si="4"/>
        <v>2</v>
      </c>
      <c r="C127" s="41">
        <f t="shared" si="5"/>
        <v>20250000</v>
      </c>
      <c r="D127" s="41"/>
      <c r="E127" s="92">
        <f>E123</f>
        <v>0.0813</v>
      </c>
      <c r="F127" s="41">
        <f>((C124+D124)*E127/360*B124)+((C125+D125)*E127/360*B125)+((C126+D126)*E127/360*B126)+C127*E127/360*B127</f>
        <v>474690.375</v>
      </c>
      <c r="G127" s="91"/>
      <c r="H127" s="91"/>
      <c r="I127" s="242"/>
    </row>
    <row r="128" spans="1:9" ht="12.75">
      <c r="A128" s="90">
        <v>39383</v>
      </c>
      <c r="B128" s="91">
        <f t="shared" si="4"/>
        <v>28</v>
      </c>
      <c r="C128" s="41">
        <f t="shared" si="5"/>
        <v>18900000</v>
      </c>
      <c r="D128" s="41">
        <v>1350000</v>
      </c>
      <c r="E128" s="95"/>
      <c r="F128" s="91"/>
      <c r="G128" s="91"/>
      <c r="H128" s="91"/>
      <c r="I128" s="242"/>
    </row>
    <row r="129" spans="1:9" ht="12.75">
      <c r="A129" s="90">
        <v>39414</v>
      </c>
      <c r="B129" s="91">
        <f t="shared" si="4"/>
        <v>31</v>
      </c>
      <c r="C129" s="41">
        <f t="shared" si="5"/>
        <v>17550000</v>
      </c>
      <c r="D129" s="41">
        <v>1350000</v>
      </c>
      <c r="E129" s="95"/>
      <c r="F129" s="91"/>
      <c r="G129" s="91"/>
      <c r="H129" s="91"/>
      <c r="I129" s="242"/>
    </row>
    <row r="130" spans="1:9" ht="12.75">
      <c r="A130" s="90">
        <v>39444</v>
      </c>
      <c r="B130" s="91">
        <f t="shared" si="4"/>
        <v>30</v>
      </c>
      <c r="C130" s="41">
        <f t="shared" si="5"/>
        <v>16200000</v>
      </c>
      <c r="D130" s="41">
        <v>1350000</v>
      </c>
      <c r="E130" s="95"/>
      <c r="F130" s="91"/>
      <c r="G130" s="91"/>
      <c r="H130" s="91"/>
      <c r="I130" s="242"/>
    </row>
    <row r="131" spans="1:9" ht="12.75">
      <c r="A131" s="97">
        <v>39447</v>
      </c>
      <c r="B131" s="98">
        <f t="shared" si="4"/>
        <v>3</v>
      </c>
      <c r="C131" s="99">
        <f t="shared" si="5"/>
        <v>16200000</v>
      </c>
      <c r="D131" s="99"/>
      <c r="E131" s="100">
        <f>E127</f>
        <v>0.0813</v>
      </c>
      <c r="F131" s="99">
        <f>((C128+D128)*E131/360*B128)+((C129+D129)*E131/360*B129)+((C130+D130)*E131/360*B130)+C131*E131/360*B131</f>
        <v>390240</v>
      </c>
      <c r="G131" s="101">
        <f>SUM(F119:F131)</f>
        <v>2061869.625</v>
      </c>
      <c r="H131" s="101">
        <f>SUM(D116:D131)</f>
        <v>16200000</v>
      </c>
      <c r="I131" s="102">
        <f>SUM(G131:H131)</f>
        <v>18261869.625</v>
      </c>
    </row>
    <row r="132" spans="1:9" ht="12.75">
      <c r="A132" s="84">
        <v>39475</v>
      </c>
      <c r="B132" s="85">
        <f t="shared" si="4"/>
        <v>28</v>
      </c>
      <c r="C132" s="86">
        <f t="shared" si="5"/>
        <v>14850000</v>
      </c>
      <c r="D132" s="41">
        <v>1350000</v>
      </c>
      <c r="E132" s="110"/>
      <c r="F132" s="85"/>
      <c r="G132" s="85"/>
      <c r="H132" s="85"/>
      <c r="I132" s="251"/>
    </row>
    <row r="133" spans="1:9" ht="12.75">
      <c r="A133" s="90">
        <v>39506</v>
      </c>
      <c r="B133" s="91">
        <f t="shared" si="4"/>
        <v>31</v>
      </c>
      <c r="C133" s="41">
        <f t="shared" si="5"/>
        <v>13500000</v>
      </c>
      <c r="D133" s="41">
        <v>1350000</v>
      </c>
      <c r="E133" s="95"/>
      <c r="F133" s="91"/>
      <c r="G133" s="91"/>
      <c r="H133" s="91"/>
      <c r="I133" s="242"/>
    </row>
    <row r="134" spans="1:9" ht="12.75">
      <c r="A134" s="90">
        <v>39535</v>
      </c>
      <c r="B134" s="91">
        <f t="shared" si="4"/>
        <v>29</v>
      </c>
      <c r="C134" s="41">
        <f t="shared" si="5"/>
        <v>12150000</v>
      </c>
      <c r="D134" s="41">
        <v>1350000</v>
      </c>
      <c r="E134" s="95"/>
      <c r="F134" s="91"/>
      <c r="G134" s="91"/>
      <c r="H134" s="91"/>
      <c r="I134" s="242"/>
    </row>
    <row r="135" spans="1:9" ht="12.75">
      <c r="A135" s="90">
        <v>39538</v>
      </c>
      <c r="B135" s="91">
        <f t="shared" si="4"/>
        <v>3</v>
      </c>
      <c r="C135" s="41">
        <f t="shared" si="5"/>
        <v>12150000</v>
      </c>
      <c r="D135" s="41"/>
      <c r="E135" s="92">
        <f>E131</f>
        <v>0.0813</v>
      </c>
      <c r="F135" s="41">
        <f>((C132+D132)*E135/360*B132)+((C133+D133)*E135/360*B133)+((C134+D134)*E135/360*B134)+C135*E135/360*B135</f>
        <v>303045.75</v>
      </c>
      <c r="G135" s="91"/>
      <c r="H135" s="91"/>
      <c r="I135" s="242"/>
    </row>
    <row r="136" spans="1:9" ht="12.75">
      <c r="A136" s="90">
        <v>39566</v>
      </c>
      <c r="B136" s="91">
        <f t="shared" si="4"/>
        <v>28</v>
      </c>
      <c r="C136" s="41">
        <f t="shared" si="5"/>
        <v>10800000</v>
      </c>
      <c r="D136" s="41">
        <v>1350000</v>
      </c>
      <c r="E136" s="95"/>
      <c r="F136" s="91"/>
      <c r="G136" s="91"/>
      <c r="H136" s="91"/>
      <c r="I136" s="242"/>
    </row>
    <row r="137" spans="1:9" ht="12.75">
      <c r="A137" s="90">
        <v>39596</v>
      </c>
      <c r="B137" s="91">
        <f t="shared" si="4"/>
        <v>30</v>
      </c>
      <c r="C137" s="41">
        <f t="shared" si="5"/>
        <v>9450000</v>
      </c>
      <c r="D137" s="41">
        <v>1350000</v>
      </c>
      <c r="F137" s="91"/>
      <c r="G137" s="91"/>
      <c r="H137" s="91"/>
      <c r="I137" s="262"/>
    </row>
    <row r="138" spans="1:9" ht="12.75">
      <c r="A138" s="90">
        <v>39627</v>
      </c>
      <c r="B138" s="91">
        <f t="shared" si="4"/>
        <v>31</v>
      </c>
      <c r="C138" s="41">
        <f t="shared" si="5"/>
        <v>8100000</v>
      </c>
      <c r="D138" s="41">
        <v>1350000</v>
      </c>
      <c r="E138" s="95"/>
      <c r="F138" s="91"/>
      <c r="G138" s="91"/>
      <c r="H138" s="91"/>
      <c r="I138" s="242"/>
    </row>
    <row r="139" spans="1:9" ht="12.75">
      <c r="A139" s="90">
        <v>39629</v>
      </c>
      <c r="B139" s="91">
        <f t="shared" si="4"/>
        <v>2</v>
      </c>
      <c r="C139" s="41">
        <f t="shared" si="5"/>
        <v>8100000</v>
      </c>
      <c r="D139" s="107"/>
      <c r="E139" s="92">
        <f>E135</f>
        <v>0.0813</v>
      </c>
      <c r="F139" s="41">
        <f>((C136+D136)*E139/360*B136)+((C137+D137)*E139/360*B137)+((C138+D138)*E139/360*B138)+C139*E139/360*B139</f>
        <v>219814.875</v>
      </c>
      <c r="G139" s="108"/>
      <c r="H139" s="108"/>
      <c r="I139" s="263"/>
    </row>
    <row r="140" spans="1:9" ht="12.75">
      <c r="A140" s="90">
        <v>39657</v>
      </c>
      <c r="B140" s="91">
        <f t="shared" si="4"/>
        <v>28</v>
      </c>
      <c r="C140" s="41">
        <f t="shared" si="5"/>
        <v>6750000</v>
      </c>
      <c r="D140" s="41">
        <v>1350000</v>
      </c>
      <c r="E140" s="234"/>
      <c r="F140" s="108"/>
      <c r="G140" s="108"/>
      <c r="H140" s="108"/>
      <c r="I140" s="263"/>
    </row>
    <row r="141" spans="1:9" ht="12.75">
      <c r="A141" s="90">
        <v>39688</v>
      </c>
      <c r="B141" s="91">
        <f t="shared" si="4"/>
        <v>31</v>
      </c>
      <c r="C141" s="41">
        <f t="shared" si="5"/>
        <v>5400000</v>
      </c>
      <c r="D141" s="41">
        <v>1350000</v>
      </c>
      <c r="E141" s="234"/>
      <c r="F141" s="108"/>
      <c r="G141" s="108"/>
      <c r="H141" s="108"/>
      <c r="I141" s="263"/>
    </row>
    <row r="142" spans="1:9" ht="12.75">
      <c r="A142" s="90">
        <v>39719</v>
      </c>
      <c r="B142" s="91">
        <f t="shared" si="4"/>
        <v>31</v>
      </c>
      <c r="C142" s="41">
        <f t="shared" si="5"/>
        <v>4050000</v>
      </c>
      <c r="D142" s="41">
        <v>1350000</v>
      </c>
      <c r="E142" s="234"/>
      <c r="F142" s="108"/>
      <c r="G142" s="108"/>
      <c r="H142" s="108"/>
      <c r="I142" s="263"/>
    </row>
    <row r="143" spans="1:9" ht="12.75">
      <c r="A143" s="90">
        <v>39721</v>
      </c>
      <c r="B143" s="91">
        <f t="shared" si="4"/>
        <v>2</v>
      </c>
      <c r="C143" s="41">
        <f t="shared" si="5"/>
        <v>4050000</v>
      </c>
      <c r="D143" s="107"/>
      <c r="E143" s="92">
        <f>E139</f>
        <v>0.0813</v>
      </c>
      <c r="F143" s="41">
        <f>((C140+D140)*E143/360*B140)+((C141+D141)*E143/360*B141)+((C142+D142)*E143/360*B142)+C143*E143/360*B143</f>
        <v>138108.375</v>
      </c>
      <c r="G143" s="108"/>
      <c r="H143" s="108"/>
      <c r="I143" s="263"/>
    </row>
    <row r="144" spans="1:9" ht="12.75">
      <c r="A144" s="90">
        <v>39749</v>
      </c>
      <c r="B144" s="91">
        <f t="shared" si="4"/>
        <v>28</v>
      </c>
      <c r="C144" s="41">
        <f t="shared" si="5"/>
        <v>2700000</v>
      </c>
      <c r="D144" s="41">
        <v>1350000</v>
      </c>
      <c r="E144" s="234"/>
      <c r="F144" s="108"/>
      <c r="G144" s="108"/>
      <c r="H144" s="108"/>
      <c r="I144" s="263"/>
    </row>
    <row r="145" spans="1:9" ht="12.75">
      <c r="A145" s="90">
        <v>39780</v>
      </c>
      <c r="B145" s="91">
        <f t="shared" si="4"/>
        <v>31</v>
      </c>
      <c r="C145" s="41">
        <f t="shared" si="5"/>
        <v>1350000</v>
      </c>
      <c r="D145" s="41">
        <v>1350000</v>
      </c>
      <c r="E145" s="234"/>
      <c r="F145" s="108"/>
      <c r="G145" s="108"/>
      <c r="H145" s="108"/>
      <c r="I145" s="263"/>
    </row>
    <row r="146" spans="1:9" ht="13.5" thickBot="1">
      <c r="A146" s="90">
        <v>39810</v>
      </c>
      <c r="B146" s="91">
        <f t="shared" si="4"/>
        <v>30</v>
      </c>
      <c r="C146" s="41">
        <f t="shared" si="5"/>
        <v>0</v>
      </c>
      <c r="D146" s="41">
        <v>1350000</v>
      </c>
      <c r="E146" s="92">
        <f>E143</f>
        <v>0.0813</v>
      </c>
      <c r="F146" s="41">
        <f>((C144+D144)*E146/360*B144)+((C145+D145)*E146/360*B145)+D146*E146/360*B146</f>
        <v>53658</v>
      </c>
      <c r="G146" s="93">
        <f>SUM(F132:F146)</f>
        <v>714627</v>
      </c>
      <c r="H146" s="93">
        <f>SUM(D132:D146)</f>
        <v>16200000</v>
      </c>
      <c r="I146" s="94">
        <f>SUM(G146:H146)</f>
        <v>16914627</v>
      </c>
    </row>
    <row r="147" spans="1:9" ht="13.5" thickTop="1">
      <c r="A147" s="468" t="s">
        <v>14</v>
      </c>
      <c r="B147" s="469"/>
      <c r="C147" s="469"/>
      <c r="D147" s="120">
        <f>SUM(D7:D146)</f>
        <v>200000000</v>
      </c>
      <c r="E147" s="264"/>
      <c r="F147" s="120">
        <f>SUM(F8:F146)</f>
        <v>78827676.33541095</v>
      </c>
      <c r="G147" s="120">
        <f>SUM(G18:G146)</f>
        <v>78827676.33541095</v>
      </c>
      <c r="H147" s="120">
        <f>SUM(H17:H146)</f>
        <v>200000000</v>
      </c>
      <c r="I147" s="260">
        <f>SUM(I16:I146)</f>
        <v>278827676.33541095</v>
      </c>
    </row>
    <row r="148" spans="1:8" ht="12.75">
      <c r="A148" s="123"/>
      <c r="B148" s="56"/>
      <c r="C148" s="265"/>
      <c r="D148" s="265"/>
      <c r="E148" s="266"/>
      <c r="F148" s="265"/>
      <c r="G148" s="56"/>
      <c r="H148" s="56"/>
    </row>
    <row r="149" spans="1:8" ht="12.75">
      <c r="A149" s="123"/>
      <c r="B149" s="56"/>
      <c r="C149" s="265"/>
      <c r="D149" s="265"/>
      <c r="E149" s="267"/>
      <c r="F149" s="56"/>
      <c r="G149" s="56"/>
      <c r="H149" s="56"/>
    </row>
    <row r="150" spans="5:8" ht="12.75">
      <c r="E150" s="58"/>
      <c r="F150" s="124"/>
      <c r="H150" s="56"/>
    </row>
    <row r="151" spans="5:8" ht="12.75">
      <c r="E151" s="58"/>
      <c r="F151" s="124"/>
      <c r="H151" s="56"/>
    </row>
    <row r="152" spans="5:8" ht="12.75">
      <c r="E152" s="58"/>
      <c r="H152" s="56"/>
    </row>
    <row r="153" spans="5:8" ht="12.75">
      <c r="E153" s="58"/>
      <c r="H153" s="56"/>
    </row>
    <row r="154" spans="5:8" ht="12.75">
      <c r="E154" s="58"/>
      <c r="F154" s="124"/>
      <c r="H154" s="56"/>
    </row>
    <row r="155" spans="1:8" ht="12.75">
      <c r="A155" s="123"/>
      <c r="B155" s="56"/>
      <c r="C155" s="265"/>
      <c r="D155" s="265"/>
      <c r="E155" s="266"/>
      <c r="F155" s="265"/>
      <c r="G155" s="56"/>
      <c r="H155" s="56"/>
    </row>
    <row r="156" spans="1:3" ht="12.75">
      <c r="A156" s="123"/>
      <c r="B156" s="56"/>
      <c r="C156" s="265"/>
    </row>
    <row r="157" spans="1:4" ht="12.75">
      <c r="A157" s="56"/>
      <c r="B157" s="56"/>
      <c r="C157" s="265"/>
      <c r="D157" s="265"/>
    </row>
    <row r="158" spans="1:4" ht="12.75">
      <c r="A158" s="56"/>
      <c r="B158" s="56"/>
      <c r="C158" s="265"/>
      <c r="D158" s="265"/>
    </row>
  </sheetData>
  <mergeCells count="1">
    <mergeCell ref="A147:C147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1999. évben felvett 200 MFt hitel</oddHeader>
    <oddFooter>&amp;L&amp;9Nyomtatás dátuma: &amp;D
C:\Andi\adósságszolgálat\&amp;F\&amp;A&amp;R&amp;P/&amp;N</oddFooter>
  </headerFooter>
  <rowBreaks count="2" manualBreakCount="2">
    <brk id="55" max="255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100" workbookViewId="0" topLeftCell="A1">
      <pane ySplit="6" topLeftCell="BM7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4" customWidth="1"/>
    <col min="4" max="4" width="12.625" style="124" bestFit="1" customWidth="1"/>
    <col min="5" max="5" width="8.50390625" style="58" customWidth="1"/>
    <col min="6" max="7" width="12.625" style="58" customWidth="1"/>
    <col min="8" max="8" width="12.50390625" style="58" customWidth="1"/>
    <col min="9" max="9" width="12.625" style="58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66" t="s">
        <v>80</v>
      </c>
      <c r="B1" s="165"/>
      <c r="C1" s="166"/>
      <c r="D1" s="166"/>
      <c r="E1" s="166"/>
      <c r="G1" s="166"/>
      <c r="H1" s="166"/>
      <c r="I1" s="166"/>
    </row>
    <row r="2" spans="1:9" ht="12.75">
      <c r="A2" s="138" t="s">
        <v>15</v>
      </c>
      <c r="B2" s="136"/>
      <c r="C2" s="135"/>
      <c r="D2" s="135"/>
      <c r="E2" s="135"/>
      <c r="F2" s="135"/>
      <c r="G2" s="135"/>
      <c r="H2" s="135"/>
      <c r="I2" s="135"/>
    </row>
    <row r="3" spans="1:9" ht="12.75">
      <c r="A3" s="137" t="s">
        <v>64</v>
      </c>
      <c r="B3" s="136"/>
      <c r="C3" s="135"/>
      <c r="D3" s="135"/>
      <c r="E3" s="135"/>
      <c r="F3" s="135"/>
      <c r="G3" s="135"/>
      <c r="H3" s="135"/>
      <c r="I3" s="136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84">
        <v>36861</v>
      </c>
      <c r="B7" s="104"/>
      <c r="C7" s="141">
        <v>250000000</v>
      </c>
      <c r="D7" s="141"/>
      <c r="E7" s="141"/>
      <c r="F7" s="141"/>
      <c r="G7" s="151"/>
      <c r="H7" s="151"/>
      <c r="I7" s="152"/>
    </row>
    <row r="8" spans="1:9" ht="12.75">
      <c r="A8" s="97">
        <v>36891</v>
      </c>
      <c r="B8" s="98">
        <f aca="true" t="shared" si="0" ref="B8:B21">A8-A7</f>
        <v>30</v>
      </c>
      <c r="C8" s="147">
        <f aca="true" t="shared" si="1" ref="C8:C20">C7-D8</f>
        <v>250000000</v>
      </c>
      <c r="D8" s="147"/>
      <c r="E8" s="268">
        <v>0.1116</v>
      </c>
      <c r="F8" s="147">
        <f>(C8+D8)*E8/365*B8</f>
        <v>2293150.684931507</v>
      </c>
      <c r="G8" s="153">
        <f>SUM(F7:F8)</f>
        <v>2293150.684931507</v>
      </c>
      <c r="H8" s="153">
        <f>SUM(D7:D8)</f>
        <v>0</v>
      </c>
      <c r="I8" s="154">
        <f>SUM(G8:H8)</f>
        <v>2293150.684931507</v>
      </c>
    </row>
    <row r="9" spans="1:9" ht="12.75">
      <c r="A9" s="103">
        <v>36981</v>
      </c>
      <c r="B9" s="245">
        <f t="shared" si="0"/>
        <v>90</v>
      </c>
      <c r="C9" s="142">
        <f t="shared" si="1"/>
        <v>250000000</v>
      </c>
      <c r="D9" s="142"/>
      <c r="E9" s="53">
        <f>F9/(C9*B9)*365</f>
        <v>0.1241101388888889</v>
      </c>
      <c r="F9" s="141">
        <v>7650625</v>
      </c>
      <c r="G9" s="143"/>
      <c r="H9" s="143"/>
      <c r="I9" s="144"/>
    </row>
    <row r="10" spans="1:9" ht="12.75">
      <c r="A10" s="90">
        <v>37072</v>
      </c>
      <c r="B10" s="247">
        <f t="shared" si="0"/>
        <v>91</v>
      </c>
      <c r="C10" s="157">
        <f t="shared" si="1"/>
        <v>250000000</v>
      </c>
      <c r="D10" s="157"/>
      <c r="E10" s="53">
        <f>F10/(C10*B10)*365</f>
        <v>0.11535381384615385</v>
      </c>
      <c r="F10" s="141">
        <v>7189861</v>
      </c>
      <c r="G10" s="158"/>
      <c r="H10" s="158"/>
      <c r="I10" s="159"/>
    </row>
    <row r="11" spans="1:9" ht="12.75">
      <c r="A11" s="90">
        <v>37164</v>
      </c>
      <c r="B11" s="247">
        <f t="shared" si="0"/>
        <v>92</v>
      </c>
      <c r="C11" s="157">
        <f t="shared" si="1"/>
        <v>250000000</v>
      </c>
      <c r="D11" s="157"/>
      <c r="E11" s="53">
        <f>F11/(C11*B11)*365</f>
        <v>0.11091943739130435</v>
      </c>
      <c r="F11" s="141">
        <v>6989444</v>
      </c>
      <c r="G11" s="158"/>
      <c r="H11" s="158"/>
      <c r="I11" s="159"/>
    </row>
    <row r="12" spans="1:9" ht="12.75">
      <c r="A12" s="90">
        <v>37253</v>
      </c>
      <c r="B12" s="247">
        <f t="shared" si="0"/>
        <v>89</v>
      </c>
      <c r="C12" s="157">
        <f t="shared" si="1"/>
        <v>237500000</v>
      </c>
      <c r="D12" s="157">
        <v>12500000</v>
      </c>
      <c r="E12" s="248"/>
      <c r="F12" s="157"/>
      <c r="G12" s="158"/>
      <c r="H12" s="158"/>
      <c r="I12" s="159"/>
    </row>
    <row r="13" spans="1:9" ht="12.75">
      <c r="A13" s="97">
        <v>37253</v>
      </c>
      <c r="B13" s="249">
        <f t="shared" si="0"/>
        <v>0</v>
      </c>
      <c r="C13" s="147">
        <f t="shared" si="1"/>
        <v>237500000</v>
      </c>
      <c r="D13" s="147"/>
      <c r="E13" s="100">
        <f>F13/(((C12+D12)*B12)+(C13*B13))*365</f>
        <v>0.11529396898876404</v>
      </c>
      <c r="F13" s="147">
        <v>7028194</v>
      </c>
      <c r="G13" s="148">
        <f>SUM(F9:F13)</f>
        <v>28858124</v>
      </c>
      <c r="H13" s="148">
        <f>SUM(D9:D13)</f>
        <v>12500000</v>
      </c>
      <c r="I13" s="149">
        <f>SUM(G13:H13)</f>
        <v>41358124</v>
      </c>
    </row>
    <row r="14" spans="1:9" ht="12.75">
      <c r="A14" s="103">
        <v>37343</v>
      </c>
      <c r="B14" s="245">
        <f t="shared" si="0"/>
        <v>90</v>
      </c>
      <c r="C14" s="142">
        <f t="shared" si="1"/>
        <v>225000000</v>
      </c>
      <c r="D14" s="142">
        <v>12500000</v>
      </c>
      <c r="E14" s="269"/>
      <c r="F14" s="142"/>
      <c r="G14" s="143"/>
      <c r="H14" s="143"/>
      <c r="I14" s="144"/>
    </row>
    <row r="15" spans="1:9" ht="12.75">
      <c r="A15" s="90">
        <v>37344</v>
      </c>
      <c r="B15" s="247">
        <f t="shared" si="0"/>
        <v>1</v>
      </c>
      <c r="C15" s="157">
        <f t="shared" si="1"/>
        <v>225000000</v>
      </c>
      <c r="D15" s="157"/>
      <c r="E15" s="92">
        <f>F15/(((C14+D14)*B14)+(C15*B15))*365</f>
        <v>0.09974010277777777</v>
      </c>
      <c r="F15" s="141">
        <v>5902428</v>
      </c>
      <c r="G15" s="158"/>
      <c r="H15" s="158"/>
      <c r="I15" s="159"/>
    </row>
    <row r="16" spans="1:9" ht="12.75">
      <c r="A16" s="90">
        <v>37435</v>
      </c>
      <c r="B16" s="247">
        <f t="shared" si="0"/>
        <v>91</v>
      </c>
      <c r="C16" s="157">
        <f t="shared" si="1"/>
        <v>212500000</v>
      </c>
      <c r="D16" s="157">
        <v>12500000</v>
      </c>
      <c r="E16" s="53"/>
      <c r="F16" s="157"/>
      <c r="G16" s="158"/>
      <c r="H16" s="158"/>
      <c r="I16" s="159"/>
    </row>
    <row r="17" spans="1:9" ht="12.75">
      <c r="A17" s="90">
        <v>37437</v>
      </c>
      <c r="B17" s="247">
        <f t="shared" si="0"/>
        <v>2</v>
      </c>
      <c r="C17" s="157">
        <f t="shared" si="1"/>
        <v>212500000</v>
      </c>
      <c r="D17" s="157"/>
      <c r="E17" s="92">
        <v>0.085</v>
      </c>
      <c r="F17" s="157">
        <v>4858938</v>
      </c>
      <c r="G17" s="158"/>
      <c r="H17" s="158"/>
      <c r="I17" s="159"/>
    </row>
    <row r="18" spans="1:9" ht="12.75">
      <c r="A18" s="90">
        <v>37527</v>
      </c>
      <c r="B18" s="247">
        <f t="shared" si="0"/>
        <v>90</v>
      </c>
      <c r="C18" s="157">
        <f t="shared" si="1"/>
        <v>200000000</v>
      </c>
      <c r="D18" s="157">
        <v>12500000</v>
      </c>
      <c r="E18" s="248"/>
      <c r="F18" s="157"/>
      <c r="G18" s="158"/>
      <c r="H18" s="158"/>
      <c r="I18" s="159"/>
    </row>
    <row r="19" spans="1:9" ht="12.75">
      <c r="A19" s="90">
        <v>37529</v>
      </c>
      <c r="B19" s="247">
        <f t="shared" si="0"/>
        <v>2</v>
      </c>
      <c r="C19" s="157">
        <f t="shared" si="1"/>
        <v>200000000</v>
      </c>
      <c r="D19" s="157"/>
      <c r="E19" s="248">
        <v>0.0931</v>
      </c>
      <c r="F19" s="157">
        <v>5151413</v>
      </c>
      <c r="G19" s="158"/>
      <c r="H19" s="158"/>
      <c r="I19" s="159"/>
    </row>
    <row r="20" spans="1:9" ht="12.75">
      <c r="A20" s="90">
        <v>37618</v>
      </c>
      <c r="B20" s="247">
        <f t="shared" si="0"/>
        <v>89</v>
      </c>
      <c r="C20" s="157">
        <f t="shared" si="1"/>
        <v>187500000</v>
      </c>
      <c r="D20" s="157">
        <v>12500000</v>
      </c>
      <c r="E20" s="248"/>
      <c r="F20" s="157"/>
      <c r="G20" s="158"/>
      <c r="H20" s="158"/>
      <c r="I20" s="159"/>
    </row>
    <row r="21" spans="1:9" ht="12.75">
      <c r="A21" s="145">
        <v>37621</v>
      </c>
      <c r="B21" s="98">
        <f t="shared" si="0"/>
        <v>3</v>
      </c>
      <c r="C21" s="250">
        <v>187500000</v>
      </c>
      <c r="D21" s="99"/>
      <c r="E21" s="191">
        <v>0.098</v>
      </c>
      <c r="F21" s="99">
        <v>4995958</v>
      </c>
      <c r="G21" s="101">
        <f>SUM(F15:F21)</f>
        <v>20908737</v>
      </c>
      <c r="H21" s="101">
        <f>SUM(D14:D21)</f>
        <v>50000000</v>
      </c>
      <c r="I21" s="102">
        <f>SUM(G21:H21)</f>
        <v>70908737</v>
      </c>
    </row>
    <row r="22" spans="1:9" ht="12.75">
      <c r="A22" s="103">
        <v>37708</v>
      </c>
      <c r="B22" s="104">
        <f aca="true" t="shared" si="2" ref="B22:B77">A22-A21</f>
        <v>87</v>
      </c>
      <c r="C22" s="42">
        <f aca="true" t="shared" si="3" ref="C22:C77">C21-D22</f>
        <v>180900000</v>
      </c>
      <c r="D22" s="42">
        <v>6600000</v>
      </c>
      <c r="E22" s="104"/>
      <c r="F22" s="104"/>
      <c r="G22" s="104"/>
      <c r="H22" s="104"/>
      <c r="I22" s="253"/>
    </row>
    <row r="23" spans="1:9" ht="12.75">
      <c r="A23" s="90">
        <v>37711</v>
      </c>
      <c r="B23" s="91">
        <f t="shared" si="2"/>
        <v>3</v>
      </c>
      <c r="C23" s="41">
        <f t="shared" si="3"/>
        <v>180900000</v>
      </c>
      <c r="D23" s="41"/>
      <c r="E23" s="92">
        <v>0.0847</v>
      </c>
      <c r="F23" s="41">
        <v>3972581</v>
      </c>
      <c r="G23" s="91"/>
      <c r="H23" s="91"/>
      <c r="I23" s="242"/>
    </row>
    <row r="24" spans="1:9" ht="12.75">
      <c r="A24" s="90">
        <v>37800</v>
      </c>
      <c r="B24" s="91">
        <f t="shared" si="2"/>
        <v>89</v>
      </c>
      <c r="C24" s="41">
        <f t="shared" si="3"/>
        <v>174200000</v>
      </c>
      <c r="D24" s="41">
        <v>6700000</v>
      </c>
      <c r="E24" s="91"/>
      <c r="F24" s="91"/>
      <c r="G24" s="91"/>
      <c r="H24" s="91"/>
      <c r="I24" s="242"/>
    </row>
    <row r="25" spans="1:9" ht="12.75">
      <c r="A25" s="90">
        <v>37802</v>
      </c>
      <c r="B25" s="91">
        <f t="shared" si="2"/>
        <v>2</v>
      </c>
      <c r="C25" s="41">
        <f t="shared" si="3"/>
        <v>174200000</v>
      </c>
      <c r="D25" s="41"/>
      <c r="E25" s="92">
        <v>0.0665</v>
      </c>
      <c r="F25" s="41">
        <v>3050024</v>
      </c>
      <c r="G25" s="91"/>
      <c r="H25" s="91"/>
      <c r="I25" s="242"/>
    </row>
    <row r="26" spans="1:11" ht="12.75">
      <c r="A26" s="90">
        <v>37892</v>
      </c>
      <c r="B26" s="91">
        <f t="shared" si="2"/>
        <v>90</v>
      </c>
      <c r="C26" s="41">
        <f t="shared" si="3"/>
        <v>167500000</v>
      </c>
      <c r="D26" s="41">
        <v>6700000</v>
      </c>
      <c r="E26" s="91"/>
      <c r="F26" s="91"/>
      <c r="G26" s="91"/>
      <c r="H26" s="91"/>
      <c r="I26" s="242"/>
      <c r="K26" s="124"/>
    </row>
    <row r="27" spans="1:9" ht="12.75">
      <c r="A27" s="90">
        <v>37894</v>
      </c>
      <c r="B27" s="91">
        <f t="shared" si="2"/>
        <v>2</v>
      </c>
      <c r="C27" s="41">
        <f t="shared" si="3"/>
        <v>167500000</v>
      </c>
      <c r="D27" s="41"/>
      <c r="E27" s="92">
        <v>0.0893</v>
      </c>
      <c r="F27" s="41">
        <v>3961081</v>
      </c>
      <c r="G27" s="91"/>
      <c r="H27" s="91"/>
      <c r="I27" s="242"/>
    </row>
    <row r="28" spans="1:9" ht="12.75">
      <c r="A28" s="90">
        <v>37983</v>
      </c>
      <c r="B28" s="91">
        <f t="shared" si="2"/>
        <v>89</v>
      </c>
      <c r="C28" s="41">
        <f t="shared" si="3"/>
        <v>160800000</v>
      </c>
      <c r="D28" s="41">
        <v>6700000</v>
      </c>
      <c r="E28" s="91"/>
      <c r="F28" s="91"/>
      <c r="G28" s="91"/>
      <c r="H28" s="91"/>
      <c r="I28" s="242"/>
    </row>
    <row r="29" spans="1:11" ht="12.75">
      <c r="A29" s="97">
        <v>37986</v>
      </c>
      <c r="B29" s="98">
        <f t="shared" si="2"/>
        <v>3</v>
      </c>
      <c r="C29" s="99">
        <f t="shared" si="3"/>
        <v>160800000</v>
      </c>
      <c r="D29" s="99"/>
      <c r="E29" s="100">
        <v>0.0961</v>
      </c>
      <c r="F29" s="41">
        <v>4105084</v>
      </c>
      <c r="G29" s="101">
        <f>SUM(F23:F29)</f>
        <v>15088770</v>
      </c>
      <c r="H29" s="101">
        <f>SUM(D22:D29)</f>
        <v>26700000</v>
      </c>
      <c r="I29" s="102">
        <f>SUM(G29:H29)</f>
        <v>41788770</v>
      </c>
      <c r="K29" s="124"/>
    </row>
    <row r="30" spans="1:9" ht="12.75">
      <c r="A30" s="103">
        <v>38074</v>
      </c>
      <c r="B30" s="104">
        <f t="shared" si="2"/>
        <v>88</v>
      </c>
      <c r="C30" s="42">
        <f t="shared" si="3"/>
        <v>154100000</v>
      </c>
      <c r="D30" s="41">
        <v>6700000</v>
      </c>
      <c r="E30" s="104"/>
      <c r="F30" s="104"/>
      <c r="G30" s="104"/>
      <c r="H30" s="104"/>
      <c r="I30" s="253"/>
    </row>
    <row r="31" spans="1:9" ht="12.75">
      <c r="A31" s="90">
        <v>38077</v>
      </c>
      <c r="B31" s="91">
        <f t="shared" si="2"/>
        <v>3</v>
      </c>
      <c r="C31" s="41">
        <f t="shared" si="3"/>
        <v>154100000</v>
      </c>
      <c r="D31" s="41"/>
      <c r="E31" s="92">
        <v>0.1255</v>
      </c>
      <c r="F31" s="41">
        <v>5083353</v>
      </c>
      <c r="G31" s="91"/>
      <c r="H31" s="91"/>
      <c r="I31" s="242"/>
    </row>
    <row r="32" spans="1:9" ht="12.75">
      <c r="A32" s="90">
        <v>38166</v>
      </c>
      <c r="B32" s="91">
        <f t="shared" si="2"/>
        <v>89</v>
      </c>
      <c r="C32" s="41">
        <f t="shared" si="3"/>
        <v>147400000</v>
      </c>
      <c r="D32" s="41">
        <v>6700000</v>
      </c>
      <c r="E32" s="91"/>
      <c r="F32" s="91"/>
      <c r="G32" s="91"/>
      <c r="H32" s="91"/>
      <c r="I32" s="242"/>
    </row>
    <row r="33" spans="1:9" ht="12.75">
      <c r="A33" s="90">
        <v>38168</v>
      </c>
      <c r="B33" s="91">
        <f t="shared" si="2"/>
        <v>2</v>
      </c>
      <c r="C33" s="41">
        <f t="shared" si="3"/>
        <v>147400000</v>
      </c>
      <c r="D33" s="41"/>
      <c r="E33" s="92">
        <v>0.1197</v>
      </c>
      <c r="F33" s="41">
        <v>4660708</v>
      </c>
      <c r="G33" s="91"/>
      <c r="H33" s="91"/>
      <c r="I33" s="242"/>
    </row>
    <row r="34" spans="1:9" ht="12.75">
      <c r="A34" s="90">
        <v>38258</v>
      </c>
      <c r="B34" s="91">
        <f t="shared" si="2"/>
        <v>90</v>
      </c>
      <c r="C34" s="41">
        <f t="shared" si="3"/>
        <v>140700000</v>
      </c>
      <c r="D34" s="41">
        <v>6700000</v>
      </c>
      <c r="E34" s="91"/>
      <c r="F34" s="91"/>
      <c r="G34" s="91"/>
      <c r="H34" s="91"/>
      <c r="I34" s="242"/>
    </row>
    <row r="35" spans="1:9" ht="12.75">
      <c r="A35" s="90">
        <v>38260</v>
      </c>
      <c r="B35" s="91">
        <f t="shared" si="2"/>
        <v>2</v>
      </c>
      <c r="C35" s="41">
        <f t="shared" si="3"/>
        <v>140700000</v>
      </c>
      <c r="D35" s="41"/>
      <c r="E35" s="92">
        <v>0.1167</v>
      </c>
      <c r="F35" s="41">
        <v>4392844</v>
      </c>
      <c r="G35" s="91"/>
      <c r="H35" s="91"/>
      <c r="I35" s="242"/>
    </row>
    <row r="36" spans="1:9" ht="12.75">
      <c r="A36" s="90">
        <v>38349</v>
      </c>
      <c r="B36" s="91">
        <f t="shared" si="2"/>
        <v>89</v>
      </c>
      <c r="C36" s="41">
        <f t="shared" si="3"/>
        <v>134000000</v>
      </c>
      <c r="D36" s="41">
        <v>6700000</v>
      </c>
      <c r="E36" s="91"/>
      <c r="F36" s="91"/>
      <c r="G36" s="91"/>
      <c r="H36" s="91"/>
      <c r="I36" s="242"/>
    </row>
    <row r="37" spans="1:9" ht="12.75">
      <c r="A37" s="97">
        <v>38352</v>
      </c>
      <c r="B37" s="98">
        <f t="shared" si="2"/>
        <v>3</v>
      </c>
      <c r="C37" s="99">
        <f t="shared" si="3"/>
        <v>134000000</v>
      </c>
      <c r="D37" s="99"/>
      <c r="E37" s="100">
        <v>0.111</v>
      </c>
      <c r="F37" s="41">
        <v>3987220</v>
      </c>
      <c r="G37" s="101">
        <f>SUM(F31:F37)</f>
        <v>18124125</v>
      </c>
      <c r="H37" s="101">
        <f>SUM(D30:D37)</f>
        <v>26800000</v>
      </c>
      <c r="I37" s="102">
        <f>SUM(G37:H37)</f>
        <v>44924125</v>
      </c>
    </row>
    <row r="38" spans="1:9" ht="12.75">
      <c r="A38" s="103">
        <v>38440</v>
      </c>
      <c r="B38" s="104">
        <f t="shared" si="2"/>
        <v>88</v>
      </c>
      <c r="C38" s="42">
        <f t="shared" si="3"/>
        <v>127300000</v>
      </c>
      <c r="D38" s="41">
        <v>6700000</v>
      </c>
      <c r="E38" s="104"/>
      <c r="F38" s="104"/>
      <c r="G38" s="104"/>
      <c r="H38" s="104"/>
      <c r="I38" s="253"/>
    </row>
    <row r="39" spans="1:9" ht="12.75">
      <c r="A39" s="90">
        <v>38442</v>
      </c>
      <c r="B39" s="91">
        <f t="shared" si="2"/>
        <v>2</v>
      </c>
      <c r="C39" s="41">
        <f t="shared" si="3"/>
        <v>127300000</v>
      </c>
      <c r="D39" s="41"/>
      <c r="E39" s="92">
        <v>0.0946</v>
      </c>
      <c r="F39" s="41">
        <v>3171683</v>
      </c>
      <c r="G39" s="91"/>
      <c r="H39" s="91"/>
      <c r="I39" s="242"/>
    </row>
    <row r="40" spans="1:9" ht="12.75">
      <c r="A40" s="90">
        <v>38531</v>
      </c>
      <c r="B40" s="91">
        <f t="shared" si="2"/>
        <v>89</v>
      </c>
      <c r="C40" s="41">
        <f t="shared" si="3"/>
        <v>120600000</v>
      </c>
      <c r="D40" s="41">
        <v>6700000</v>
      </c>
      <c r="E40" s="91"/>
      <c r="F40" s="91"/>
      <c r="G40" s="91"/>
      <c r="H40" s="91"/>
      <c r="I40" s="242"/>
    </row>
    <row r="41" spans="1:9" ht="12.75">
      <c r="A41" s="90">
        <v>38533</v>
      </c>
      <c r="B41" s="91">
        <f t="shared" si="2"/>
        <v>2</v>
      </c>
      <c r="C41" s="41">
        <f t="shared" si="3"/>
        <v>120600000</v>
      </c>
      <c r="D41" s="41"/>
      <c r="E41" s="92">
        <v>0.0784</v>
      </c>
      <c r="F41" s="41">
        <v>2525613</v>
      </c>
      <c r="G41" s="91"/>
      <c r="H41" s="91"/>
      <c r="I41" s="242"/>
    </row>
    <row r="42" spans="1:9" ht="12.75">
      <c r="A42" s="90">
        <v>38623</v>
      </c>
      <c r="B42" s="91">
        <f t="shared" si="2"/>
        <v>90</v>
      </c>
      <c r="C42" s="41">
        <f t="shared" si="3"/>
        <v>113900000</v>
      </c>
      <c r="D42" s="41">
        <v>6700000</v>
      </c>
      <c r="E42" s="91"/>
      <c r="F42" s="91"/>
      <c r="G42" s="91"/>
      <c r="H42" s="91"/>
      <c r="I42" s="242"/>
    </row>
    <row r="43" spans="1:9" ht="12.75">
      <c r="A43" s="90">
        <v>38625</v>
      </c>
      <c r="B43" s="91">
        <f t="shared" si="2"/>
        <v>2</v>
      </c>
      <c r="C43" s="41">
        <f t="shared" si="3"/>
        <v>113900000</v>
      </c>
      <c r="D43" s="41"/>
      <c r="E43" s="92">
        <v>0.0702</v>
      </c>
      <c r="F43" s="41">
        <v>2163698</v>
      </c>
      <c r="G43" s="91"/>
      <c r="H43" s="91"/>
      <c r="I43" s="242"/>
    </row>
    <row r="44" spans="1:9" ht="12.75">
      <c r="A44" s="90">
        <v>38714</v>
      </c>
      <c r="B44" s="91">
        <f t="shared" si="2"/>
        <v>89</v>
      </c>
      <c r="C44" s="41">
        <f t="shared" si="3"/>
        <v>107200000</v>
      </c>
      <c r="D44" s="41">
        <v>6700000</v>
      </c>
      <c r="E44" s="91"/>
      <c r="F44" s="91"/>
      <c r="G44" s="91"/>
      <c r="H44" s="91"/>
      <c r="I44" s="242"/>
    </row>
    <row r="45" spans="1:9" ht="12.75">
      <c r="A45" s="97">
        <v>38716</v>
      </c>
      <c r="B45" s="98">
        <f t="shared" si="2"/>
        <v>2</v>
      </c>
      <c r="C45" s="99">
        <f t="shared" si="3"/>
        <v>107200000</v>
      </c>
      <c r="D45" s="99"/>
      <c r="E45" s="100">
        <v>0.061</v>
      </c>
      <c r="F45" s="41">
        <v>1756915</v>
      </c>
      <c r="G45" s="101">
        <f>SUM(F39:F45)</f>
        <v>9617909</v>
      </c>
      <c r="H45" s="101">
        <f>SUM(D38:D45)</f>
        <v>26800000</v>
      </c>
      <c r="I45" s="102">
        <f>SUM(G45:H45)</f>
        <v>36417909</v>
      </c>
    </row>
    <row r="46" spans="1:9" ht="12.75">
      <c r="A46" s="103">
        <v>38804</v>
      </c>
      <c r="B46" s="104">
        <f t="shared" si="2"/>
        <v>88</v>
      </c>
      <c r="C46" s="42">
        <f t="shared" si="3"/>
        <v>100500000</v>
      </c>
      <c r="D46" s="41">
        <v>6700000</v>
      </c>
      <c r="E46" s="104"/>
      <c r="F46" s="104"/>
      <c r="G46" s="104"/>
      <c r="H46" s="104"/>
      <c r="I46" s="253"/>
    </row>
    <row r="47" spans="1:9" ht="12.75">
      <c r="A47" s="90">
        <v>38807</v>
      </c>
      <c r="B47" s="91">
        <f t="shared" si="2"/>
        <v>3</v>
      </c>
      <c r="C47" s="41">
        <f t="shared" si="3"/>
        <v>100500000</v>
      </c>
      <c r="D47" s="41"/>
      <c r="E47" s="92">
        <v>0.0637</v>
      </c>
      <c r="F47" s="41">
        <v>1720964</v>
      </c>
      <c r="G47" s="91"/>
      <c r="H47" s="91"/>
      <c r="I47" s="242"/>
    </row>
    <row r="48" spans="1:9" ht="12.75">
      <c r="A48" s="90">
        <v>38896</v>
      </c>
      <c r="B48" s="91">
        <f t="shared" si="2"/>
        <v>89</v>
      </c>
      <c r="C48" s="41">
        <f t="shared" si="3"/>
        <v>93800000</v>
      </c>
      <c r="D48" s="41">
        <v>6700000</v>
      </c>
      <c r="E48" s="91"/>
      <c r="F48" s="91"/>
      <c r="G48" s="91"/>
      <c r="H48" s="91"/>
      <c r="I48" s="242"/>
    </row>
    <row r="49" spans="1:9" ht="12.75">
      <c r="A49" s="90">
        <v>38898</v>
      </c>
      <c r="B49" s="91">
        <f t="shared" si="2"/>
        <v>2</v>
      </c>
      <c r="C49" s="41">
        <f t="shared" si="3"/>
        <v>93800000</v>
      </c>
      <c r="D49" s="41"/>
      <c r="E49" s="92">
        <v>0.0643</v>
      </c>
      <c r="F49" s="41">
        <v>1630927</v>
      </c>
      <c r="G49" s="91"/>
      <c r="H49" s="91"/>
      <c r="I49" s="242"/>
    </row>
    <row r="50" spans="1:9" ht="12.75">
      <c r="A50" s="90">
        <v>38988</v>
      </c>
      <c r="B50" s="91">
        <f t="shared" si="2"/>
        <v>90</v>
      </c>
      <c r="C50" s="41">
        <f t="shared" si="3"/>
        <v>87100000</v>
      </c>
      <c r="D50" s="41">
        <v>6700000</v>
      </c>
      <c r="E50" s="91"/>
      <c r="F50" s="91"/>
      <c r="G50" s="91"/>
      <c r="H50" s="91"/>
      <c r="I50" s="242"/>
    </row>
    <row r="51" spans="1:9" ht="12.75">
      <c r="A51" s="90">
        <v>38989</v>
      </c>
      <c r="B51" s="91">
        <f t="shared" si="2"/>
        <v>1</v>
      </c>
      <c r="C51" s="41">
        <f t="shared" si="3"/>
        <v>87100000</v>
      </c>
      <c r="D51" s="41"/>
      <c r="E51" s="92">
        <v>0.0677</v>
      </c>
      <c r="F51" s="41">
        <v>1603059</v>
      </c>
      <c r="G51" s="91"/>
      <c r="H51" s="91"/>
      <c r="I51" s="242"/>
    </row>
    <row r="52" spans="1:9" ht="12.75">
      <c r="A52" s="90">
        <v>38991</v>
      </c>
      <c r="B52" s="91">
        <f>A52-A51</f>
        <v>2</v>
      </c>
      <c r="C52" s="41">
        <f>C51-D52</f>
        <v>87100000</v>
      </c>
      <c r="D52" s="41"/>
      <c r="E52" s="92">
        <v>0.0677</v>
      </c>
      <c r="F52" s="41"/>
      <c r="G52" s="91"/>
      <c r="H52" s="91"/>
      <c r="I52" s="242"/>
    </row>
    <row r="53" spans="1:9" ht="12.75">
      <c r="A53" s="90">
        <v>39079</v>
      </c>
      <c r="B53" s="91">
        <f>A53-A52</f>
        <v>88</v>
      </c>
      <c r="C53" s="41">
        <f>C52-D53</f>
        <v>80400000</v>
      </c>
      <c r="D53" s="41">
        <v>6700000</v>
      </c>
      <c r="E53" s="91"/>
      <c r="F53" s="91"/>
      <c r="G53" s="91"/>
      <c r="H53" s="91"/>
      <c r="I53" s="242"/>
    </row>
    <row r="54" spans="1:9" ht="12.75">
      <c r="A54" s="97">
        <v>39080</v>
      </c>
      <c r="B54" s="98">
        <f t="shared" si="2"/>
        <v>1</v>
      </c>
      <c r="C54" s="99">
        <f t="shared" si="3"/>
        <v>80400000</v>
      </c>
      <c r="D54" s="99"/>
      <c r="E54" s="100">
        <v>0.0804</v>
      </c>
      <c r="F54" s="41">
        <v>1762521</v>
      </c>
      <c r="G54" s="101">
        <f>SUM(F47:F54)</f>
        <v>6717471</v>
      </c>
      <c r="H54" s="101">
        <f>SUM(D46:D54)</f>
        <v>26800000</v>
      </c>
      <c r="I54" s="102">
        <f>SUM(G54:H54)</f>
        <v>33517471</v>
      </c>
    </row>
    <row r="55" spans="1:9" ht="12.75">
      <c r="A55" s="103">
        <v>39169</v>
      </c>
      <c r="B55" s="104">
        <f t="shared" si="2"/>
        <v>89</v>
      </c>
      <c r="C55" s="42">
        <f t="shared" si="3"/>
        <v>73700000</v>
      </c>
      <c r="D55" s="41">
        <v>6700000</v>
      </c>
      <c r="E55" s="104"/>
      <c r="F55" s="104"/>
      <c r="G55" s="104"/>
      <c r="H55" s="104"/>
      <c r="I55" s="253"/>
    </row>
    <row r="56" spans="1:9" ht="12.75">
      <c r="A56" s="90">
        <v>39172</v>
      </c>
      <c r="B56" s="91">
        <f t="shared" si="2"/>
        <v>3</v>
      </c>
      <c r="C56" s="41">
        <f t="shared" si="3"/>
        <v>73700000</v>
      </c>
      <c r="D56" s="41"/>
      <c r="E56" s="92">
        <v>0.0818</v>
      </c>
      <c r="F56" s="41">
        <f>((C55+D55)*E56/360*B55)+((C56+D56)*E56/360*B56)</f>
        <v>1676150.1666666667</v>
      </c>
      <c r="G56" s="91"/>
      <c r="H56" s="91"/>
      <c r="I56" s="242"/>
    </row>
    <row r="57" spans="1:9" ht="12.75">
      <c r="A57" s="90">
        <v>39261</v>
      </c>
      <c r="B57" s="91">
        <f t="shared" si="2"/>
        <v>89</v>
      </c>
      <c r="C57" s="41">
        <f t="shared" si="3"/>
        <v>67000000</v>
      </c>
      <c r="D57" s="41">
        <v>6700000</v>
      </c>
      <c r="E57" s="91"/>
      <c r="F57" s="91"/>
      <c r="G57" s="91"/>
      <c r="H57" s="91"/>
      <c r="I57" s="242"/>
    </row>
    <row r="58" spans="1:9" ht="12.75">
      <c r="A58" s="90">
        <v>39263</v>
      </c>
      <c r="B58" s="91">
        <f t="shared" si="2"/>
        <v>2</v>
      </c>
      <c r="C58" s="41">
        <f t="shared" si="3"/>
        <v>67000000</v>
      </c>
      <c r="D58" s="41"/>
      <c r="E58" s="92">
        <f>E56</f>
        <v>0.0818</v>
      </c>
      <c r="F58" s="41">
        <f>((C57+D57)*E58/360*B57)+((C58+D58)*E58/360*B58)</f>
        <v>1520866.5</v>
      </c>
      <c r="G58" s="91"/>
      <c r="H58" s="91"/>
      <c r="I58" s="242"/>
    </row>
    <row r="59" spans="1:9" ht="12.75">
      <c r="A59" s="90">
        <v>39353</v>
      </c>
      <c r="B59" s="91">
        <f t="shared" si="2"/>
        <v>90</v>
      </c>
      <c r="C59" s="41">
        <f t="shared" si="3"/>
        <v>60300000</v>
      </c>
      <c r="D59" s="41">
        <v>6700000</v>
      </c>
      <c r="E59" s="91"/>
      <c r="F59" s="91"/>
      <c r="G59" s="91"/>
      <c r="H59" s="91"/>
      <c r="I59" s="242"/>
    </row>
    <row r="60" spans="1:9" ht="12.75">
      <c r="A60" s="90">
        <v>39355</v>
      </c>
      <c r="B60" s="91">
        <f t="shared" si="2"/>
        <v>2</v>
      </c>
      <c r="C60" s="41">
        <f t="shared" si="3"/>
        <v>60300000</v>
      </c>
      <c r="D60" s="41"/>
      <c r="E60" s="92">
        <f>E58</f>
        <v>0.0818</v>
      </c>
      <c r="F60" s="41">
        <f>((C59+D59)*E60/360*B59)+((C60+D60)*E60/360*B60)</f>
        <v>1397553</v>
      </c>
      <c r="G60" s="91"/>
      <c r="H60" s="91"/>
      <c r="I60" s="242"/>
    </row>
    <row r="61" spans="1:9" ht="12.75">
      <c r="A61" s="90">
        <v>39444</v>
      </c>
      <c r="B61" s="91">
        <f t="shared" si="2"/>
        <v>89</v>
      </c>
      <c r="C61" s="41">
        <f t="shared" si="3"/>
        <v>53600000</v>
      </c>
      <c r="D61" s="41">
        <v>6700000</v>
      </c>
      <c r="E61" s="91"/>
      <c r="F61" s="91"/>
      <c r="G61" s="91"/>
      <c r="H61" s="91"/>
      <c r="I61" s="242"/>
    </row>
    <row r="62" spans="1:9" ht="12.75">
      <c r="A62" s="97">
        <v>39447</v>
      </c>
      <c r="B62" s="98">
        <f t="shared" si="2"/>
        <v>3</v>
      </c>
      <c r="C62" s="99">
        <f t="shared" si="3"/>
        <v>53600000</v>
      </c>
      <c r="D62" s="99"/>
      <c r="E62" s="100">
        <f>E60</f>
        <v>0.0818</v>
      </c>
      <c r="F62" s="41">
        <f>((C61+D61)*E62/360*B61)+((C62+D62)*E62/360*B62)</f>
        <v>1255970.8333333333</v>
      </c>
      <c r="G62" s="101">
        <f>SUM(F56:F62)</f>
        <v>5850540.5</v>
      </c>
      <c r="H62" s="101">
        <f>SUM(D55:D62)</f>
        <v>26800000</v>
      </c>
      <c r="I62" s="102">
        <f>SUM(G62:H62)</f>
        <v>32650540.5</v>
      </c>
    </row>
    <row r="63" spans="1:9" ht="12.75">
      <c r="A63" s="103">
        <v>39535</v>
      </c>
      <c r="B63" s="104">
        <f t="shared" si="2"/>
        <v>88</v>
      </c>
      <c r="C63" s="42">
        <f t="shared" si="3"/>
        <v>46900000</v>
      </c>
      <c r="D63" s="41">
        <v>6700000</v>
      </c>
      <c r="E63" s="104"/>
      <c r="F63" s="104"/>
      <c r="G63" s="104"/>
      <c r="H63" s="104"/>
      <c r="I63" s="253"/>
    </row>
    <row r="64" spans="1:9" ht="12.75">
      <c r="A64" s="90">
        <v>39538</v>
      </c>
      <c r="B64" s="91">
        <f t="shared" si="2"/>
        <v>3</v>
      </c>
      <c r="C64" s="41">
        <f t="shared" si="3"/>
        <v>46900000</v>
      </c>
      <c r="D64" s="41"/>
      <c r="E64" s="92">
        <f>E62</f>
        <v>0.0818</v>
      </c>
      <c r="F64" s="41">
        <f>((C63+D63)*E64/360*B63)+((C64+D64)*E64/360*B64)</f>
        <v>1103731.9444444445</v>
      </c>
      <c r="G64" s="91"/>
      <c r="H64" s="91"/>
      <c r="I64" s="242"/>
    </row>
    <row r="65" spans="1:9" ht="12.75">
      <c r="A65" s="90">
        <v>39627</v>
      </c>
      <c r="B65" s="91">
        <f t="shared" si="2"/>
        <v>89</v>
      </c>
      <c r="C65" s="41">
        <f t="shared" si="3"/>
        <v>40200000</v>
      </c>
      <c r="D65" s="41">
        <v>6700000</v>
      </c>
      <c r="E65" s="95"/>
      <c r="F65" s="91"/>
      <c r="G65" s="91"/>
      <c r="H65" s="91"/>
      <c r="I65" s="242"/>
    </row>
    <row r="66" spans="1:9" ht="12.75">
      <c r="A66" s="90">
        <v>39629</v>
      </c>
      <c r="B66" s="91">
        <f t="shared" si="2"/>
        <v>2</v>
      </c>
      <c r="C66" s="41">
        <f t="shared" si="3"/>
        <v>40200000</v>
      </c>
      <c r="D66" s="41"/>
      <c r="E66" s="92">
        <f>E64</f>
        <v>0.0818</v>
      </c>
      <c r="F66" s="41">
        <f>((C65+D65)*E66/360*B65)+((C66+D66)*E66/360*B66)</f>
        <v>966716.9444444445</v>
      </c>
      <c r="G66" s="91"/>
      <c r="H66" s="91"/>
      <c r="I66" s="242"/>
    </row>
    <row r="67" spans="1:9" ht="12.75">
      <c r="A67" s="90">
        <v>39719</v>
      </c>
      <c r="B67" s="91">
        <f t="shared" si="2"/>
        <v>90</v>
      </c>
      <c r="C67" s="41">
        <f t="shared" si="3"/>
        <v>33500000</v>
      </c>
      <c r="D67" s="41">
        <v>6700000</v>
      </c>
      <c r="E67" s="91"/>
      <c r="F67" s="91"/>
      <c r="G67" s="91"/>
      <c r="H67" s="91"/>
      <c r="I67" s="242"/>
    </row>
    <row r="68" spans="1:9" ht="12.75">
      <c r="A68" s="90">
        <v>39721</v>
      </c>
      <c r="B68" s="91">
        <f t="shared" si="2"/>
        <v>2</v>
      </c>
      <c r="C68" s="41">
        <f t="shared" si="3"/>
        <v>33500000</v>
      </c>
      <c r="D68" s="41"/>
      <c r="E68" s="92">
        <f>E66</f>
        <v>0.0818</v>
      </c>
      <c r="F68" s="41">
        <f>((C67+D67)*E68/360*B67)+((C68+D68)*E68/360*B68)</f>
        <v>837313.8888888889</v>
      </c>
      <c r="G68" s="91"/>
      <c r="H68" s="91"/>
      <c r="I68" s="242"/>
    </row>
    <row r="69" spans="1:9" ht="12.75">
      <c r="A69" s="90">
        <v>39810</v>
      </c>
      <c r="B69" s="91">
        <f t="shared" si="2"/>
        <v>89</v>
      </c>
      <c r="C69" s="41">
        <f t="shared" si="3"/>
        <v>26800000</v>
      </c>
      <c r="D69" s="41">
        <v>6700000</v>
      </c>
      <c r="E69" s="91"/>
      <c r="F69" s="91"/>
      <c r="G69" s="91"/>
      <c r="H69" s="91"/>
      <c r="I69" s="242"/>
    </row>
    <row r="70" spans="1:9" ht="12.75">
      <c r="A70" s="97">
        <v>39813</v>
      </c>
      <c r="B70" s="98">
        <f t="shared" si="2"/>
        <v>3</v>
      </c>
      <c r="C70" s="99">
        <f t="shared" si="3"/>
        <v>26800000</v>
      </c>
      <c r="D70" s="99"/>
      <c r="E70" s="100">
        <f>E68</f>
        <v>0.0818</v>
      </c>
      <c r="F70" s="41">
        <f>((C69+D69)*E70/360*B69)+((C70+D70)*E70/360*B70)</f>
        <v>695731.7222222221</v>
      </c>
      <c r="G70" s="101">
        <f>SUM(F64:F70)</f>
        <v>3603494.5</v>
      </c>
      <c r="H70" s="101">
        <f>SUM(D63:D70)</f>
        <v>26800000</v>
      </c>
      <c r="I70" s="102">
        <f>SUM(G70:H70)</f>
        <v>30403494.5</v>
      </c>
    </row>
    <row r="71" spans="1:9" ht="12.75">
      <c r="A71" s="103">
        <v>39900</v>
      </c>
      <c r="B71" s="104">
        <f t="shared" si="2"/>
        <v>87</v>
      </c>
      <c r="C71" s="42">
        <f t="shared" si="3"/>
        <v>20100000</v>
      </c>
      <c r="D71" s="41">
        <v>6700000</v>
      </c>
      <c r="E71" s="104"/>
      <c r="F71" s="104"/>
      <c r="G71" s="104"/>
      <c r="H71" s="104"/>
      <c r="I71" s="253"/>
    </row>
    <row r="72" spans="1:9" ht="12.75">
      <c r="A72" s="90">
        <v>39903</v>
      </c>
      <c r="B72" s="91">
        <f t="shared" si="2"/>
        <v>3</v>
      </c>
      <c r="C72" s="41">
        <f t="shared" si="3"/>
        <v>20100000</v>
      </c>
      <c r="D72" s="41"/>
      <c r="E72" s="92">
        <f>E70</f>
        <v>0.0818</v>
      </c>
      <c r="F72" s="41">
        <f>((C71+D71)*E72/360*B71)+((C72+D72)*E72/360*B72)</f>
        <v>543492.8333333334</v>
      </c>
      <c r="G72" s="91"/>
      <c r="H72" s="91"/>
      <c r="I72" s="242"/>
    </row>
    <row r="73" spans="1:9" ht="12.75">
      <c r="A73" s="90">
        <v>39992</v>
      </c>
      <c r="B73" s="91">
        <f t="shared" si="2"/>
        <v>89</v>
      </c>
      <c r="C73" s="41">
        <f t="shared" si="3"/>
        <v>13400000</v>
      </c>
      <c r="D73" s="41">
        <v>6700000</v>
      </c>
      <c r="E73" s="91"/>
      <c r="F73" s="91"/>
      <c r="G73" s="91"/>
      <c r="H73" s="91"/>
      <c r="I73" s="242"/>
    </row>
    <row r="74" spans="1:9" ht="12.75">
      <c r="A74" s="90">
        <v>39994</v>
      </c>
      <c r="B74" s="91">
        <f t="shared" si="2"/>
        <v>2</v>
      </c>
      <c r="C74" s="41">
        <f t="shared" si="3"/>
        <v>13400000</v>
      </c>
      <c r="D74" s="41"/>
      <c r="E74" s="92">
        <f>E72</f>
        <v>0.0818</v>
      </c>
      <c r="F74" s="41">
        <f>((C73+D73)*E74/360*B73)+((C74+D74)*E74/360*B74)</f>
        <v>412567.38888888893</v>
      </c>
      <c r="G74" s="91"/>
      <c r="H74" s="91"/>
      <c r="I74" s="242"/>
    </row>
    <row r="75" spans="1:9" ht="12.75">
      <c r="A75" s="90">
        <v>40084</v>
      </c>
      <c r="B75" s="91">
        <f t="shared" si="2"/>
        <v>90</v>
      </c>
      <c r="C75" s="41">
        <f t="shared" si="3"/>
        <v>6700000</v>
      </c>
      <c r="D75" s="41">
        <v>6700000</v>
      </c>
      <c r="E75" s="92"/>
      <c r="F75" s="41"/>
      <c r="G75" s="108"/>
      <c r="H75" s="108"/>
      <c r="I75" s="263"/>
    </row>
    <row r="76" spans="1:9" ht="12.75">
      <c r="A76" s="90">
        <v>40086</v>
      </c>
      <c r="B76" s="91">
        <f t="shared" si="2"/>
        <v>2</v>
      </c>
      <c r="C76" s="41">
        <f t="shared" si="3"/>
        <v>6700000</v>
      </c>
      <c r="D76" s="41"/>
      <c r="E76" s="92">
        <f>E74</f>
        <v>0.0818</v>
      </c>
      <c r="F76" s="41">
        <f>((C75+D75)*E76/360*B75)+((C76+D76)*E76/360*B76)</f>
        <v>277074.77777777775</v>
      </c>
      <c r="G76" s="108"/>
      <c r="H76" s="108"/>
      <c r="I76" s="263"/>
    </row>
    <row r="77" spans="1:9" ht="13.5" thickBot="1">
      <c r="A77" s="90">
        <v>40175</v>
      </c>
      <c r="B77" s="91">
        <f t="shared" si="2"/>
        <v>89</v>
      </c>
      <c r="C77" s="41">
        <f t="shared" si="3"/>
        <v>0</v>
      </c>
      <c r="D77" s="41">
        <v>6700000</v>
      </c>
      <c r="E77" s="92">
        <f>E76</f>
        <v>0.0818</v>
      </c>
      <c r="F77" s="41">
        <f>((C77+D77)*E77/360*B77)</f>
        <v>135492.61111111112</v>
      </c>
      <c r="G77" s="270">
        <f>SUM(F72:F77)</f>
        <v>1368627.611111111</v>
      </c>
      <c r="H77" s="270">
        <f>SUM(D71:D77)</f>
        <v>26800000</v>
      </c>
      <c r="I77" s="271">
        <f>SUM(G77:H77)</f>
        <v>28168627.611111112</v>
      </c>
    </row>
    <row r="78" spans="1:10" ht="13.5" thickTop="1">
      <c r="A78" s="471" t="s">
        <v>14</v>
      </c>
      <c r="B78" s="472"/>
      <c r="C78" s="473"/>
      <c r="D78" s="120">
        <f>SUM(D12:D77)</f>
        <v>250000000</v>
      </c>
      <c r="E78" s="272"/>
      <c r="F78" s="120">
        <f>SUM(F8:F77)</f>
        <v>112430949.29604264</v>
      </c>
      <c r="G78" s="120">
        <f>SUM(G8:G77)</f>
        <v>112430949.2960426</v>
      </c>
      <c r="H78" s="120">
        <f>SUM(H8:H77)</f>
        <v>250000000</v>
      </c>
      <c r="I78" s="122">
        <f>SUM(I8:I77)</f>
        <v>362430949.2960426</v>
      </c>
      <c r="J78" s="124"/>
    </row>
    <row r="79" spans="1:2" ht="12.75">
      <c r="A79" s="123"/>
      <c r="B79" s="56"/>
    </row>
    <row r="80" spans="1:2" ht="12.75">
      <c r="A80" s="123"/>
      <c r="B80" s="56"/>
    </row>
    <row r="81" ht="12.75">
      <c r="F81" s="124"/>
    </row>
    <row r="82" ht="12.75">
      <c r="F82" s="124"/>
    </row>
    <row r="85" ht="12.75">
      <c r="F85" s="124"/>
    </row>
  </sheetData>
  <mergeCells count="1">
    <mergeCell ref="A78:C78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2000. decemberben felvett 250 MFt hitel</oddHeader>
    <oddFooter>&amp;L&amp;9Nyomtatás dátuma: &amp;D
C:\Andi\adósságszolgálat\&amp;F\&amp;A&amp;R&amp;P/&amp;N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pane ySplit="6" topLeftCell="BM47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375" style="58" customWidth="1"/>
    <col min="2" max="2" width="6.50390625" style="124" customWidth="1"/>
    <col min="3" max="3" width="12.125" style="124" customWidth="1"/>
    <col min="4" max="4" width="12.625" style="124" bestFit="1" customWidth="1"/>
    <col min="5" max="5" width="8.50390625" style="125" customWidth="1"/>
    <col min="6" max="6" width="11.50390625" style="58" customWidth="1"/>
    <col min="7" max="7" width="12.375" style="124" customWidth="1"/>
    <col min="8" max="8" width="12.625" style="58" bestFit="1" customWidth="1"/>
    <col min="9" max="9" width="12.625" style="124" bestFit="1" customWidth="1"/>
    <col min="10" max="10" width="9.375" style="58" customWidth="1"/>
    <col min="11" max="11" width="10.125" style="58" bestFit="1" customWidth="1"/>
    <col min="12" max="16384" width="9.375" style="58" customWidth="1"/>
  </cols>
  <sheetData>
    <row r="1" spans="1:9" ht="12.75">
      <c r="A1" s="166" t="s">
        <v>79</v>
      </c>
      <c r="B1" s="166"/>
      <c r="C1" s="166"/>
      <c r="D1" s="166"/>
      <c r="E1" s="167"/>
      <c r="G1" s="166"/>
      <c r="H1" s="166"/>
      <c r="I1" s="166"/>
    </row>
    <row r="2" spans="1:9" ht="12.75">
      <c r="A2" s="138" t="s">
        <v>15</v>
      </c>
      <c r="B2" s="135"/>
      <c r="C2" s="135"/>
      <c r="D2" s="135"/>
      <c r="E2" s="168"/>
      <c r="F2" s="135"/>
      <c r="G2" s="135"/>
      <c r="H2" s="135"/>
      <c r="I2" s="135"/>
    </row>
    <row r="3" spans="1:9" ht="12.75">
      <c r="A3" s="137" t="s">
        <v>63</v>
      </c>
      <c r="B3" s="166"/>
      <c r="C3" s="166"/>
      <c r="D3" s="135"/>
      <c r="E3" s="168"/>
      <c r="F3" s="135"/>
      <c r="G3" s="135"/>
      <c r="H3" s="135"/>
      <c r="I3" s="135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84">
        <v>36708</v>
      </c>
      <c r="B7" s="140"/>
      <c r="C7" s="141">
        <v>200000000</v>
      </c>
      <c r="D7" s="141"/>
      <c r="E7" s="141"/>
      <c r="F7" s="141"/>
      <c r="G7" s="151"/>
      <c r="H7" s="151"/>
      <c r="I7" s="152"/>
    </row>
    <row r="8" spans="1:9" ht="12.75">
      <c r="A8" s="84">
        <v>36799</v>
      </c>
      <c r="B8" s="140">
        <f aca="true" t="shared" si="0" ref="B8:B24">A8-A7</f>
        <v>91</v>
      </c>
      <c r="C8" s="141">
        <f aca="true" t="shared" si="1" ref="C8:C22">C7-D8</f>
        <v>200000000</v>
      </c>
      <c r="D8" s="141"/>
      <c r="E8" s="53">
        <v>0.1116</v>
      </c>
      <c r="F8" s="141">
        <f>(C8+D8)*E8/365*B8</f>
        <v>5564712.328767123</v>
      </c>
      <c r="G8" s="151"/>
      <c r="H8" s="151"/>
      <c r="I8" s="152"/>
    </row>
    <row r="9" spans="1:9" ht="12.75">
      <c r="A9" s="145">
        <v>36891</v>
      </c>
      <c r="B9" s="246">
        <f t="shared" si="0"/>
        <v>92</v>
      </c>
      <c r="C9" s="146">
        <f t="shared" si="1"/>
        <v>200000000</v>
      </c>
      <c r="D9" s="99"/>
      <c r="E9" s="268">
        <f>E8</f>
        <v>0.1116</v>
      </c>
      <c r="F9" s="147">
        <f>(C9+D9)*E9/365*B9</f>
        <v>5625863.01369863</v>
      </c>
      <c r="G9" s="153">
        <f>SUM(F7:F9)</f>
        <v>11190575.342465753</v>
      </c>
      <c r="H9" s="153">
        <f>SUM(D7:D9)</f>
        <v>0</v>
      </c>
      <c r="I9" s="154">
        <f>SUM(G9:H9)</f>
        <v>11190575.342465753</v>
      </c>
    </row>
    <row r="10" spans="1:9" ht="12.75">
      <c r="A10" s="103">
        <v>36981</v>
      </c>
      <c r="B10" s="245">
        <f t="shared" si="0"/>
        <v>90</v>
      </c>
      <c r="C10" s="142">
        <f t="shared" si="1"/>
        <v>200000000</v>
      </c>
      <c r="D10" s="141"/>
      <c r="E10" s="53">
        <f>F10/(C10*B10)*365</f>
        <v>0.1241101388888889</v>
      </c>
      <c r="F10" s="141">
        <v>6120500</v>
      </c>
      <c r="G10" s="143"/>
      <c r="H10" s="143"/>
      <c r="I10" s="144"/>
    </row>
    <row r="11" spans="1:9" ht="12.75">
      <c r="A11" s="90">
        <v>37072</v>
      </c>
      <c r="B11" s="247">
        <f t="shared" si="0"/>
        <v>91</v>
      </c>
      <c r="C11" s="157">
        <f t="shared" si="1"/>
        <v>200000000</v>
      </c>
      <c r="D11" s="157"/>
      <c r="E11" s="53">
        <f>F11/(C11*B11)*365</f>
        <v>0.11535381785714285</v>
      </c>
      <c r="F11" s="141">
        <v>5751889</v>
      </c>
      <c r="G11" s="158"/>
      <c r="H11" s="158"/>
      <c r="I11" s="159"/>
    </row>
    <row r="12" spans="1:9" ht="12.75">
      <c r="A12" s="90">
        <v>37162</v>
      </c>
      <c r="B12" s="247">
        <f t="shared" si="0"/>
        <v>90</v>
      </c>
      <c r="C12" s="157">
        <f t="shared" si="1"/>
        <v>183334000</v>
      </c>
      <c r="D12" s="157">
        <v>16666000</v>
      </c>
      <c r="E12" s="248"/>
      <c r="F12" s="157"/>
      <c r="G12" s="158"/>
      <c r="H12" s="158"/>
      <c r="I12" s="159"/>
    </row>
    <row r="13" spans="1:9" ht="12.75">
      <c r="A13" s="84">
        <v>37164</v>
      </c>
      <c r="B13" s="140">
        <f t="shared" si="0"/>
        <v>2</v>
      </c>
      <c r="C13" s="141">
        <f t="shared" si="1"/>
        <v>183334000</v>
      </c>
      <c r="D13" s="141"/>
      <c r="E13" s="53">
        <f>F13/(((C12+D12)*B12)+(C13*B13))*365</f>
        <v>0.11112075091682388</v>
      </c>
      <c r="F13" s="141">
        <v>5591556</v>
      </c>
      <c r="G13" s="151"/>
      <c r="H13" s="151"/>
      <c r="I13" s="152"/>
    </row>
    <row r="14" spans="1:9" ht="12.75">
      <c r="A14" s="84">
        <v>37253</v>
      </c>
      <c r="B14" s="140">
        <f t="shared" si="0"/>
        <v>89</v>
      </c>
      <c r="C14" s="141">
        <f t="shared" si="1"/>
        <v>166668000</v>
      </c>
      <c r="D14" s="141">
        <v>16666000</v>
      </c>
      <c r="E14" s="53"/>
      <c r="F14" s="141"/>
      <c r="G14" s="151"/>
      <c r="H14" s="151"/>
      <c r="I14" s="152"/>
    </row>
    <row r="15" spans="1:9" ht="12.75">
      <c r="A15" s="145">
        <v>37253</v>
      </c>
      <c r="B15" s="246">
        <f t="shared" si="0"/>
        <v>0</v>
      </c>
      <c r="C15" s="146">
        <f t="shared" si="1"/>
        <v>166668000</v>
      </c>
      <c r="D15" s="99"/>
      <c r="E15" s="100">
        <f>F15/(((C14+D14)*B14)+(C15*B15))*365</f>
        <v>0.11524272730938792</v>
      </c>
      <c r="F15" s="147">
        <v>5151737</v>
      </c>
      <c r="G15" s="153">
        <f>SUM(F10:F15)</f>
        <v>22615682</v>
      </c>
      <c r="H15" s="153">
        <f>SUM(D10:D15)</f>
        <v>33332000</v>
      </c>
      <c r="I15" s="154">
        <f>SUM(G15:H15)</f>
        <v>55947682</v>
      </c>
    </row>
    <row r="16" spans="1:9" ht="12.75">
      <c r="A16" s="103">
        <v>37343</v>
      </c>
      <c r="B16" s="273">
        <f t="shared" si="0"/>
        <v>90</v>
      </c>
      <c r="C16" s="142">
        <f t="shared" si="1"/>
        <v>150002000</v>
      </c>
      <c r="D16" s="141">
        <v>16666000</v>
      </c>
      <c r="E16" s="53"/>
      <c r="F16" s="141"/>
      <c r="G16" s="143"/>
      <c r="H16" s="143"/>
      <c r="I16" s="144"/>
    </row>
    <row r="17" spans="1:9" ht="12.75">
      <c r="A17" s="84">
        <v>37344</v>
      </c>
      <c r="B17" s="91">
        <f t="shared" si="0"/>
        <v>1</v>
      </c>
      <c r="C17" s="141">
        <f t="shared" si="1"/>
        <v>150002000</v>
      </c>
      <c r="D17" s="141"/>
      <c r="E17" s="53">
        <f>F17/(((C16+D16)*B16)+(C17*B17))*365</f>
        <v>0.0997402291545903</v>
      </c>
      <c r="F17" s="141">
        <v>4139936</v>
      </c>
      <c r="G17" s="151"/>
      <c r="H17" s="151"/>
      <c r="I17" s="152"/>
    </row>
    <row r="18" spans="1:9" ht="12.75">
      <c r="A18" s="84">
        <v>37435</v>
      </c>
      <c r="B18" s="140">
        <f t="shared" si="0"/>
        <v>91</v>
      </c>
      <c r="C18" s="141">
        <f t="shared" si="1"/>
        <v>133336000</v>
      </c>
      <c r="D18" s="141">
        <v>16666000</v>
      </c>
      <c r="E18" s="53"/>
      <c r="F18" s="141"/>
      <c r="G18" s="151"/>
      <c r="H18" s="151"/>
      <c r="I18" s="152"/>
    </row>
    <row r="19" spans="1:9" ht="12.75">
      <c r="A19" s="84">
        <v>37437</v>
      </c>
      <c r="B19" s="140">
        <f t="shared" si="0"/>
        <v>2</v>
      </c>
      <c r="C19" s="141">
        <f t="shared" si="1"/>
        <v>133336000</v>
      </c>
      <c r="D19" s="141"/>
      <c r="E19" s="53">
        <v>0.085</v>
      </c>
      <c r="F19" s="141">
        <v>3239335</v>
      </c>
      <c r="G19" s="151"/>
      <c r="H19" s="151"/>
      <c r="I19" s="152"/>
    </row>
    <row r="20" spans="1:9" ht="12.75">
      <c r="A20" s="84">
        <v>37527</v>
      </c>
      <c r="B20" s="140">
        <f t="shared" si="0"/>
        <v>90</v>
      </c>
      <c r="C20" s="141">
        <f t="shared" si="1"/>
        <v>116670000</v>
      </c>
      <c r="D20" s="141">
        <v>16666000</v>
      </c>
      <c r="E20" s="53"/>
      <c r="F20" s="141"/>
      <c r="G20" s="151"/>
      <c r="H20" s="151"/>
      <c r="I20" s="152"/>
    </row>
    <row r="21" spans="1:9" ht="12.75">
      <c r="A21" s="84">
        <v>37529</v>
      </c>
      <c r="B21" s="140">
        <f t="shared" si="0"/>
        <v>2</v>
      </c>
      <c r="C21" s="141">
        <f t="shared" si="1"/>
        <v>116670000</v>
      </c>
      <c r="D21" s="141"/>
      <c r="E21" s="53">
        <v>0.0931</v>
      </c>
      <c r="F21" s="141">
        <v>3232324</v>
      </c>
      <c r="G21" s="151"/>
      <c r="H21" s="151"/>
      <c r="I21" s="152"/>
    </row>
    <row r="22" spans="1:9" ht="12.75">
      <c r="A22" s="84">
        <v>37618</v>
      </c>
      <c r="B22" s="140">
        <f t="shared" si="0"/>
        <v>89</v>
      </c>
      <c r="C22" s="141">
        <f t="shared" si="1"/>
        <v>100004000</v>
      </c>
      <c r="D22" s="141">
        <v>16666000</v>
      </c>
      <c r="E22" s="53"/>
      <c r="F22" s="141"/>
      <c r="G22" s="151"/>
      <c r="H22" s="151"/>
      <c r="I22" s="152"/>
    </row>
    <row r="23" spans="1:9" ht="12.75">
      <c r="A23" s="274">
        <v>37621</v>
      </c>
      <c r="B23" s="98">
        <f t="shared" si="0"/>
        <v>3</v>
      </c>
      <c r="C23" s="275">
        <v>100004000</v>
      </c>
      <c r="D23" s="99"/>
      <c r="E23" s="191">
        <v>0.098</v>
      </c>
      <c r="F23" s="99">
        <v>2906737</v>
      </c>
      <c r="G23" s="153">
        <f>SUM(F17:F23)</f>
        <v>13518332</v>
      </c>
      <c r="H23" s="153">
        <f>SUM(D16:D23)</f>
        <v>66664000</v>
      </c>
      <c r="I23" s="154">
        <f>SUM(G23:H23)</f>
        <v>80182332</v>
      </c>
    </row>
    <row r="24" spans="1:9" ht="12.75">
      <c r="A24" s="84">
        <v>37708</v>
      </c>
      <c r="B24" s="104">
        <f t="shared" si="0"/>
        <v>87</v>
      </c>
      <c r="C24" s="42">
        <f aca="true" t="shared" si="2" ref="C24:C63">C23-D24</f>
        <v>95000000</v>
      </c>
      <c r="D24" s="42">
        <v>5004000</v>
      </c>
      <c r="E24" s="105"/>
      <c r="F24" s="104"/>
      <c r="G24" s="42"/>
      <c r="H24" s="104"/>
      <c r="I24" s="106"/>
    </row>
    <row r="25" spans="1:9" ht="12.75">
      <c r="A25" s="84">
        <v>37711</v>
      </c>
      <c r="B25" s="91">
        <f aca="true" t="shared" si="3" ref="B25:B63">A25-A24</f>
        <v>3</v>
      </c>
      <c r="C25" s="41">
        <f t="shared" si="2"/>
        <v>95000000</v>
      </c>
      <c r="D25" s="41"/>
      <c r="E25" s="92">
        <v>0.0847</v>
      </c>
      <c r="F25" s="41">
        <v>2117747</v>
      </c>
      <c r="G25" s="41"/>
      <c r="H25" s="91"/>
      <c r="I25" s="96"/>
    </row>
    <row r="26" spans="1:9" ht="12.75">
      <c r="A26" s="84">
        <v>37800</v>
      </c>
      <c r="B26" s="91">
        <f t="shared" si="3"/>
        <v>89</v>
      </c>
      <c r="C26" s="41">
        <f t="shared" si="2"/>
        <v>90000000</v>
      </c>
      <c r="D26" s="41">
        <v>5000000</v>
      </c>
      <c r="E26" s="95"/>
      <c r="F26" s="91"/>
      <c r="G26" s="41"/>
      <c r="H26" s="91"/>
      <c r="I26" s="96"/>
    </row>
    <row r="27" spans="1:9" ht="12.75">
      <c r="A27" s="84">
        <v>37802</v>
      </c>
      <c r="B27" s="91">
        <f t="shared" si="3"/>
        <v>2</v>
      </c>
      <c r="C27" s="41">
        <f t="shared" si="2"/>
        <v>90000000</v>
      </c>
      <c r="D27" s="41"/>
      <c r="E27" s="92">
        <v>0.0665</v>
      </c>
      <c r="F27" s="41">
        <v>1601726</v>
      </c>
      <c r="G27" s="41"/>
      <c r="H27" s="91"/>
      <c r="I27" s="96"/>
    </row>
    <row r="28" spans="1:9" ht="12.75">
      <c r="A28" s="84">
        <v>37892</v>
      </c>
      <c r="B28" s="91">
        <f t="shared" si="3"/>
        <v>90</v>
      </c>
      <c r="C28" s="41">
        <f t="shared" si="2"/>
        <v>85000000</v>
      </c>
      <c r="D28" s="41">
        <v>5000000</v>
      </c>
      <c r="E28" s="95"/>
      <c r="F28" s="91"/>
      <c r="G28" s="41"/>
      <c r="H28" s="91"/>
      <c r="I28" s="96"/>
    </row>
    <row r="29" spans="1:9" ht="12.75">
      <c r="A29" s="84">
        <v>37894</v>
      </c>
      <c r="B29" s="91">
        <f t="shared" si="3"/>
        <v>2</v>
      </c>
      <c r="C29" s="41">
        <f t="shared" si="2"/>
        <v>85000000</v>
      </c>
      <c r="D29" s="41"/>
      <c r="E29" s="92">
        <v>0.0893</v>
      </c>
      <c r="F29" s="41">
        <v>2045719</v>
      </c>
      <c r="G29" s="41"/>
      <c r="H29" s="91"/>
      <c r="I29" s="96"/>
    </row>
    <row r="30" spans="1:11" ht="12.75">
      <c r="A30" s="84">
        <v>37983</v>
      </c>
      <c r="B30" s="91">
        <f t="shared" si="3"/>
        <v>89</v>
      </c>
      <c r="C30" s="41">
        <f t="shared" si="2"/>
        <v>80000000</v>
      </c>
      <c r="D30" s="41">
        <v>5000000</v>
      </c>
      <c r="E30" s="95"/>
      <c r="F30" s="91"/>
      <c r="G30" s="41"/>
      <c r="H30" s="91"/>
      <c r="I30" s="96"/>
      <c r="K30" s="124"/>
    </row>
    <row r="31" spans="1:9" ht="12.75">
      <c r="A31" s="145">
        <v>37986</v>
      </c>
      <c r="B31" s="98">
        <f t="shared" si="3"/>
        <v>3</v>
      </c>
      <c r="C31" s="99">
        <f t="shared" si="2"/>
        <v>80000000</v>
      </c>
      <c r="D31" s="99"/>
      <c r="E31" s="100">
        <v>0.0961</v>
      </c>
      <c r="F31" s="41">
        <v>2081896</v>
      </c>
      <c r="G31" s="101">
        <f>SUM(F25:F31)</f>
        <v>7847088</v>
      </c>
      <c r="H31" s="101">
        <f>SUM(D24:D31)</f>
        <v>20004000</v>
      </c>
      <c r="I31" s="102">
        <f>SUM(G31:H31)</f>
        <v>27851088</v>
      </c>
    </row>
    <row r="32" spans="1:9" ht="12.75">
      <c r="A32" s="103">
        <v>38074</v>
      </c>
      <c r="B32" s="104">
        <f t="shared" si="3"/>
        <v>88</v>
      </c>
      <c r="C32" s="42">
        <f t="shared" si="2"/>
        <v>75000000</v>
      </c>
      <c r="D32" s="41">
        <v>5000000</v>
      </c>
      <c r="E32" s="105"/>
      <c r="F32" s="104"/>
      <c r="G32" s="42"/>
      <c r="H32" s="104"/>
      <c r="I32" s="106"/>
    </row>
    <row r="33" spans="1:9" ht="12.75">
      <c r="A33" s="90">
        <v>38077</v>
      </c>
      <c r="B33" s="91">
        <f t="shared" si="3"/>
        <v>3</v>
      </c>
      <c r="C33" s="41">
        <f t="shared" si="2"/>
        <v>75000000</v>
      </c>
      <c r="D33" s="41"/>
      <c r="E33" s="92">
        <v>0.1255</v>
      </c>
      <c r="F33" s="41">
        <v>2527869</v>
      </c>
      <c r="G33" s="41"/>
      <c r="H33" s="91"/>
      <c r="I33" s="96"/>
    </row>
    <row r="34" spans="1:9" ht="12.75">
      <c r="A34" s="90">
        <v>38166</v>
      </c>
      <c r="B34" s="91">
        <f t="shared" si="3"/>
        <v>89</v>
      </c>
      <c r="C34" s="41">
        <f t="shared" si="2"/>
        <v>70000000</v>
      </c>
      <c r="D34" s="41">
        <v>5000000</v>
      </c>
      <c r="E34" s="95"/>
      <c r="F34" s="91"/>
      <c r="G34" s="41"/>
      <c r="H34" s="91"/>
      <c r="I34" s="96"/>
    </row>
    <row r="35" spans="1:9" ht="12.75">
      <c r="A35" s="90">
        <v>38168</v>
      </c>
      <c r="B35" s="91">
        <f t="shared" si="3"/>
        <v>2</v>
      </c>
      <c r="C35" s="41">
        <f t="shared" si="2"/>
        <v>70000000</v>
      </c>
      <c r="D35" s="41"/>
      <c r="E35" s="92">
        <v>0.1197</v>
      </c>
      <c r="F35" s="41">
        <v>2267196</v>
      </c>
      <c r="G35" s="41"/>
      <c r="H35" s="91"/>
      <c r="I35" s="96"/>
    </row>
    <row r="36" spans="1:9" ht="12.75">
      <c r="A36" s="90">
        <v>38258</v>
      </c>
      <c r="B36" s="91">
        <f t="shared" si="3"/>
        <v>90</v>
      </c>
      <c r="C36" s="41">
        <f t="shared" si="2"/>
        <v>65000000</v>
      </c>
      <c r="D36" s="41">
        <v>5000000</v>
      </c>
      <c r="E36" s="95"/>
      <c r="F36" s="91"/>
      <c r="G36" s="41"/>
      <c r="H36" s="91"/>
      <c r="I36" s="96"/>
    </row>
    <row r="37" spans="1:9" ht="12.75">
      <c r="A37" s="90">
        <v>38260</v>
      </c>
      <c r="B37" s="91">
        <f t="shared" si="3"/>
        <v>2</v>
      </c>
      <c r="C37" s="41">
        <f t="shared" si="2"/>
        <v>65000000</v>
      </c>
      <c r="D37" s="41"/>
      <c r="E37" s="92">
        <v>0.1167</v>
      </c>
      <c r="F37" s="41">
        <v>2084975</v>
      </c>
      <c r="G37" s="41"/>
      <c r="H37" s="91"/>
      <c r="I37" s="96"/>
    </row>
    <row r="38" spans="1:9" ht="12.75">
      <c r="A38" s="90">
        <v>38349</v>
      </c>
      <c r="B38" s="91">
        <f t="shared" si="3"/>
        <v>89</v>
      </c>
      <c r="C38" s="41">
        <f t="shared" si="2"/>
        <v>60000000</v>
      </c>
      <c r="D38" s="41">
        <v>5000000</v>
      </c>
      <c r="E38" s="95"/>
      <c r="F38" s="91"/>
      <c r="G38" s="41"/>
      <c r="H38" s="91"/>
      <c r="I38" s="96"/>
    </row>
    <row r="39" spans="1:11" ht="12.75">
      <c r="A39" s="97">
        <v>38352</v>
      </c>
      <c r="B39" s="98">
        <f t="shared" si="3"/>
        <v>3</v>
      </c>
      <c r="C39" s="99">
        <f t="shared" si="2"/>
        <v>60000000</v>
      </c>
      <c r="D39" s="99"/>
      <c r="E39" s="100">
        <v>0.111</v>
      </c>
      <c r="F39" s="41">
        <v>1840238</v>
      </c>
      <c r="G39" s="101">
        <f>SUM(F33:F39)</f>
        <v>8720278</v>
      </c>
      <c r="H39" s="101">
        <f>SUM(D32:D39)</f>
        <v>20000000</v>
      </c>
      <c r="I39" s="102">
        <f>SUM(G39:H39)</f>
        <v>28720278</v>
      </c>
      <c r="K39" s="124"/>
    </row>
    <row r="40" spans="1:9" ht="12.75">
      <c r="A40" s="103">
        <v>38440</v>
      </c>
      <c r="B40" s="104">
        <f t="shared" si="3"/>
        <v>88</v>
      </c>
      <c r="C40" s="42">
        <f t="shared" si="2"/>
        <v>55000000</v>
      </c>
      <c r="D40" s="41">
        <v>5000000</v>
      </c>
      <c r="E40" s="105"/>
      <c r="F40" s="104"/>
      <c r="G40" s="42"/>
      <c r="H40" s="104"/>
      <c r="I40" s="106"/>
    </row>
    <row r="41" spans="1:9" ht="12.75">
      <c r="A41" s="90">
        <v>38442</v>
      </c>
      <c r="B41" s="91">
        <f t="shared" si="3"/>
        <v>2</v>
      </c>
      <c r="C41" s="41">
        <f t="shared" si="2"/>
        <v>55000000</v>
      </c>
      <c r="D41" s="41"/>
      <c r="E41" s="92">
        <v>0.0946</v>
      </c>
      <c r="F41" s="41">
        <v>1419106</v>
      </c>
      <c r="G41" s="41"/>
      <c r="H41" s="91"/>
      <c r="I41" s="96"/>
    </row>
    <row r="42" spans="1:9" ht="12.75">
      <c r="A42" s="90">
        <v>38531</v>
      </c>
      <c r="B42" s="91">
        <f t="shared" si="3"/>
        <v>89</v>
      </c>
      <c r="C42" s="41">
        <f t="shared" si="2"/>
        <v>50000000</v>
      </c>
      <c r="D42" s="41">
        <v>5000000</v>
      </c>
      <c r="E42" s="95"/>
      <c r="F42" s="91"/>
      <c r="G42" s="41"/>
      <c r="H42" s="91"/>
      <c r="I42" s="96"/>
    </row>
    <row r="43" spans="1:9" ht="12.75">
      <c r="A43" s="90">
        <v>38533</v>
      </c>
      <c r="B43" s="91">
        <f t="shared" si="3"/>
        <v>2</v>
      </c>
      <c r="C43" s="41">
        <f t="shared" si="2"/>
        <v>50000000</v>
      </c>
      <c r="D43" s="41"/>
      <c r="E43" s="92">
        <v>0.0784</v>
      </c>
      <c r="F43" s="41">
        <v>1090275</v>
      </c>
      <c r="G43" s="41"/>
      <c r="H43" s="91"/>
      <c r="I43" s="96"/>
    </row>
    <row r="44" spans="1:9" ht="12.75">
      <c r="A44" s="90">
        <v>38623</v>
      </c>
      <c r="B44" s="91">
        <f t="shared" si="3"/>
        <v>90</v>
      </c>
      <c r="C44" s="41">
        <f t="shared" si="2"/>
        <v>45000000</v>
      </c>
      <c r="D44" s="41">
        <v>5000000</v>
      </c>
      <c r="E44" s="95"/>
      <c r="F44" s="91"/>
      <c r="G44" s="41"/>
      <c r="H44" s="91"/>
      <c r="I44" s="96"/>
    </row>
    <row r="45" spans="1:9" ht="12.75">
      <c r="A45" s="90">
        <v>38625</v>
      </c>
      <c r="B45" s="91">
        <f t="shared" si="3"/>
        <v>2</v>
      </c>
      <c r="C45" s="41">
        <f t="shared" si="2"/>
        <v>45000000</v>
      </c>
      <c r="D45" s="41"/>
      <c r="E45" s="92">
        <v>0.0702</v>
      </c>
      <c r="F45" s="41">
        <v>896189</v>
      </c>
      <c r="G45" s="41"/>
      <c r="H45" s="91"/>
      <c r="I45" s="96"/>
    </row>
    <row r="46" spans="1:9" ht="12.75">
      <c r="A46" s="90">
        <v>38714</v>
      </c>
      <c r="B46" s="91">
        <f t="shared" si="3"/>
        <v>89</v>
      </c>
      <c r="C46" s="41">
        <f t="shared" si="2"/>
        <v>40000000</v>
      </c>
      <c r="D46" s="41">
        <v>5000000</v>
      </c>
      <c r="E46" s="95"/>
      <c r="F46" s="91"/>
      <c r="G46" s="41"/>
      <c r="H46" s="91"/>
      <c r="I46" s="96"/>
    </row>
    <row r="47" spans="1:9" ht="12.75">
      <c r="A47" s="97">
        <v>38716</v>
      </c>
      <c r="B47" s="98">
        <f t="shared" si="3"/>
        <v>2</v>
      </c>
      <c r="C47" s="99">
        <f t="shared" si="2"/>
        <v>40000000</v>
      </c>
      <c r="D47" s="99"/>
      <c r="E47" s="100">
        <v>0.061</v>
      </c>
      <c r="F47" s="41">
        <v>693331</v>
      </c>
      <c r="G47" s="101">
        <f>SUM(F41:F47)</f>
        <v>4098901</v>
      </c>
      <c r="H47" s="101">
        <f>SUM(D40:D47)</f>
        <v>20000000</v>
      </c>
      <c r="I47" s="102">
        <f>SUM(G47:H47)</f>
        <v>24098901</v>
      </c>
    </row>
    <row r="48" spans="1:9" ht="12.75">
      <c r="A48" s="103">
        <v>38804</v>
      </c>
      <c r="B48" s="104">
        <f t="shared" si="3"/>
        <v>88</v>
      </c>
      <c r="C48" s="42">
        <f t="shared" si="2"/>
        <v>35000000</v>
      </c>
      <c r="D48" s="86">
        <v>5000000</v>
      </c>
      <c r="E48" s="105"/>
      <c r="F48" s="104"/>
      <c r="G48" s="42"/>
      <c r="H48" s="104"/>
      <c r="I48" s="106"/>
    </row>
    <row r="49" spans="1:9" ht="12.75">
      <c r="A49" s="90">
        <v>38807</v>
      </c>
      <c r="B49" s="91">
        <f t="shared" si="3"/>
        <v>3</v>
      </c>
      <c r="C49" s="41">
        <f t="shared" si="2"/>
        <v>35000000</v>
      </c>
      <c r="D49" s="41"/>
      <c r="E49" s="92">
        <v>0.0637</v>
      </c>
      <c r="F49" s="41">
        <v>640824</v>
      </c>
      <c r="G49" s="41"/>
      <c r="H49" s="91"/>
      <c r="I49" s="96"/>
    </row>
    <row r="50" spans="1:9" ht="12.75">
      <c r="A50" s="90">
        <v>38896</v>
      </c>
      <c r="B50" s="91">
        <f t="shared" si="3"/>
        <v>89</v>
      </c>
      <c r="C50" s="41">
        <f t="shared" si="2"/>
        <v>30000000</v>
      </c>
      <c r="D50" s="41">
        <v>5000000</v>
      </c>
      <c r="E50" s="95"/>
      <c r="F50" s="91"/>
      <c r="G50" s="41"/>
      <c r="H50" s="91"/>
      <c r="I50" s="96"/>
    </row>
    <row r="51" spans="1:9" ht="12.75">
      <c r="A51" s="90">
        <v>38898</v>
      </c>
      <c r="B51" s="91">
        <f t="shared" si="3"/>
        <v>2</v>
      </c>
      <c r="C51" s="41">
        <f t="shared" si="2"/>
        <v>30000000</v>
      </c>
      <c r="D51" s="41"/>
      <c r="E51" s="92">
        <v>0.0643</v>
      </c>
      <c r="F51" s="41">
        <v>567032</v>
      </c>
      <c r="G51" s="41"/>
      <c r="H51" s="91"/>
      <c r="I51" s="96"/>
    </row>
    <row r="52" spans="1:9" ht="12.75">
      <c r="A52" s="90">
        <v>38988</v>
      </c>
      <c r="B52" s="91">
        <f t="shared" si="3"/>
        <v>90</v>
      </c>
      <c r="C52" s="41">
        <f t="shared" si="2"/>
        <v>25000000</v>
      </c>
      <c r="D52" s="41">
        <v>5000000</v>
      </c>
      <c r="E52" s="95"/>
      <c r="F52" s="91"/>
      <c r="G52" s="41"/>
      <c r="H52" s="91"/>
      <c r="I52" s="96"/>
    </row>
    <row r="53" spans="1:9" ht="12.75">
      <c r="A53" s="90">
        <v>38989</v>
      </c>
      <c r="B53" s="91">
        <f t="shared" si="3"/>
        <v>1</v>
      </c>
      <c r="C53" s="41">
        <f t="shared" si="2"/>
        <v>25000000</v>
      </c>
      <c r="D53" s="41"/>
      <c r="E53" s="92">
        <v>0.0677</v>
      </c>
      <c r="F53" s="41">
        <v>512168</v>
      </c>
      <c r="G53" s="41"/>
      <c r="H53" s="91"/>
      <c r="I53" s="96"/>
    </row>
    <row r="54" spans="1:9" ht="12.75">
      <c r="A54" s="90">
        <v>38991</v>
      </c>
      <c r="B54" s="91">
        <f>A54-A53</f>
        <v>2</v>
      </c>
      <c r="C54" s="41">
        <f>C53-D54</f>
        <v>25000000</v>
      </c>
      <c r="D54" s="41"/>
      <c r="E54" s="92">
        <v>0.0677</v>
      </c>
      <c r="F54" s="41"/>
      <c r="G54" s="41"/>
      <c r="H54" s="91"/>
      <c r="I54" s="96"/>
    </row>
    <row r="55" spans="1:9" ht="12.75">
      <c r="A55" s="90">
        <v>39079</v>
      </c>
      <c r="B55" s="91">
        <f>A55-A54</f>
        <v>88</v>
      </c>
      <c r="C55" s="41">
        <f>C54-D55</f>
        <v>20000000</v>
      </c>
      <c r="D55" s="41">
        <v>5000000</v>
      </c>
      <c r="E55" s="95"/>
      <c r="F55" s="91"/>
      <c r="G55" s="41"/>
      <c r="H55" s="91"/>
      <c r="I55" s="96"/>
    </row>
    <row r="56" spans="1:9" ht="12.75">
      <c r="A56" s="97">
        <v>39080</v>
      </c>
      <c r="B56" s="98">
        <f t="shared" si="3"/>
        <v>1</v>
      </c>
      <c r="C56" s="99">
        <f t="shared" si="2"/>
        <v>20000000</v>
      </c>
      <c r="D56" s="99"/>
      <c r="E56" s="100">
        <v>0.0804</v>
      </c>
      <c r="F56" s="99">
        <v>505203</v>
      </c>
      <c r="G56" s="101">
        <f>SUM(F49:F56)</f>
        <v>2225227</v>
      </c>
      <c r="H56" s="101">
        <f>SUM(D48:D56)</f>
        <v>20000000</v>
      </c>
      <c r="I56" s="102">
        <f>SUM(G56:H56)</f>
        <v>22225227</v>
      </c>
    </row>
    <row r="57" spans="1:9" ht="12.75">
      <c r="A57" s="103">
        <v>39169</v>
      </c>
      <c r="B57" s="104">
        <f t="shared" si="3"/>
        <v>89</v>
      </c>
      <c r="C57" s="42">
        <f t="shared" si="2"/>
        <v>15000000</v>
      </c>
      <c r="D57" s="42">
        <v>5000000</v>
      </c>
      <c r="E57" s="105"/>
      <c r="F57" s="104"/>
      <c r="G57" s="42"/>
      <c r="H57" s="104"/>
      <c r="I57" s="106"/>
    </row>
    <row r="58" spans="1:9" ht="12.75">
      <c r="A58" s="90">
        <v>39172</v>
      </c>
      <c r="B58" s="91">
        <f t="shared" si="3"/>
        <v>3</v>
      </c>
      <c r="C58" s="41">
        <f t="shared" si="2"/>
        <v>15000000</v>
      </c>
      <c r="D58" s="41"/>
      <c r="E58" s="92">
        <v>0.0818</v>
      </c>
      <c r="F58" s="41">
        <f>((C57+D57)*E58/360*B57)+((C58+D58)*E58/360*B58)</f>
        <v>414680.55555555556</v>
      </c>
      <c r="G58" s="41"/>
      <c r="H58" s="91"/>
      <c r="I58" s="96"/>
    </row>
    <row r="59" spans="1:9" ht="12.75">
      <c r="A59" s="90">
        <v>39261</v>
      </c>
      <c r="B59" s="91">
        <f t="shared" si="3"/>
        <v>89</v>
      </c>
      <c r="C59" s="41">
        <f t="shared" si="2"/>
        <v>10000000</v>
      </c>
      <c r="D59" s="41">
        <v>5000000</v>
      </c>
      <c r="E59" s="255"/>
      <c r="F59" s="107"/>
      <c r="G59" s="107"/>
      <c r="H59" s="108"/>
      <c r="I59" s="109"/>
    </row>
    <row r="60" spans="1:9" ht="12.75">
      <c r="A60" s="90">
        <v>39263</v>
      </c>
      <c r="B60" s="91">
        <f t="shared" si="3"/>
        <v>2</v>
      </c>
      <c r="C60" s="41">
        <f t="shared" si="2"/>
        <v>10000000</v>
      </c>
      <c r="D60" s="107"/>
      <c r="E60" s="92">
        <f>E58</f>
        <v>0.0818</v>
      </c>
      <c r="F60" s="41">
        <f>((C59+D59)*E60/360*B59)+((C60+D60)*E60/360*B60)</f>
        <v>307886.1111111111</v>
      </c>
      <c r="G60" s="107"/>
      <c r="H60" s="108"/>
      <c r="I60" s="109"/>
    </row>
    <row r="61" spans="1:9" ht="12.75">
      <c r="A61" s="90">
        <v>39353</v>
      </c>
      <c r="B61" s="91">
        <f t="shared" si="3"/>
        <v>90</v>
      </c>
      <c r="C61" s="41">
        <f t="shared" si="2"/>
        <v>5000000</v>
      </c>
      <c r="D61" s="41">
        <v>5000000</v>
      </c>
      <c r="E61" s="255"/>
      <c r="F61" s="107"/>
      <c r="G61" s="107"/>
      <c r="H61" s="108"/>
      <c r="I61" s="109"/>
    </row>
    <row r="62" spans="1:9" ht="12.75">
      <c r="A62" s="90">
        <v>39355</v>
      </c>
      <c r="B62" s="91">
        <f t="shared" si="3"/>
        <v>2</v>
      </c>
      <c r="C62" s="41">
        <f t="shared" si="2"/>
        <v>5000000</v>
      </c>
      <c r="D62" s="107"/>
      <c r="E62" s="92">
        <f>E60</f>
        <v>0.0818</v>
      </c>
      <c r="F62" s="41">
        <f>((C61+D61)*E62/360*B61)+((C62+D62)*E62/360*B62)</f>
        <v>206772.22222222222</v>
      </c>
      <c r="G62" s="107"/>
      <c r="H62" s="108"/>
      <c r="I62" s="109"/>
    </row>
    <row r="63" spans="1:9" ht="13.5" thickBot="1">
      <c r="A63" s="90">
        <v>39444</v>
      </c>
      <c r="B63" s="85">
        <f t="shared" si="3"/>
        <v>89</v>
      </c>
      <c r="C63" s="86">
        <f t="shared" si="2"/>
        <v>0</v>
      </c>
      <c r="D63" s="41">
        <v>5000000</v>
      </c>
      <c r="E63" s="92">
        <f>E62</f>
        <v>0.0818</v>
      </c>
      <c r="F63" s="41">
        <f>((C63+D63)*E63/360*B63)</f>
        <v>101113.88888888889</v>
      </c>
      <c r="G63" s="101">
        <f>SUM(F57:F63)</f>
        <v>1030452.7777777779</v>
      </c>
      <c r="H63" s="101">
        <f>SUM(D56:D63)</f>
        <v>20000000</v>
      </c>
      <c r="I63" s="102">
        <f>SUM(G63:H63)</f>
        <v>21030452.777777776</v>
      </c>
    </row>
    <row r="64" spans="1:9" ht="13.5" thickTop="1">
      <c r="A64" s="471" t="s">
        <v>14</v>
      </c>
      <c r="B64" s="472"/>
      <c r="C64" s="472"/>
      <c r="D64" s="120">
        <f>SUM(D11:D63)</f>
        <v>200000000</v>
      </c>
      <c r="E64" s="121"/>
      <c r="F64" s="120">
        <f>SUM(F8:F63)</f>
        <v>71246536.12024353</v>
      </c>
      <c r="G64" s="120">
        <f>SUM(G9:G63)</f>
        <v>71246536.12024353</v>
      </c>
      <c r="H64" s="120">
        <f>SUM(H9:H63)</f>
        <v>200000000</v>
      </c>
      <c r="I64" s="260">
        <f>SUM(I9:I63)</f>
        <v>271246536.12024355</v>
      </c>
    </row>
    <row r="65" ht="12.75">
      <c r="A65" s="123"/>
    </row>
    <row r="66" ht="12.75">
      <c r="A66" s="123"/>
    </row>
    <row r="67" spans="2:7" ht="12.75">
      <c r="B67" s="58"/>
      <c r="E67" s="58"/>
      <c r="F67" s="124"/>
      <c r="G67" s="58"/>
    </row>
    <row r="68" spans="2:7" ht="12.75">
      <c r="B68" s="58"/>
      <c r="E68" s="58"/>
      <c r="F68" s="124"/>
      <c r="G68" s="58"/>
    </row>
    <row r="69" spans="2:7" ht="12.75">
      <c r="B69" s="58"/>
      <c r="E69" s="58"/>
      <c r="G69" s="58"/>
    </row>
    <row r="70" spans="2:7" ht="12.75">
      <c r="B70" s="58"/>
      <c r="E70" s="58"/>
      <c r="G70" s="58"/>
    </row>
    <row r="71" spans="2:7" ht="12.75">
      <c r="B71" s="58"/>
      <c r="E71" s="58"/>
      <c r="F71" s="124"/>
      <c r="G71" s="58"/>
    </row>
  </sheetData>
  <mergeCells count="1">
    <mergeCell ref="A64:C64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 dőlt"&amp;12Adósságszolgálat s&amp;"Times New Roman CE,Félkövér"zámítása az OTP tájékoztatása alapján
&amp;"Times New Roman CE,Félkövér dőlt"2000. júliusban felvett 200 MFt célhitel</oddHeader>
    <oddFooter>&amp;L&amp;9Nyomtatás dátuma: &amp;D
C:\Andi\adósságszolgálat\&amp;F\&amp;A&amp;R&amp;P/&amp;N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pane ySplit="7" topLeftCell="BM43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125" style="58" customWidth="1"/>
    <col min="2" max="2" width="6.125" style="58" customWidth="1"/>
    <col min="3" max="3" width="11.125" style="124" customWidth="1"/>
    <col min="4" max="4" width="12.375" style="124" customWidth="1"/>
    <col min="5" max="5" width="8.00390625" style="125" customWidth="1"/>
    <col min="6" max="6" width="14.00390625" style="58" customWidth="1"/>
    <col min="7" max="9" width="12.625" style="58" bestFit="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33" t="s">
        <v>83</v>
      </c>
      <c r="B1" s="134"/>
      <c r="C1" s="133"/>
      <c r="D1" s="133"/>
      <c r="E1" s="276"/>
      <c r="G1" s="133"/>
      <c r="H1" s="133"/>
      <c r="I1" s="133"/>
    </row>
    <row r="2" spans="1:9" s="136" customFormat="1" ht="12.75">
      <c r="A2" s="138" t="s">
        <v>15</v>
      </c>
      <c r="C2" s="135"/>
      <c r="D2" s="135"/>
      <c r="E2" s="168"/>
      <c r="G2" s="135"/>
      <c r="H2" s="135"/>
      <c r="I2" s="135"/>
    </row>
    <row r="3" spans="1:9" s="136" customFormat="1" ht="12.75">
      <c r="A3" s="135" t="s">
        <v>16</v>
      </c>
      <c r="C3" s="135"/>
      <c r="D3" s="135"/>
      <c r="E3" s="168"/>
      <c r="F3" s="277"/>
      <c r="G3" s="60"/>
      <c r="H3" s="135"/>
      <c r="I3" s="135"/>
    </row>
    <row r="4" spans="1:9" ht="12.75">
      <c r="A4" s="137" t="s">
        <v>65</v>
      </c>
      <c r="B4" s="136"/>
      <c r="C4" s="135"/>
      <c r="D4" s="135"/>
      <c r="E4" s="168"/>
      <c r="F4" s="135"/>
      <c r="G4" s="135"/>
      <c r="H4" s="135"/>
      <c r="I4" s="135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103">
        <v>37236</v>
      </c>
      <c r="B8" s="104"/>
      <c r="C8" s="42">
        <v>143500000</v>
      </c>
      <c r="D8" s="42"/>
      <c r="E8" s="42"/>
      <c r="F8" s="42"/>
      <c r="G8" s="155"/>
      <c r="H8" s="155"/>
      <c r="I8" s="156"/>
    </row>
    <row r="9" spans="1:9" ht="12.75">
      <c r="A9" s="97">
        <v>37253</v>
      </c>
      <c r="B9" s="98">
        <f aca="true" t="shared" si="0" ref="B9:B14">A9-A8</f>
        <v>17</v>
      </c>
      <c r="C9" s="99">
        <f aca="true" t="shared" si="1" ref="C9:C24">C8-D9</f>
        <v>143500000</v>
      </c>
      <c r="D9" s="99"/>
      <c r="E9" s="100">
        <f>F9/(C9*B9)*365</f>
        <v>0.11808823529411766</v>
      </c>
      <c r="F9" s="99">
        <v>789250</v>
      </c>
      <c r="G9" s="101">
        <f>SUM(F8:F9)</f>
        <v>789250</v>
      </c>
      <c r="H9" s="101">
        <f>SUM(D8:D9)</f>
        <v>0</v>
      </c>
      <c r="I9" s="102">
        <f>SUM(G9:H9)</f>
        <v>789250</v>
      </c>
    </row>
    <row r="10" spans="1:9" ht="12.75">
      <c r="A10" s="103">
        <v>37344</v>
      </c>
      <c r="B10" s="108">
        <f t="shared" si="0"/>
        <v>91</v>
      </c>
      <c r="C10" s="194">
        <f t="shared" si="1"/>
        <v>143500000</v>
      </c>
      <c r="D10" s="42"/>
      <c r="E10" s="150">
        <f>F10/(C10*B10)*365</f>
        <v>0.09973993605697438</v>
      </c>
      <c r="F10" s="42">
        <v>3568367</v>
      </c>
      <c r="G10" s="155"/>
      <c r="H10" s="155"/>
      <c r="I10" s="156"/>
    </row>
    <row r="11" spans="1:9" ht="12.75">
      <c r="A11" s="90">
        <v>37437</v>
      </c>
      <c r="B11" s="91">
        <f t="shared" si="0"/>
        <v>93</v>
      </c>
      <c r="C11" s="41">
        <f t="shared" si="1"/>
        <v>143500000</v>
      </c>
      <c r="D11" s="41"/>
      <c r="E11" s="92">
        <v>0.085</v>
      </c>
      <c r="F11" s="41">
        <v>3098922</v>
      </c>
      <c r="G11" s="93"/>
      <c r="H11" s="93"/>
      <c r="I11" s="94"/>
    </row>
    <row r="12" spans="1:9" ht="12.75">
      <c r="A12" s="90">
        <v>37467</v>
      </c>
      <c r="B12" s="91">
        <f t="shared" si="0"/>
        <v>30</v>
      </c>
      <c r="C12" s="41">
        <f t="shared" si="1"/>
        <v>143500000</v>
      </c>
      <c r="D12" s="41"/>
      <c r="E12" s="92"/>
      <c r="F12" s="41"/>
      <c r="G12" s="93"/>
      <c r="H12" s="93"/>
      <c r="I12" s="94"/>
    </row>
    <row r="13" spans="1:9" ht="12.75">
      <c r="A13" s="90">
        <v>37527</v>
      </c>
      <c r="B13" s="91">
        <f t="shared" si="0"/>
        <v>60</v>
      </c>
      <c r="C13" s="41">
        <f t="shared" si="1"/>
        <v>134662500</v>
      </c>
      <c r="D13" s="41">
        <v>8837500</v>
      </c>
      <c r="E13" s="92"/>
      <c r="F13" s="41"/>
      <c r="G13" s="93"/>
      <c r="H13" s="93"/>
      <c r="I13" s="94"/>
    </row>
    <row r="14" spans="1:9" ht="12.75">
      <c r="A14" s="90">
        <v>37529</v>
      </c>
      <c r="B14" s="91">
        <f t="shared" si="0"/>
        <v>2</v>
      </c>
      <c r="C14" s="41">
        <f t="shared" si="1"/>
        <v>134662500</v>
      </c>
      <c r="D14" s="41"/>
      <c r="E14" s="92">
        <v>0.0931</v>
      </c>
      <c r="F14" s="41">
        <v>3478719</v>
      </c>
      <c r="G14" s="93"/>
      <c r="H14" s="93"/>
      <c r="I14" s="94"/>
    </row>
    <row r="15" spans="1:9" ht="12.75">
      <c r="A15" s="90">
        <v>37575</v>
      </c>
      <c r="B15" s="85">
        <f aca="true" t="shared" si="2" ref="B15:B24">A15-A14</f>
        <v>46</v>
      </c>
      <c r="C15" s="86">
        <f t="shared" si="1"/>
        <v>134662500</v>
      </c>
      <c r="D15" s="41"/>
      <c r="E15" s="92"/>
      <c r="F15" s="41"/>
      <c r="G15" s="93"/>
      <c r="H15" s="93"/>
      <c r="I15" s="94"/>
    </row>
    <row r="16" spans="1:9" ht="12.75">
      <c r="A16" s="90">
        <v>37618</v>
      </c>
      <c r="B16" s="91">
        <f t="shared" si="2"/>
        <v>43</v>
      </c>
      <c r="C16" s="41">
        <f t="shared" si="1"/>
        <v>125825000</v>
      </c>
      <c r="D16" s="41">
        <f>D13</f>
        <v>8837500</v>
      </c>
      <c r="E16" s="92"/>
      <c r="F16" s="41"/>
      <c r="G16" s="93"/>
      <c r="H16" s="93"/>
      <c r="I16" s="94"/>
    </row>
    <row r="17" spans="1:9" ht="12.75">
      <c r="A17" s="97">
        <v>37621</v>
      </c>
      <c r="B17" s="98">
        <f t="shared" si="2"/>
        <v>3</v>
      </c>
      <c r="C17" s="99">
        <f>(C16-D17)+71550000</f>
        <v>197375000</v>
      </c>
      <c r="D17" s="99"/>
      <c r="E17" s="100">
        <v>0.098</v>
      </c>
      <c r="F17" s="99">
        <v>3792002</v>
      </c>
      <c r="G17" s="101">
        <f>SUM(F10:F17)</f>
        <v>13938010</v>
      </c>
      <c r="H17" s="101">
        <f>SUM(D10:D17)</f>
        <v>17675000</v>
      </c>
      <c r="I17" s="102">
        <f>SUM(G17:H17)</f>
        <v>31613010</v>
      </c>
    </row>
    <row r="18" spans="1:9" ht="12.75">
      <c r="A18" s="103">
        <v>37708</v>
      </c>
      <c r="B18" s="104">
        <f t="shared" si="2"/>
        <v>87</v>
      </c>
      <c r="C18" s="42">
        <f t="shared" si="1"/>
        <v>197375000</v>
      </c>
      <c r="D18" s="42"/>
      <c r="E18" s="105"/>
      <c r="F18" s="104"/>
      <c r="G18" s="104"/>
      <c r="H18" s="104"/>
      <c r="I18" s="253"/>
    </row>
    <row r="19" spans="1:9" ht="12.75">
      <c r="A19" s="90">
        <v>37711</v>
      </c>
      <c r="B19" s="108">
        <f t="shared" si="2"/>
        <v>3</v>
      </c>
      <c r="C19" s="41">
        <f t="shared" si="1"/>
        <v>197375000</v>
      </c>
      <c r="D19" s="41"/>
      <c r="E19" s="92">
        <v>0.0847</v>
      </c>
      <c r="F19" s="41">
        <v>4186708</v>
      </c>
      <c r="G19" s="91"/>
      <c r="H19" s="91"/>
      <c r="I19" s="242"/>
    </row>
    <row r="20" spans="1:9" ht="13.5" thickBot="1">
      <c r="A20" s="278">
        <v>37771</v>
      </c>
      <c r="B20" s="279">
        <f t="shared" si="2"/>
        <v>60</v>
      </c>
      <c r="C20" s="43">
        <f>(C19-D20)+32400000</f>
        <v>229775000</v>
      </c>
      <c r="D20" s="43"/>
      <c r="E20" s="280"/>
      <c r="F20" s="43"/>
      <c r="G20" s="279"/>
      <c r="H20" s="279"/>
      <c r="I20" s="281"/>
    </row>
    <row r="21" spans="1:11" ht="12.75">
      <c r="A21" s="84">
        <v>37800</v>
      </c>
      <c r="B21" s="112">
        <f t="shared" si="2"/>
        <v>29</v>
      </c>
      <c r="C21" s="86">
        <f>C20-D21</f>
        <v>224055000</v>
      </c>
      <c r="D21" s="86">
        <v>5720000</v>
      </c>
      <c r="E21" s="110"/>
      <c r="F21" s="85"/>
      <c r="G21" s="85"/>
      <c r="H21" s="85"/>
      <c r="I21" s="251"/>
      <c r="K21" s="124"/>
    </row>
    <row r="22" spans="1:11" ht="12.75">
      <c r="A22" s="90">
        <v>37802</v>
      </c>
      <c r="B22" s="108">
        <f t="shared" si="2"/>
        <v>2</v>
      </c>
      <c r="C22" s="41">
        <f t="shared" si="1"/>
        <v>224055000</v>
      </c>
      <c r="D22" s="41"/>
      <c r="E22" s="92">
        <v>0.0665</v>
      </c>
      <c r="F22" s="41">
        <v>3513332</v>
      </c>
      <c r="G22" s="91"/>
      <c r="H22" s="91"/>
      <c r="I22" s="242"/>
      <c r="K22" s="124"/>
    </row>
    <row r="23" spans="1:9" ht="12.75">
      <c r="A23" s="90">
        <v>37830</v>
      </c>
      <c r="B23" s="108">
        <f t="shared" si="2"/>
        <v>28</v>
      </c>
      <c r="C23" s="41">
        <f t="shared" si="1"/>
        <v>218310000</v>
      </c>
      <c r="D23" s="41">
        <v>5745000</v>
      </c>
      <c r="E23" s="92"/>
      <c r="F23" s="141"/>
      <c r="G23" s="91"/>
      <c r="H23" s="91"/>
      <c r="I23" s="242"/>
    </row>
    <row r="24" spans="1:9" ht="12.75">
      <c r="A24" s="90">
        <v>37892</v>
      </c>
      <c r="B24" s="108">
        <f t="shared" si="2"/>
        <v>62</v>
      </c>
      <c r="C24" s="41">
        <f t="shared" si="1"/>
        <v>212565000</v>
      </c>
      <c r="D24" s="41">
        <v>5745000</v>
      </c>
      <c r="E24" s="95"/>
      <c r="F24" s="91"/>
      <c r="G24" s="91"/>
      <c r="H24" s="91"/>
      <c r="I24" s="242"/>
    </row>
    <row r="25" spans="1:9" ht="12.75">
      <c r="A25" s="90">
        <v>37894</v>
      </c>
      <c r="B25" s="91">
        <f aca="true" t="shared" si="3" ref="B25:B84">A25-A24</f>
        <v>2</v>
      </c>
      <c r="C25" s="41">
        <f aca="true" t="shared" si="4" ref="C25:C84">C24-D25</f>
        <v>212565000</v>
      </c>
      <c r="D25" s="41"/>
      <c r="E25" s="92">
        <v>0.0893</v>
      </c>
      <c r="F25" s="41">
        <v>5004939</v>
      </c>
      <c r="G25" s="91"/>
      <c r="H25" s="91"/>
      <c r="I25" s="242"/>
    </row>
    <row r="26" spans="1:9" ht="12.75">
      <c r="A26" s="90">
        <v>37983</v>
      </c>
      <c r="B26" s="91">
        <f t="shared" si="3"/>
        <v>89</v>
      </c>
      <c r="C26" s="41">
        <f t="shared" si="4"/>
        <v>206820000</v>
      </c>
      <c r="D26" s="41">
        <v>5745000</v>
      </c>
      <c r="E26" s="95"/>
      <c r="F26" s="91"/>
      <c r="G26" s="91"/>
      <c r="H26" s="91"/>
      <c r="I26" s="242"/>
    </row>
    <row r="27" spans="1:9" ht="12.75">
      <c r="A27" s="97">
        <v>37986</v>
      </c>
      <c r="B27" s="98">
        <f t="shared" si="3"/>
        <v>3</v>
      </c>
      <c r="C27" s="99">
        <f t="shared" si="4"/>
        <v>206820000</v>
      </c>
      <c r="D27" s="99"/>
      <c r="E27" s="100">
        <v>0.0961</v>
      </c>
      <c r="F27" s="41">
        <v>5211744</v>
      </c>
      <c r="G27" s="101">
        <f>SUM(F19:F27)</f>
        <v>17916723</v>
      </c>
      <c r="H27" s="101">
        <f>SUM(D18:D27)</f>
        <v>22955000</v>
      </c>
      <c r="I27" s="102">
        <f>SUM(G27:H27)</f>
        <v>40871723</v>
      </c>
    </row>
    <row r="28" spans="1:9" ht="12.75">
      <c r="A28" s="103">
        <v>38074</v>
      </c>
      <c r="B28" s="104">
        <f t="shared" si="3"/>
        <v>88</v>
      </c>
      <c r="C28" s="42">
        <f t="shared" si="4"/>
        <v>201075000</v>
      </c>
      <c r="D28" s="41">
        <v>5745000</v>
      </c>
      <c r="E28" s="105"/>
      <c r="F28" s="104"/>
      <c r="G28" s="104"/>
      <c r="H28" s="104"/>
      <c r="I28" s="253"/>
    </row>
    <row r="29" spans="1:9" ht="12.75">
      <c r="A29" s="90">
        <v>38077</v>
      </c>
      <c r="B29" s="91">
        <f t="shared" si="3"/>
        <v>3</v>
      </c>
      <c r="C29" s="41">
        <f t="shared" si="4"/>
        <v>201075000</v>
      </c>
      <c r="D29" s="41"/>
      <c r="E29" s="92">
        <v>0.1255</v>
      </c>
      <c r="F29" s="41">
        <v>6540181</v>
      </c>
      <c r="G29" s="91"/>
      <c r="H29" s="91"/>
      <c r="I29" s="242"/>
    </row>
    <row r="30" spans="1:9" ht="12.75">
      <c r="A30" s="90">
        <v>38166</v>
      </c>
      <c r="B30" s="91">
        <f t="shared" si="3"/>
        <v>89</v>
      </c>
      <c r="C30" s="41">
        <f t="shared" si="4"/>
        <v>195330000</v>
      </c>
      <c r="D30" s="41">
        <v>5745000</v>
      </c>
      <c r="E30" s="95"/>
      <c r="F30" s="91"/>
      <c r="G30" s="91"/>
      <c r="H30" s="91"/>
      <c r="I30" s="242"/>
    </row>
    <row r="31" spans="1:9" ht="12.75">
      <c r="A31" s="90">
        <v>38168</v>
      </c>
      <c r="B31" s="91">
        <f t="shared" si="3"/>
        <v>2</v>
      </c>
      <c r="C31" s="41">
        <f t="shared" si="4"/>
        <v>195330000</v>
      </c>
      <c r="D31" s="41"/>
      <c r="E31" s="92">
        <v>0.1197</v>
      </c>
      <c r="F31" s="41">
        <v>6083446</v>
      </c>
      <c r="G31" s="91"/>
      <c r="H31" s="91"/>
      <c r="I31" s="242"/>
    </row>
    <row r="32" spans="1:9" ht="12.75">
      <c r="A32" s="90">
        <v>38258</v>
      </c>
      <c r="B32" s="91">
        <f t="shared" si="3"/>
        <v>90</v>
      </c>
      <c r="C32" s="41">
        <f t="shared" si="4"/>
        <v>189585000</v>
      </c>
      <c r="D32" s="41">
        <v>5745000</v>
      </c>
      <c r="E32" s="95"/>
      <c r="F32" s="41"/>
      <c r="G32" s="91"/>
      <c r="H32" s="91"/>
      <c r="I32" s="242"/>
    </row>
    <row r="33" spans="1:9" ht="12.75">
      <c r="A33" s="90">
        <v>38260</v>
      </c>
      <c r="B33" s="91">
        <f t="shared" si="3"/>
        <v>2</v>
      </c>
      <c r="C33" s="41">
        <f t="shared" si="4"/>
        <v>189585000</v>
      </c>
      <c r="D33" s="41"/>
      <c r="E33" s="92">
        <v>0.1167</v>
      </c>
      <c r="F33" s="41">
        <v>5823295</v>
      </c>
      <c r="G33" s="91"/>
      <c r="H33" s="91"/>
      <c r="I33" s="242"/>
    </row>
    <row r="34" spans="1:9" ht="12.75">
      <c r="A34" s="90">
        <v>38349</v>
      </c>
      <c r="B34" s="91">
        <f t="shared" si="3"/>
        <v>89</v>
      </c>
      <c r="C34" s="41">
        <f t="shared" si="4"/>
        <v>183840000</v>
      </c>
      <c r="D34" s="41">
        <v>5745000</v>
      </c>
      <c r="E34" s="95"/>
      <c r="F34" s="91"/>
      <c r="G34" s="91"/>
      <c r="H34" s="91"/>
      <c r="I34" s="242"/>
    </row>
    <row r="35" spans="1:9" ht="12.75">
      <c r="A35" s="97">
        <v>38352</v>
      </c>
      <c r="B35" s="98">
        <f t="shared" si="3"/>
        <v>3</v>
      </c>
      <c r="C35" s="99">
        <f t="shared" si="4"/>
        <v>183840000</v>
      </c>
      <c r="D35" s="99"/>
      <c r="E35" s="100">
        <v>0.111</v>
      </c>
      <c r="F35" s="41">
        <v>5375582</v>
      </c>
      <c r="G35" s="101">
        <f>SUM(F29:F35)</f>
        <v>23822504</v>
      </c>
      <c r="H35" s="101">
        <f>SUM(D28:D35)</f>
        <v>22980000</v>
      </c>
      <c r="I35" s="102">
        <f>SUM(G35:H35)</f>
        <v>46802504</v>
      </c>
    </row>
    <row r="36" spans="1:9" ht="12.75">
      <c r="A36" s="103">
        <v>38440</v>
      </c>
      <c r="B36" s="104">
        <f t="shared" si="3"/>
        <v>88</v>
      </c>
      <c r="C36" s="42">
        <f t="shared" si="4"/>
        <v>178095000</v>
      </c>
      <c r="D36" s="41">
        <v>5745000</v>
      </c>
      <c r="E36" s="105"/>
      <c r="F36" s="104"/>
      <c r="G36" s="104"/>
      <c r="H36" s="104"/>
      <c r="I36" s="253"/>
    </row>
    <row r="37" spans="1:9" ht="12.75">
      <c r="A37" s="90">
        <v>38442</v>
      </c>
      <c r="B37" s="91">
        <f t="shared" si="3"/>
        <v>2</v>
      </c>
      <c r="C37" s="41">
        <f t="shared" si="4"/>
        <v>178095000</v>
      </c>
      <c r="D37" s="41"/>
      <c r="E37" s="92">
        <v>0.0946</v>
      </c>
      <c r="F37" s="41">
        <v>4353172</v>
      </c>
      <c r="G37" s="91"/>
      <c r="H37" s="91"/>
      <c r="I37" s="242"/>
    </row>
    <row r="38" spans="1:9" ht="12.75">
      <c r="A38" s="90">
        <v>38531</v>
      </c>
      <c r="B38" s="91">
        <f t="shared" si="3"/>
        <v>89</v>
      </c>
      <c r="C38" s="41">
        <f t="shared" si="4"/>
        <v>172350000</v>
      </c>
      <c r="D38" s="41">
        <v>5745000</v>
      </c>
      <c r="E38" s="95"/>
      <c r="F38" s="91"/>
      <c r="G38" s="91"/>
      <c r="H38" s="91"/>
      <c r="I38" s="242"/>
    </row>
    <row r="39" spans="1:9" ht="12.75">
      <c r="A39" s="90">
        <v>38533</v>
      </c>
      <c r="B39" s="91">
        <f t="shared" si="3"/>
        <v>2</v>
      </c>
      <c r="C39" s="41">
        <f t="shared" si="4"/>
        <v>172350000</v>
      </c>
      <c r="D39" s="41"/>
      <c r="E39" s="92">
        <v>0.0784</v>
      </c>
      <c r="F39" s="41">
        <v>3534959</v>
      </c>
      <c r="G39" s="91"/>
      <c r="H39" s="91"/>
      <c r="I39" s="242"/>
    </row>
    <row r="40" spans="1:9" ht="12.75">
      <c r="A40" s="90">
        <v>38623</v>
      </c>
      <c r="B40" s="91">
        <f t="shared" si="3"/>
        <v>90</v>
      </c>
      <c r="C40" s="41">
        <f t="shared" si="4"/>
        <v>166605000</v>
      </c>
      <c r="D40" s="41">
        <v>5745000</v>
      </c>
      <c r="E40" s="95"/>
      <c r="F40" s="91"/>
      <c r="G40" s="91"/>
      <c r="H40" s="91"/>
      <c r="I40" s="242"/>
    </row>
    <row r="41" spans="1:9" ht="12.75">
      <c r="A41" s="90">
        <v>38625</v>
      </c>
      <c r="B41" s="91">
        <f t="shared" si="3"/>
        <v>2</v>
      </c>
      <c r="C41" s="41">
        <f t="shared" si="4"/>
        <v>166605000</v>
      </c>
      <c r="D41" s="41"/>
      <c r="E41" s="92">
        <v>0.0702</v>
      </c>
      <c r="F41" s="41">
        <v>3093644</v>
      </c>
      <c r="G41" s="91"/>
      <c r="H41" s="91"/>
      <c r="I41" s="242"/>
    </row>
    <row r="42" spans="1:9" ht="12.75">
      <c r="A42" s="90">
        <v>38714</v>
      </c>
      <c r="B42" s="91">
        <f t="shared" si="3"/>
        <v>89</v>
      </c>
      <c r="C42" s="41">
        <f t="shared" si="4"/>
        <v>160860000</v>
      </c>
      <c r="D42" s="41">
        <v>5745000</v>
      </c>
      <c r="E42" s="95"/>
      <c r="F42" s="91"/>
      <c r="G42" s="91"/>
      <c r="H42" s="91"/>
      <c r="I42" s="242"/>
    </row>
    <row r="43" spans="1:9" ht="12.75">
      <c r="A43" s="97">
        <v>38716</v>
      </c>
      <c r="B43" s="98">
        <f t="shared" si="3"/>
        <v>2</v>
      </c>
      <c r="C43" s="99">
        <f t="shared" si="4"/>
        <v>160860000</v>
      </c>
      <c r="D43" s="99"/>
      <c r="E43" s="100">
        <v>0.061</v>
      </c>
      <c r="F43" s="41">
        <v>2571267</v>
      </c>
      <c r="G43" s="101">
        <f>SUM(F37:F43)</f>
        <v>13553042</v>
      </c>
      <c r="H43" s="101">
        <f>SUM(D36:D43)</f>
        <v>22980000</v>
      </c>
      <c r="I43" s="102">
        <f>SUM(G43:H43)</f>
        <v>36533042</v>
      </c>
    </row>
    <row r="44" spans="1:9" ht="12.75">
      <c r="A44" s="103">
        <v>38804</v>
      </c>
      <c r="B44" s="104">
        <f t="shared" si="3"/>
        <v>88</v>
      </c>
      <c r="C44" s="42">
        <f t="shared" si="4"/>
        <v>155115000</v>
      </c>
      <c r="D44" s="41">
        <v>5745000</v>
      </c>
      <c r="E44" s="105"/>
      <c r="F44" s="104"/>
      <c r="G44" s="104"/>
      <c r="H44" s="104"/>
      <c r="I44" s="253"/>
    </row>
    <row r="45" spans="1:9" ht="12.75">
      <c r="A45" s="90">
        <v>38807</v>
      </c>
      <c r="B45" s="91">
        <f t="shared" si="3"/>
        <v>3</v>
      </c>
      <c r="C45" s="41">
        <f t="shared" si="4"/>
        <v>155115000</v>
      </c>
      <c r="D45" s="41"/>
      <c r="E45" s="92">
        <v>0.0637</v>
      </c>
      <c r="F45" s="41">
        <v>2584696</v>
      </c>
      <c r="G45" s="91"/>
      <c r="H45" s="91"/>
      <c r="I45" s="242"/>
    </row>
    <row r="46" spans="1:9" ht="12.75">
      <c r="A46" s="90">
        <v>38896</v>
      </c>
      <c r="B46" s="91">
        <f t="shared" si="3"/>
        <v>89</v>
      </c>
      <c r="C46" s="41">
        <f t="shared" si="4"/>
        <v>149370000</v>
      </c>
      <c r="D46" s="41">
        <v>5745000</v>
      </c>
      <c r="E46" s="95"/>
      <c r="F46" s="91"/>
      <c r="G46" s="91"/>
      <c r="H46" s="91"/>
      <c r="I46" s="242"/>
    </row>
    <row r="47" spans="1:9" ht="12.75">
      <c r="A47" s="90">
        <v>38898</v>
      </c>
      <c r="B47" s="91">
        <f t="shared" si="3"/>
        <v>2</v>
      </c>
      <c r="C47" s="41">
        <f t="shared" si="4"/>
        <v>149370000</v>
      </c>
      <c r="D47" s="41"/>
      <c r="E47" s="92">
        <v>0.0643</v>
      </c>
      <c r="F47" s="41">
        <v>2518868</v>
      </c>
      <c r="G47" s="91"/>
      <c r="H47" s="91"/>
      <c r="I47" s="242"/>
    </row>
    <row r="48" spans="1:9" ht="12.75">
      <c r="A48" s="90">
        <v>38988</v>
      </c>
      <c r="B48" s="91">
        <f t="shared" si="3"/>
        <v>90</v>
      </c>
      <c r="C48" s="41">
        <f t="shared" si="4"/>
        <v>143625000</v>
      </c>
      <c r="D48" s="41">
        <v>5745000</v>
      </c>
      <c r="E48" s="95"/>
      <c r="F48" s="91"/>
      <c r="G48" s="91"/>
      <c r="H48" s="91"/>
      <c r="I48" s="242"/>
    </row>
    <row r="49" spans="1:9" ht="12.75">
      <c r="A49" s="90">
        <v>38989</v>
      </c>
      <c r="B49" s="91">
        <f t="shared" si="3"/>
        <v>1</v>
      </c>
      <c r="C49" s="41">
        <f t="shared" si="4"/>
        <v>143625000</v>
      </c>
      <c r="D49" s="41"/>
      <c r="E49" s="92">
        <v>0.0677</v>
      </c>
      <c r="F49" s="41">
        <v>2553686</v>
      </c>
      <c r="G49" s="91"/>
      <c r="H49" s="91"/>
      <c r="I49" s="242"/>
    </row>
    <row r="50" spans="1:9" ht="12.75">
      <c r="A50" s="90">
        <v>38991</v>
      </c>
      <c r="B50" s="91">
        <f>A50-A49</f>
        <v>2</v>
      </c>
      <c r="C50" s="41">
        <f>C49-D50</f>
        <v>143625000</v>
      </c>
      <c r="D50" s="41"/>
      <c r="E50" s="92">
        <v>0.0677</v>
      </c>
      <c r="F50" s="41"/>
      <c r="G50" s="91"/>
      <c r="H50" s="91"/>
      <c r="I50" s="242"/>
    </row>
    <row r="51" spans="1:9" ht="12.75">
      <c r="A51" s="90">
        <v>39079</v>
      </c>
      <c r="B51" s="91">
        <f>A51-A50</f>
        <v>88</v>
      </c>
      <c r="C51" s="41">
        <f>C50-D51</f>
        <v>137880000</v>
      </c>
      <c r="D51" s="41">
        <v>5745000</v>
      </c>
      <c r="E51" s="95"/>
      <c r="F51" s="91"/>
      <c r="G51" s="91"/>
      <c r="H51" s="91"/>
      <c r="I51" s="242"/>
    </row>
    <row r="52" spans="1:9" ht="12.75">
      <c r="A52" s="97">
        <v>39080</v>
      </c>
      <c r="B52" s="98">
        <f t="shared" si="3"/>
        <v>1</v>
      </c>
      <c r="C52" s="99">
        <f t="shared" si="4"/>
        <v>137880000</v>
      </c>
      <c r="D52" s="99"/>
      <c r="E52" s="100">
        <v>0.0804</v>
      </c>
      <c r="F52" s="99">
        <v>2907522</v>
      </c>
      <c r="G52" s="101">
        <f>SUM(F45:F52)</f>
        <v>10564772</v>
      </c>
      <c r="H52" s="101">
        <f>SUM(D44:D52)</f>
        <v>22980000</v>
      </c>
      <c r="I52" s="102">
        <f>SUM(G52:H52)</f>
        <v>33544772</v>
      </c>
    </row>
    <row r="53" spans="1:9" ht="12.75">
      <c r="A53" s="103">
        <v>39169</v>
      </c>
      <c r="B53" s="104">
        <f t="shared" si="3"/>
        <v>89</v>
      </c>
      <c r="C53" s="42">
        <f t="shared" si="4"/>
        <v>132135000</v>
      </c>
      <c r="D53" s="42">
        <v>5745000</v>
      </c>
      <c r="E53" s="105"/>
      <c r="F53" s="104"/>
      <c r="G53" s="104"/>
      <c r="H53" s="104"/>
      <c r="I53" s="253"/>
    </row>
    <row r="54" spans="1:9" ht="12.75">
      <c r="A54" s="90">
        <v>39172</v>
      </c>
      <c r="B54" s="91">
        <f t="shared" si="3"/>
        <v>3</v>
      </c>
      <c r="C54" s="41">
        <f t="shared" si="4"/>
        <v>132135000</v>
      </c>
      <c r="D54" s="41"/>
      <c r="E54" s="92">
        <v>0.0818</v>
      </c>
      <c r="F54" s="41">
        <f>((C53+D53)*E54/360*B53)+((C54+D54)*E54/360*B54)</f>
        <v>2878388.625</v>
      </c>
      <c r="G54" s="91"/>
      <c r="H54" s="91"/>
      <c r="I54" s="242"/>
    </row>
    <row r="55" spans="1:9" ht="12.75">
      <c r="A55" s="90">
        <v>39261</v>
      </c>
      <c r="B55" s="91">
        <f t="shared" si="3"/>
        <v>89</v>
      </c>
      <c r="C55" s="41">
        <f t="shared" si="4"/>
        <v>126390000</v>
      </c>
      <c r="D55" s="41">
        <v>5745000</v>
      </c>
      <c r="E55" s="95"/>
      <c r="F55" s="91"/>
      <c r="G55" s="91"/>
      <c r="H55" s="91"/>
      <c r="I55" s="242"/>
    </row>
    <row r="56" spans="1:9" ht="12.75">
      <c r="A56" s="90">
        <v>39263</v>
      </c>
      <c r="B56" s="91">
        <f t="shared" si="3"/>
        <v>2</v>
      </c>
      <c r="C56" s="41">
        <f t="shared" si="4"/>
        <v>126390000</v>
      </c>
      <c r="D56" s="41"/>
      <c r="E56" s="92">
        <f>E54</f>
        <v>0.0818</v>
      </c>
      <c r="F56" s="41">
        <f>((C55+D55)*E56/360*B55)+((C56+D56)*E56/360*B56)</f>
        <v>2729573.975</v>
      </c>
      <c r="G56" s="91"/>
      <c r="H56" s="91"/>
      <c r="I56" s="242"/>
    </row>
    <row r="57" spans="1:9" ht="12.75">
      <c r="A57" s="90">
        <v>39353</v>
      </c>
      <c r="B57" s="91">
        <f t="shared" si="3"/>
        <v>90</v>
      </c>
      <c r="C57" s="41">
        <f t="shared" si="4"/>
        <v>120645000</v>
      </c>
      <c r="D57" s="41">
        <v>5745000</v>
      </c>
      <c r="E57" s="95"/>
      <c r="F57" s="91"/>
      <c r="G57" s="91"/>
      <c r="H57" s="91"/>
      <c r="I57" s="242"/>
    </row>
    <row r="58" spans="1:9" ht="12.75">
      <c r="A58" s="90">
        <v>39355</v>
      </c>
      <c r="B58" s="91">
        <f t="shared" si="3"/>
        <v>2</v>
      </c>
      <c r="C58" s="41">
        <f t="shared" si="4"/>
        <v>120645000</v>
      </c>
      <c r="D58" s="41"/>
      <c r="E58" s="92">
        <f>E56</f>
        <v>0.0818</v>
      </c>
      <c r="F58" s="41">
        <f>((C57+D57)*E58/360*B57)+((C58+D58)*E58/360*B58)</f>
        <v>2639501.95</v>
      </c>
      <c r="G58" s="91"/>
      <c r="H58" s="91"/>
      <c r="I58" s="242"/>
    </row>
    <row r="59" spans="1:9" ht="12.75">
      <c r="A59" s="90">
        <v>39444</v>
      </c>
      <c r="B59" s="91">
        <f t="shared" si="3"/>
        <v>89</v>
      </c>
      <c r="C59" s="41">
        <f t="shared" si="4"/>
        <v>114900000</v>
      </c>
      <c r="D59" s="41">
        <v>5745000</v>
      </c>
      <c r="E59" s="95"/>
      <c r="F59" s="91"/>
      <c r="G59" s="91"/>
      <c r="H59" s="91"/>
      <c r="I59" s="242"/>
    </row>
    <row r="60" spans="1:9" ht="12.75">
      <c r="A60" s="97">
        <v>39447</v>
      </c>
      <c r="B60" s="98">
        <f t="shared" si="3"/>
        <v>3</v>
      </c>
      <c r="C60" s="99">
        <f t="shared" si="4"/>
        <v>114900000</v>
      </c>
      <c r="D60" s="99"/>
      <c r="E60" s="100">
        <f>E58</f>
        <v>0.0818</v>
      </c>
      <c r="F60" s="99">
        <f>((C59+D59)*E60/360*B59)+((C60+D60)*E60/360*B60)</f>
        <v>2518100.525</v>
      </c>
      <c r="G60" s="101">
        <f>SUM(F54:F60)</f>
        <v>10765565.075</v>
      </c>
      <c r="H60" s="101">
        <f>SUM(D53:D60)</f>
        <v>22980000</v>
      </c>
      <c r="I60" s="102">
        <f>SUM(G60:H60)</f>
        <v>33745565.075</v>
      </c>
    </row>
    <row r="61" spans="1:9" ht="12.75">
      <c r="A61" s="103">
        <v>39535</v>
      </c>
      <c r="B61" s="104">
        <f t="shared" si="3"/>
        <v>88</v>
      </c>
      <c r="C61" s="42">
        <f t="shared" si="4"/>
        <v>109155000</v>
      </c>
      <c r="D61" s="42">
        <v>5745000</v>
      </c>
      <c r="E61" s="105"/>
      <c r="F61" s="104"/>
      <c r="G61" s="104"/>
      <c r="H61" s="104"/>
      <c r="I61" s="253"/>
    </row>
    <row r="62" spans="1:9" ht="12.75">
      <c r="A62" s="90">
        <v>39538</v>
      </c>
      <c r="B62" s="91">
        <f t="shared" si="3"/>
        <v>3</v>
      </c>
      <c r="C62" s="41">
        <f t="shared" si="4"/>
        <v>109155000</v>
      </c>
      <c r="D62" s="41"/>
      <c r="E62" s="92">
        <f>E60</f>
        <v>0.0818</v>
      </c>
      <c r="F62" s="41">
        <f>((C61+D61)*E62/360*B61)+((C62+D62)*E62/360*B62)</f>
        <v>2371896.658333333</v>
      </c>
      <c r="G62" s="91"/>
      <c r="H62" s="91"/>
      <c r="I62" s="242"/>
    </row>
    <row r="63" spans="1:9" ht="12.75">
      <c r="A63" s="90">
        <v>39627</v>
      </c>
      <c r="B63" s="91">
        <f t="shared" si="3"/>
        <v>89</v>
      </c>
      <c r="C63" s="41">
        <f t="shared" si="4"/>
        <v>103410000</v>
      </c>
      <c r="D63" s="41">
        <v>5745000</v>
      </c>
      <c r="E63" s="95"/>
      <c r="F63" s="91"/>
      <c r="G63" s="91"/>
      <c r="H63" s="91"/>
      <c r="I63" s="242"/>
    </row>
    <row r="64" spans="1:9" ht="12.75">
      <c r="A64" s="90">
        <v>39629</v>
      </c>
      <c r="B64" s="91">
        <f t="shared" si="3"/>
        <v>2</v>
      </c>
      <c r="C64" s="41">
        <f t="shared" si="4"/>
        <v>103410000</v>
      </c>
      <c r="D64" s="41"/>
      <c r="E64" s="92">
        <f>E62</f>
        <v>0.0818</v>
      </c>
      <c r="F64" s="41">
        <f>((C63+D63)*E64/360*B63)+((C64+D64)*E64/360*B64)</f>
        <v>2254411.408333333</v>
      </c>
      <c r="G64" s="91"/>
      <c r="H64" s="91"/>
      <c r="I64" s="242"/>
    </row>
    <row r="65" spans="1:9" ht="12.75">
      <c r="A65" s="90">
        <v>39719</v>
      </c>
      <c r="B65" s="91">
        <f t="shared" si="3"/>
        <v>90</v>
      </c>
      <c r="C65" s="41">
        <f t="shared" si="4"/>
        <v>97665000</v>
      </c>
      <c r="D65" s="41">
        <v>5745000</v>
      </c>
      <c r="E65" s="95"/>
      <c r="F65" s="91"/>
      <c r="G65" s="91"/>
      <c r="H65" s="91"/>
      <c r="I65" s="242"/>
    </row>
    <row r="66" spans="1:9" ht="12.75">
      <c r="A66" s="90">
        <v>39721</v>
      </c>
      <c r="B66" s="91">
        <f t="shared" si="3"/>
        <v>2</v>
      </c>
      <c r="C66" s="41">
        <f t="shared" si="4"/>
        <v>97665000</v>
      </c>
      <c r="D66" s="41"/>
      <c r="E66" s="92">
        <f>E64</f>
        <v>0.0818</v>
      </c>
      <c r="F66" s="41">
        <f>((C65+D65)*E66/360*B65)+((C66+D66)*E66/360*B66)</f>
        <v>2159117.816666667</v>
      </c>
      <c r="G66" s="91"/>
      <c r="H66" s="91"/>
      <c r="I66" s="242"/>
    </row>
    <row r="67" spans="1:9" ht="12.75">
      <c r="A67" s="90">
        <v>39810</v>
      </c>
      <c r="B67" s="91">
        <f t="shared" si="3"/>
        <v>89</v>
      </c>
      <c r="C67" s="41">
        <f t="shared" si="4"/>
        <v>91920000</v>
      </c>
      <c r="D67" s="41">
        <v>5745000</v>
      </c>
      <c r="E67" s="95"/>
      <c r="F67" s="91"/>
      <c r="G67" s="91"/>
      <c r="H67" s="91"/>
      <c r="I67" s="242"/>
    </row>
    <row r="68" spans="1:9" ht="12.75">
      <c r="A68" s="97">
        <v>39813</v>
      </c>
      <c r="B68" s="98">
        <f t="shared" si="3"/>
        <v>3</v>
      </c>
      <c r="C68" s="99">
        <f t="shared" si="4"/>
        <v>91920000</v>
      </c>
      <c r="D68" s="99"/>
      <c r="E68" s="100">
        <f>E66</f>
        <v>0.0818</v>
      </c>
      <c r="F68" s="41">
        <f>((C67+D67)*E68/360*B67)+((C68+D68)*E68/360*B68)</f>
        <v>2037716.3916666666</v>
      </c>
      <c r="G68" s="101">
        <f>SUM(F62:F68)</f>
        <v>8823142.274999999</v>
      </c>
      <c r="H68" s="101">
        <f>SUM(D61:D68)</f>
        <v>22980000</v>
      </c>
      <c r="I68" s="102">
        <f>SUM(G68:H68)</f>
        <v>31803142.275</v>
      </c>
    </row>
    <row r="69" spans="1:9" ht="12.75">
      <c r="A69" s="103">
        <v>39900</v>
      </c>
      <c r="B69" s="104">
        <f t="shared" si="3"/>
        <v>87</v>
      </c>
      <c r="C69" s="42">
        <f t="shared" si="4"/>
        <v>86175000</v>
      </c>
      <c r="D69" s="41">
        <v>5745000</v>
      </c>
      <c r="E69" s="105"/>
      <c r="F69" s="104"/>
      <c r="G69" s="104"/>
      <c r="H69" s="104"/>
      <c r="I69" s="253"/>
    </row>
    <row r="70" spans="1:9" ht="12.75">
      <c r="A70" s="90">
        <v>39903</v>
      </c>
      <c r="B70" s="91">
        <f t="shared" si="3"/>
        <v>3</v>
      </c>
      <c r="C70" s="41">
        <f t="shared" si="4"/>
        <v>86175000</v>
      </c>
      <c r="D70" s="41"/>
      <c r="E70" s="92">
        <f>E68</f>
        <v>0.0818</v>
      </c>
      <c r="F70" s="41">
        <f>((C69+D69)*E70/360*B69)+((C70+D70)*E70/360*B70)</f>
        <v>1875847.825</v>
      </c>
      <c r="G70" s="91"/>
      <c r="H70" s="91"/>
      <c r="I70" s="242"/>
    </row>
    <row r="71" spans="1:9" ht="12.75">
      <c r="A71" s="90">
        <v>39992</v>
      </c>
      <c r="B71" s="91">
        <f t="shared" si="3"/>
        <v>89</v>
      </c>
      <c r="C71" s="41">
        <f t="shared" si="4"/>
        <v>80430000</v>
      </c>
      <c r="D71" s="41">
        <v>5745000</v>
      </c>
      <c r="E71" s="95"/>
      <c r="F71" s="91"/>
      <c r="G71" s="91"/>
      <c r="H71" s="91"/>
      <c r="I71" s="242"/>
    </row>
    <row r="72" spans="1:9" ht="12.75">
      <c r="A72" s="90">
        <v>39994</v>
      </c>
      <c r="B72" s="91">
        <f t="shared" si="3"/>
        <v>2</v>
      </c>
      <c r="C72" s="41">
        <f t="shared" si="4"/>
        <v>80430000</v>
      </c>
      <c r="D72" s="41"/>
      <c r="E72" s="92">
        <f>E70</f>
        <v>0.0818</v>
      </c>
      <c r="F72" s="41">
        <f>((C71+D71)*E72/360*B71)+((C72+D72)*E72/360*B72)</f>
        <v>1779248.8416666666</v>
      </c>
      <c r="G72" s="91"/>
      <c r="H72" s="91"/>
      <c r="I72" s="242"/>
    </row>
    <row r="73" spans="1:9" ht="12.75">
      <c r="A73" s="90">
        <v>40084</v>
      </c>
      <c r="B73" s="91">
        <f t="shared" si="3"/>
        <v>90</v>
      </c>
      <c r="C73" s="41">
        <f t="shared" si="4"/>
        <v>74685000</v>
      </c>
      <c r="D73" s="41">
        <v>5745000</v>
      </c>
      <c r="E73" s="95"/>
      <c r="F73" s="91"/>
      <c r="G73" s="91"/>
      <c r="H73" s="91"/>
      <c r="I73" s="242"/>
    </row>
    <row r="74" spans="1:9" ht="12.75">
      <c r="A74" s="90">
        <v>40086</v>
      </c>
      <c r="B74" s="91">
        <f t="shared" si="3"/>
        <v>2</v>
      </c>
      <c r="C74" s="41">
        <f t="shared" si="4"/>
        <v>74685000</v>
      </c>
      <c r="D74" s="41"/>
      <c r="E74" s="92">
        <f>E72</f>
        <v>0.0818</v>
      </c>
      <c r="F74" s="41">
        <f>((C73+D73)*E74/360*B73)+((C74+D74)*E74/360*B74)</f>
        <v>1678733.6833333333</v>
      </c>
      <c r="G74" s="91"/>
      <c r="H74" s="91"/>
      <c r="I74" s="242"/>
    </row>
    <row r="75" spans="1:9" ht="12.75">
      <c r="A75" s="90">
        <v>40175</v>
      </c>
      <c r="B75" s="91">
        <f t="shared" si="3"/>
        <v>89</v>
      </c>
      <c r="C75" s="41">
        <f t="shared" si="4"/>
        <v>68940000</v>
      </c>
      <c r="D75" s="41">
        <v>5745000</v>
      </c>
      <c r="E75" s="95"/>
      <c r="F75" s="91"/>
      <c r="G75" s="91"/>
      <c r="H75" s="91"/>
      <c r="I75" s="242"/>
    </row>
    <row r="76" spans="1:9" ht="12.75">
      <c r="A76" s="97">
        <v>40178</v>
      </c>
      <c r="B76" s="98">
        <f t="shared" si="3"/>
        <v>3</v>
      </c>
      <c r="C76" s="99">
        <f t="shared" si="4"/>
        <v>68940000</v>
      </c>
      <c r="D76" s="99"/>
      <c r="E76" s="100">
        <f>E74</f>
        <v>0.0818</v>
      </c>
      <c r="F76" s="41">
        <f>((C75+D75)*E76/360*B75)+((C76+D76)*E76/360*B76)</f>
        <v>1557332.2583333335</v>
      </c>
      <c r="G76" s="101">
        <f>SUM(F70:F76)</f>
        <v>6891162.608333333</v>
      </c>
      <c r="H76" s="101">
        <f>SUM(D69:D76)</f>
        <v>22980000</v>
      </c>
      <c r="I76" s="102">
        <f>SUM(G76:H76)</f>
        <v>29871162.608333334</v>
      </c>
    </row>
    <row r="77" spans="1:9" ht="12.75">
      <c r="A77" s="103">
        <v>40265</v>
      </c>
      <c r="B77" s="104">
        <f t="shared" si="3"/>
        <v>87</v>
      </c>
      <c r="C77" s="42">
        <f t="shared" si="4"/>
        <v>63195000</v>
      </c>
      <c r="D77" s="41">
        <v>5745000</v>
      </c>
      <c r="E77" s="105"/>
      <c r="F77" s="104"/>
      <c r="G77" s="104"/>
      <c r="H77" s="104"/>
      <c r="I77" s="253"/>
    </row>
    <row r="78" spans="1:9" ht="12.75">
      <c r="A78" s="90">
        <v>40268</v>
      </c>
      <c r="B78" s="91">
        <f t="shared" si="3"/>
        <v>3</v>
      </c>
      <c r="C78" s="41">
        <f t="shared" si="4"/>
        <v>63195000</v>
      </c>
      <c r="D78" s="41"/>
      <c r="E78" s="92">
        <f>E76</f>
        <v>0.0818</v>
      </c>
      <c r="F78" s="41">
        <f>((C77+D77)*E78/360*B77)+((C78+D78)*E78/360*B78)</f>
        <v>1405906.8250000002</v>
      </c>
      <c r="G78" s="91"/>
      <c r="H78" s="91"/>
      <c r="I78" s="242"/>
    </row>
    <row r="79" spans="1:9" ht="12.75">
      <c r="A79" s="90">
        <v>40357</v>
      </c>
      <c r="B79" s="91">
        <f t="shared" si="3"/>
        <v>89</v>
      </c>
      <c r="C79" s="41">
        <f t="shared" si="4"/>
        <v>57450000</v>
      </c>
      <c r="D79" s="41">
        <v>5745000</v>
      </c>
      <c r="E79" s="95"/>
      <c r="F79" s="91"/>
      <c r="G79" s="91"/>
      <c r="H79" s="91"/>
      <c r="I79" s="242"/>
    </row>
    <row r="80" spans="1:9" ht="12.75">
      <c r="A80" s="90">
        <v>40359</v>
      </c>
      <c r="B80" s="91">
        <f t="shared" si="3"/>
        <v>2</v>
      </c>
      <c r="C80" s="41">
        <f t="shared" si="4"/>
        <v>57450000</v>
      </c>
      <c r="D80" s="41"/>
      <c r="E80" s="92">
        <f>E78</f>
        <v>0.0818</v>
      </c>
      <c r="F80" s="41">
        <f>((C79+D79)*E80/360*B79)+((C80+D80)*E80/360*B80)</f>
        <v>1304086.275</v>
      </c>
      <c r="G80" s="91"/>
      <c r="H80" s="91"/>
      <c r="I80" s="242"/>
    </row>
    <row r="81" spans="1:9" ht="12.75">
      <c r="A81" s="90">
        <v>40449</v>
      </c>
      <c r="B81" s="91">
        <f t="shared" si="3"/>
        <v>90</v>
      </c>
      <c r="C81" s="41">
        <f t="shared" si="4"/>
        <v>51705000</v>
      </c>
      <c r="D81" s="41">
        <v>5745000</v>
      </c>
      <c r="E81" s="95"/>
      <c r="F81" s="91"/>
      <c r="G81" s="91"/>
      <c r="H81" s="91"/>
      <c r="I81" s="242"/>
    </row>
    <row r="82" spans="1:9" ht="12.75">
      <c r="A82" s="90">
        <v>40451</v>
      </c>
      <c r="B82" s="91">
        <f t="shared" si="3"/>
        <v>2</v>
      </c>
      <c r="C82" s="41">
        <f t="shared" si="4"/>
        <v>51705000</v>
      </c>
      <c r="D82" s="41"/>
      <c r="E82" s="92">
        <f>E80</f>
        <v>0.0818</v>
      </c>
      <c r="F82" s="41">
        <f>((C81+D81)*E82/360*B81)+((C82+D82)*E82/360*B82)</f>
        <v>1198349.55</v>
      </c>
      <c r="G82" s="91"/>
      <c r="H82" s="91"/>
      <c r="I82" s="242"/>
    </row>
    <row r="83" spans="1:9" ht="12.75">
      <c r="A83" s="90">
        <v>40540</v>
      </c>
      <c r="B83" s="91">
        <f t="shared" si="3"/>
        <v>89</v>
      </c>
      <c r="C83" s="41">
        <f t="shared" si="4"/>
        <v>45960000</v>
      </c>
      <c r="D83" s="41">
        <v>5745000</v>
      </c>
      <c r="E83" s="95"/>
      <c r="F83" s="91"/>
      <c r="G83" s="91"/>
      <c r="H83" s="91"/>
      <c r="I83" s="242"/>
    </row>
    <row r="84" spans="1:9" ht="12.75">
      <c r="A84" s="97">
        <v>40543</v>
      </c>
      <c r="B84" s="98">
        <f t="shared" si="3"/>
        <v>3</v>
      </c>
      <c r="C84" s="99">
        <f t="shared" si="4"/>
        <v>45960000</v>
      </c>
      <c r="D84" s="99"/>
      <c r="E84" s="100">
        <f>E82</f>
        <v>0.0818</v>
      </c>
      <c r="F84" s="41">
        <f>((C83+D83)*E84/360*B83)+((C84+D84)*E84/360*B84)</f>
        <v>1076948.125</v>
      </c>
      <c r="G84" s="101">
        <f>SUM(F78:F84)</f>
        <v>4985290.775</v>
      </c>
      <c r="H84" s="101">
        <f>SUM(D77:D84)</f>
        <v>22980000</v>
      </c>
      <c r="I84" s="102">
        <f>SUM(G84:H84)</f>
        <v>27965290.775</v>
      </c>
    </row>
    <row r="85" spans="1:9" ht="12.75">
      <c r="A85" s="103">
        <v>40630</v>
      </c>
      <c r="B85" s="104">
        <f aca="true" t="shared" si="5" ref="B85:B99">A85-A84</f>
        <v>87</v>
      </c>
      <c r="C85" s="42">
        <f aca="true" t="shared" si="6" ref="C85:C99">C84-D85</f>
        <v>40215000</v>
      </c>
      <c r="D85" s="41">
        <v>5745000</v>
      </c>
      <c r="E85" s="105"/>
      <c r="F85" s="104"/>
      <c r="G85" s="104"/>
      <c r="H85" s="104"/>
      <c r="I85" s="253"/>
    </row>
    <row r="86" spans="1:9" ht="12.75">
      <c r="A86" s="90">
        <v>40633</v>
      </c>
      <c r="B86" s="91">
        <f t="shared" si="5"/>
        <v>3</v>
      </c>
      <c r="C86" s="41">
        <f t="shared" si="6"/>
        <v>40215000</v>
      </c>
      <c r="D86" s="41"/>
      <c r="E86" s="92">
        <f>E84</f>
        <v>0.0818</v>
      </c>
      <c r="F86" s="41">
        <f>((C85+D85)*E86/360*B85)+((C86+D86)*E86/360*B86)</f>
        <v>935965.825</v>
      </c>
      <c r="G86" s="91"/>
      <c r="H86" s="91"/>
      <c r="I86" s="242"/>
    </row>
    <row r="87" spans="1:9" ht="12.75">
      <c r="A87" s="90">
        <v>40722</v>
      </c>
      <c r="B87" s="91">
        <f t="shared" si="5"/>
        <v>89</v>
      </c>
      <c r="C87" s="41">
        <f t="shared" si="6"/>
        <v>34470000</v>
      </c>
      <c r="D87" s="41">
        <v>5745000</v>
      </c>
      <c r="E87" s="95"/>
      <c r="F87" s="41"/>
      <c r="G87" s="91"/>
      <c r="H87" s="91"/>
      <c r="I87" s="242"/>
    </row>
    <row r="88" spans="1:9" ht="12.75">
      <c r="A88" s="90">
        <v>40724</v>
      </c>
      <c r="B88" s="91">
        <f t="shared" si="5"/>
        <v>2</v>
      </c>
      <c r="C88" s="41">
        <f t="shared" si="6"/>
        <v>34470000</v>
      </c>
      <c r="D88" s="41"/>
      <c r="E88" s="92">
        <f>E86</f>
        <v>0.0818</v>
      </c>
      <c r="F88" s="41">
        <f>((C87+D87)*E88/360*B87)+((C88+D88)*E88/360*B88)</f>
        <v>828923.7083333333</v>
      </c>
      <c r="G88" s="91"/>
      <c r="H88" s="91"/>
      <c r="I88" s="242"/>
    </row>
    <row r="89" spans="1:9" ht="12.75">
      <c r="A89" s="90">
        <v>40814</v>
      </c>
      <c r="B89" s="91">
        <f t="shared" si="5"/>
        <v>90</v>
      </c>
      <c r="C89" s="41">
        <f t="shared" si="6"/>
        <v>28725000</v>
      </c>
      <c r="D89" s="41">
        <v>5745000</v>
      </c>
      <c r="E89" s="95"/>
      <c r="F89" s="91"/>
      <c r="G89" s="91"/>
      <c r="H89" s="91"/>
      <c r="I89" s="242"/>
    </row>
    <row r="90" spans="1:9" ht="12.75">
      <c r="A90" s="90">
        <v>40816</v>
      </c>
      <c r="B90" s="91">
        <f t="shared" si="5"/>
        <v>2</v>
      </c>
      <c r="C90" s="41">
        <f t="shared" si="6"/>
        <v>28725000</v>
      </c>
      <c r="D90" s="41"/>
      <c r="E90" s="92">
        <f>E88</f>
        <v>0.0818</v>
      </c>
      <c r="F90" s="41">
        <f>((C89+D89)*E90/360*B89)+((C90+D90)*E90/360*B90)</f>
        <v>717965.4166666666</v>
      </c>
      <c r="G90" s="91"/>
      <c r="H90" s="91"/>
      <c r="I90" s="242"/>
    </row>
    <row r="91" spans="1:9" ht="12.75">
      <c r="A91" s="90">
        <v>40905</v>
      </c>
      <c r="B91" s="91">
        <f t="shared" si="5"/>
        <v>89</v>
      </c>
      <c r="C91" s="41">
        <f t="shared" si="6"/>
        <v>22980000</v>
      </c>
      <c r="D91" s="41">
        <v>5745000</v>
      </c>
      <c r="E91" s="95"/>
      <c r="F91" s="91"/>
      <c r="G91" s="91"/>
      <c r="H91" s="91"/>
      <c r="I91" s="242"/>
    </row>
    <row r="92" spans="1:9" ht="12.75">
      <c r="A92" s="97">
        <v>40908</v>
      </c>
      <c r="B92" s="98">
        <f t="shared" si="5"/>
        <v>3</v>
      </c>
      <c r="C92" s="99">
        <f t="shared" si="6"/>
        <v>22980000</v>
      </c>
      <c r="D92" s="99"/>
      <c r="E92" s="100">
        <f>E90</f>
        <v>0.0818</v>
      </c>
      <c r="F92" s="41">
        <f>((C91+D91)*E92/360*B91)+((C92+D92)*E92/360*B92)</f>
        <v>596563.9916666666</v>
      </c>
      <c r="G92" s="101">
        <f>SUM(F86:F92)</f>
        <v>3079418.9416666664</v>
      </c>
      <c r="H92" s="101">
        <f>SUM(D85:D92)</f>
        <v>22980000</v>
      </c>
      <c r="I92" s="102">
        <f>SUM(G92:H92)</f>
        <v>26059418.941666666</v>
      </c>
    </row>
    <row r="93" spans="1:9" ht="12.75">
      <c r="A93" s="103">
        <v>40996</v>
      </c>
      <c r="B93" s="104">
        <f t="shared" si="5"/>
        <v>88</v>
      </c>
      <c r="C93" s="42">
        <f t="shared" si="6"/>
        <v>17235000</v>
      </c>
      <c r="D93" s="42">
        <v>5745000</v>
      </c>
      <c r="E93" s="105"/>
      <c r="F93" s="104"/>
      <c r="G93" s="104"/>
      <c r="H93" s="104"/>
      <c r="I93" s="253"/>
    </row>
    <row r="94" spans="1:9" ht="12.75">
      <c r="A94" s="90">
        <v>40999</v>
      </c>
      <c r="B94" s="91">
        <f t="shared" si="5"/>
        <v>3</v>
      </c>
      <c r="C94" s="41">
        <f t="shared" si="6"/>
        <v>17235000</v>
      </c>
      <c r="D94" s="41"/>
      <c r="E94" s="92">
        <f>E92</f>
        <v>0.0818</v>
      </c>
      <c r="F94" s="41">
        <f>((C93+D93)*E94/360*B93)+((C94+D94)*E94/360*B94)</f>
        <v>471246.39166666666</v>
      </c>
      <c r="G94" s="91"/>
      <c r="H94" s="91"/>
      <c r="I94" s="242"/>
    </row>
    <row r="95" spans="1:9" ht="12.75">
      <c r="A95" s="90">
        <v>41088</v>
      </c>
      <c r="B95" s="91">
        <f t="shared" si="5"/>
        <v>89</v>
      </c>
      <c r="C95" s="41">
        <f t="shared" si="6"/>
        <v>11490000</v>
      </c>
      <c r="D95" s="41">
        <v>5745000</v>
      </c>
      <c r="E95" s="282"/>
      <c r="F95" s="112"/>
      <c r="G95" s="91"/>
      <c r="H95" s="91"/>
      <c r="I95" s="242"/>
    </row>
    <row r="96" spans="1:9" ht="12.75">
      <c r="A96" s="90">
        <v>41090</v>
      </c>
      <c r="B96" s="91">
        <f t="shared" si="5"/>
        <v>2</v>
      </c>
      <c r="C96" s="41">
        <f t="shared" si="6"/>
        <v>11490000</v>
      </c>
      <c r="D96" s="41"/>
      <c r="E96" s="92">
        <f>E94</f>
        <v>0.0818</v>
      </c>
      <c r="F96" s="41">
        <f>((C95+D95)*E96/360*B95)+((C96+D96)*E96/360*B96)</f>
        <v>353761.14166666666</v>
      </c>
      <c r="G96" s="91"/>
      <c r="H96" s="91"/>
      <c r="I96" s="242"/>
    </row>
    <row r="97" spans="1:9" ht="12.75">
      <c r="A97" s="90">
        <v>41180</v>
      </c>
      <c r="B97" s="91">
        <f t="shared" si="5"/>
        <v>90</v>
      </c>
      <c r="C97" s="41">
        <f t="shared" si="6"/>
        <v>5745000</v>
      </c>
      <c r="D97" s="41">
        <v>5745000</v>
      </c>
      <c r="E97" s="92"/>
      <c r="F97" s="41"/>
      <c r="G97" s="91"/>
      <c r="H97" s="91"/>
      <c r="I97" s="242"/>
    </row>
    <row r="98" spans="1:9" ht="12.75">
      <c r="A98" s="90">
        <v>41182</v>
      </c>
      <c r="B98" s="91">
        <f t="shared" si="5"/>
        <v>2</v>
      </c>
      <c r="C98" s="41">
        <f t="shared" si="6"/>
        <v>5745000</v>
      </c>
      <c r="D98" s="41"/>
      <c r="E98" s="92">
        <f>E96</f>
        <v>0.0818</v>
      </c>
      <c r="F98" s="41">
        <f>((C97+D97)*E98/360*B97)+((C98+D98)*E98/360*B98)</f>
        <v>237581.28333333333</v>
      </c>
      <c r="G98" s="91"/>
      <c r="H98" s="91"/>
      <c r="I98" s="242"/>
    </row>
    <row r="99" spans="1:9" ht="13.5" thickBot="1">
      <c r="A99" s="114">
        <v>41271</v>
      </c>
      <c r="B99" s="115">
        <f t="shared" si="5"/>
        <v>89</v>
      </c>
      <c r="C99" s="116">
        <f t="shared" si="6"/>
        <v>0</v>
      </c>
      <c r="D99" s="116">
        <v>5745000</v>
      </c>
      <c r="E99" s="117">
        <f>E98</f>
        <v>0.0818</v>
      </c>
      <c r="F99" s="116">
        <f>((C99+D99)*E99/360*B99)</f>
        <v>116179.85833333334</v>
      </c>
      <c r="G99" s="270">
        <f>SUM(F94:F99)</f>
        <v>1178768.675</v>
      </c>
      <c r="H99" s="270">
        <f>SUM(D93:D99)</f>
        <v>22980000</v>
      </c>
      <c r="I99" s="271">
        <f>SUM(G99:H99)</f>
        <v>24158768.675</v>
      </c>
    </row>
    <row r="100" spans="1:9" ht="13.5" thickTop="1">
      <c r="A100" s="471" t="s">
        <v>14</v>
      </c>
      <c r="B100" s="472"/>
      <c r="C100" s="473"/>
      <c r="D100" s="120">
        <f>SUM(D8:D99)</f>
        <v>247450000</v>
      </c>
      <c r="E100" s="121"/>
      <c r="F100" s="120">
        <f>SUM(F8:F99)</f>
        <v>116307649.35000001</v>
      </c>
      <c r="G100" s="120">
        <f>SUM(G8:G99)</f>
        <v>116307649.35</v>
      </c>
      <c r="H100" s="120">
        <f>SUM(H8:H99)</f>
        <v>247450000</v>
      </c>
      <c r="I100" s="122">
        <f>SUM(I8:I99)</f>
        <v>363757649.34999996</v>
      </c>
    </row>
    <row r="101" spans="1:2" ht="12.75">
      <c r="A101" s="123"/>
      <c r="B101" s="56"/>
    </row>
    <row r="102" spans="1:2" ht="12.75">
      <c r="A102" s="123"/>
      <c r="B102" s="56"/>
    </row>
    <row r="103" spans="2:6" ht="12.75">
      <c r="B103" s="58" t="s">
        <v>120</v>
      </c>
      <c r="C103" s="58"/>
      <c r="D103" s="58"/>
      <c r="E103" s="58"/>
      <c r="F103" s="306">
        <v>143500000</v>
      </c>
    </row>
    <row r="104" spans="2:6" ht="12.75">
      <c r="B104" s="58" t="s">
        <v>121</v>
      </c>
      <c r="D104" s="58"/>
      <c r="E104" s="58"/>
      <c r="F104" s="306">
        <v>71550000</v>
      </c>
    </row>
    <row r="105" spans="2:6" ht="13.5" thickBot="1">
      <c r="B105" s="304" t="s">
        <v>122</v>
      </c>
      <c r="C105" s="310"/>
      <c r="D105" s="304"/>
      <c r="E105" s="304"/>
      <c r="F105" s="307">
        <v>32400000</v>
      </c>
    </row>
    <row r="106" spans="1:6" ht="13.5" thickTop="1">
      <c r="A106" s="56"/>
      <c r="B106" s="309" t="s">
        <v>117</v>
      </c>
      <c r="C106" s="166"/>
      <c r="D106" s="166"/>
      <c r="E106" s="474">
        <f>SUM(F103:F105)</f>
        <v>247450000</v>
      </c>
      <c r="F106" s="474"/>
    </row>
    <row r="109" spans="5:6" ht="12.75">
      <c r="E109" s="58"/>
      <c r="F109" s="124"/>
    </row>
    <row r="110" spans="5:6" ht="12.75">
      <c r="E110" s="58"/>
      <c r="F110" s="124"/>
    </row>
    <row r="111" ht="12.75">
      <c r="E111" s="58"/>
    </row>
    <row r="112" ht="12.75">
      <c r="E112" s="58"/>
    </row>
    <row r="113" spans="5:6" ht="12.75">
      <c r="E113" s="58"/>
      <c r="F113" s="124"/>
    </row>
  </sheetData>
  <mergeCells count="2">
    <mergeCell ref="A100:C100"/>
    <mergeCell ref="E106:F106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Na 600-as vezeték kiváltásához felvett 247.450 eFt hitel </oddHeader>
    <oddFooter>&amp;L&amp;9Nyomtatás dátuma: &amp;D
C:\Andi\adósságszolgálat\&amp;F\&amp;A&amp;R&amp;P/&amp;N</oddFooter>
  </headerFooter>
  <rowBreaks count="2" manualBreakCount="2">
    <brk id="52" max="255" man="1"/>
    <brk id="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pane ySplit="7" topLeftCell="BM38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0.625" style="58" customWidth="1"/>
    <col min="2" max="2" width="5.875" style="58" customWidth="1"/>
    <col min="3" max="3" width="11.50390625" style="124" customWidth="1"/>
    <col min="4" max="4" width="12.625" style="124" customWidth="1"/>
    <col min="5" max="5" width="8.00390625" style="125" customWidth="1"/>
    <col min="6" max="6" width="14.00390625" style="58" bestFit="1" customWidth="1"/>
    <col min="7" max="7" width="13.00390625" style="58" customWidth="1"/>
    <col min="8" max="9" width="12.625" style="58" bestFit="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66" t="s">
        <v>81</v>
      </c>
      <c r="B1" s="165"/>
      <c r="C1" s="166"/>
      <c r="D1" s="166"/>
      <c r="E1" s="167"/>
      <c r="H1" s="166"/>
      <c r="I1" s="166"/>
    </row>
    <row r="2" spans="1:9" ht="12.75">
      <c r="A2" s="138" t="s">
        <v>15</v>
      </c>
      <c r="B2" s="136"/>
      <c r="C2" s="135"/>
      <c r="D2" s="135"/>
      <c r="E2" s="168"/>
      <c r="F2" s="135"/>
      <c r="G2" s="135"/>
      <c r="H2" s="135"/>
      <c r="I2" s="135"/>
    </row>
    <row r="3" spans="1:9" ht="12.75">
      <c r="A3" s="135" t="s">
        <v>60</v>
      </c>
      <c r="B3" s="136"/>
      <c r="C3" s="135"/>
      <c r="D3" s="135"/>
      <c r="F3" s="135"/>
      <c r="G3" s="135"/>
      <c r="H3" s="135"/>
      <c r="I3" s="135"/>
    </row>
    <row r="4" spans="1:9" ht="12.75">
      <c r="A4" s="137" t="s">
        <v>66</v>
      </c>
      <c r="B4" s="136"/>
      <c r="C4" s="135"/>
      <c r="D4" s="135"/>
      <c r="E4" s="168"/>
      <c r="F4" s="135"/>
      <c r="G4" s="135"/>
      <c r="H4" s="135"/>
      <c r="I4" s="135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84">
        <v>37251</v>
      </c>
      <c r="B8" s="140"/>
      <c r="C8" s="141">
        <v>139059100</v>
      </c>
      <c r="D8" s="141"/>
      <c r="E8" s="141"/>
      <c r="F8" s="141"/>
      <c r="G8" s="151"/>
      <c r="H8" s="151"/>
      <c r="I8" s="152"/>
    </row>
    <row r="9" spans="1:9" ht="12.75">
      <c r="A9" s="97">
        <v>37253</v>
      </c>
      <c r="B9" s="98">
        <f aca="true" t="shared" si="0" ref="B9:B15">A9-A8</f>
        <v>2</v>
      </c>
      <c r="C9" s="147">
        <f>C8-D9</f>
        <v>139059100</v>
      </c>
      <c r="D9" s="147"/>
      <c r="E9" s="100">
        <f>F9/(C9*B9)*365</f>
        <v>0.11173046208410668</v>
      </c>
      <c r="F9" s="147">
        <v>85135</v>
      </c>
      <c r="G9" s="148">
        <f>SUM(F8:F9)</f>
        <v>85135</v>
      </c>
      <c r="H9" s="148">
        <f>SUM(D8:D9)</f>
        <v>0</v>
      </c>
      <c r="I9" s="149">
        <f>SUM(G9:H9)</f>
        <v>85135</v>
      </c>
    </row>
    <row r="10" spans="1:9" ht="12.75">
      <c r="A10" s="84">
        <v>37344</v>
      </c>
      <c r="B10" s="85">
        <f t="shared" si="0"/>
        <v>91</v>
      </c>
      <c r="C10" s="141">
        <f>C9-D10</f>
        <v>139059100</v>
      </c>
      <c r="D10" s="141"/>
      <c r="E10" s="87">
        <f>F10/(C10*B10)*365</f>
        <v>0.0989087563299535</v>
      </c>
      <c r="F10" s="141">
        <v>3429120</v>
      </c>
      <c r="G10" s="151"/>
      <c r="H10" s="151"/>
      <c r="I10" s="152"/>
    </row>
    <row r="11" spans="1:9" ht="13.5" thickBot="1">
      <c r="A11" s="278">
        <v>37437</v>
      </c>
      <c r="B11" s="279">
        <f t="shared" si="0"/>
        <v>93</v>
      </c>
      <c r="C11" s="197">
        <f>(C10-D11)+147603900</f>
        <v>286663000</v>
      </c>
      <c r="D11" s="197"/>
      <c r="E11" s="283">
        <v>0.085</v>
      </c>
      <c r="F11" s="197">
        <v>3003020</v>
      </c>
      <c r="G11" s="199"/>
      <c r="H11" s="199"/>
      <c r="I11" s="200"/>
    </row>
    <row r="12" spans="1:9" ht="12.75">
      <c r="A12" s="284">
        <v>37527</v>
      </c>
      <c r="B12" s="285">
        <f t="shared" si="0"/>
        <v>90</v>
      </c>
      <c r="C12" s="214">
        <f>C11-D12</f>
        <v>272329850</v>
      </c>
      <c r="D12" s="214">
        <v>14333150</v>
      </c>
      <c r="E12" s="286"/>
      <c r="F12" s="214"/>
      <c r="G12" s="216"/>
      <c r="H12" s="216"/>
      <c r="I12" s="217"/>
    </row>
    <row r="13" spans="1:9" ht="12.75">
      <c r="A13" s="90">
        <v>37529</v>
      </c>
      <c r="B13" s="91">
        <f t="shared" si="0"/>
        <v>2</v>
      </c>
      <c r="C13" s="41">
        <f>C12-D13</f>
        <v>272329850</v>
      </c>
      <c r="D13" s="41"/>
      <c r="E13" s="92">
        <v>0.0931</v>
      </c>
      <c r="F13" s="41">
        <v>6949269</v>
      </c>
      <c r="G13" s="93"/>
      <c r="H13" s="93"/>
      <c r="I13" s="94"/>
    </row>
    <row r="14" spans="1:9" ht="12.75">
      <c r="A14" s="90">
        <v>37618</v>
      </c>
      <c r="B14" s="91">
        <f t="shared" si="0"/>
        <v>89</v>
      </c>
      <c r="C14" s="41">
        <f>C13-D14</f>
        <v>257996700</v>
      </c>
      <c r="D14" s="41">
        <v>14333150</v>
      </c>
      <c r="E14" s="92"/>
      <c r="F14" s="41"/>
      <c r="G14" s="93"/>
      <c r="H14" s="93"/>
      <c r="I14" s="94"/>
    </row>
    <row r="15" spans="1:9" ht="12.75">
      <c r="A15" s="97">
        <v>37621</v>
      </c>
      <c r="B15" s="91">
        <f t="shared" si="0"/>
        <v>3</v>
      </c>
      <c r="C15" s="250">
        <v>257996700</v>
      </c>
      <c r="D15" s="99"/>
      <c r="E15" s="100">
        <v>0.098</v>
      </c>
      <c r="F15" s="99">
        <v>6804938</v>
      </c>
      <c r="G15" s="101">
        <f>SUM(F10:F15)</f>
        <v>20186347</v>
      </c>
      <c r="H15" s="101">
        <f>SUM(D10:D15)</f>
        <v>28666300</v>
      </c>
      <c r="I15" s="102">
        <f>SUM(G15:H15)</f>
        <v>48852647</v>
      </c>
    </row>
    <row r="16" spans="1:9" ht="12.75">
      <c r="A16" s="103">
        <v>37708</v>
      </c>
      <c r="B16" s="104">
        <f aca="true" t="shared" si="1" ref="B16:B79">A16-A15</f>
        <v>87</v>
      </c>
      <c r="C16" s="42">
        <f aca="true" t="shared" si="2" ref="C16:C79">C15-D16</f>
        <v>249953000</v>
      </c>
      <c r="D16" s="42">
        <v>8043700</v>
      </c>
      <c r="E16" s="105"/>
      <c r="F16" s="104"/>
      <c r="G16" s="104"/>
      <c r="H16" s="104"/>
      <c r="I16" s="253"/>
    </row>
    <row r="17" spans="1:9" ht="12.75">
      <c r="A17" s="90">
        <v>37711</v>
      </c>
      <c r="B17" s="91">
        <f t="shared" si="1"/>
        <v>3</v>
      </c>
      <c r="C17" s="41">
        <f t="shared" si="2"/>
        <v>249953000</v>
      </c>
      <c r="D17" s="41"/>
      <c r="E17" s="92">
        <v>0.0847</v>
      </c>
      <c r="F17" s="41">
        <v>5466934</v>
      </c>
      <c r="G17" s="91"/>
      <c r="H17" s="91"/>
      <c r="I17" s="242"/>
    </row>
    <row r="18" spans="1:9" ht="12.75">
      <c r="A18" s="90">
        <v>37800</v>
      </c>
      <c r="B18" s="91">
        <f t="shared" si="1"/>
        <v>89</v>
      </c>
      <c r="C18" s="41">
        <f t="shared" si="2"/>
        <v>241890000</v>
      </c>
      <c r="D18" s="41">
        <v>8063000</v>
      </c>
      <c r="E18" s="95"/>
      <c r="F18" s="91"/>
      <c r="G18" s="91"/>
      <c r="H18" s="91"/>
      <c r="I18" s="242"/>
    </row>
    <row r="19" spans="1:11" ht="12.75">
      <c r="A19" s="90">
        <v>37802</v>
      </c>
      <c r="B19" s="91">
        <f t="shared" si="1"/>
        <v>2</v>
      </c>
      <c r="C19" s="41">
        <f t="shared" si="2"/>
        <v>241890000</v>
      </c>
      <c r="D19" s="41"/>
      <c r="E19" s="92">
        <v>0.0665</v>
      </c>
      <c r="F19" s="41">
        <v>4214277</v>
      </c>
      <c r="G19" s="91"/>
      <c r="H19" s="91"/>
      <c r="I19" s="242"/>
      <c r="K19" s="124"/>
    </row>
    <row r="20" spans="1:9" ht="12.75">
      <c r="A20" s="90">
        <v>37892</v>
      </c>
      <c r="B20" s="91">
        <f t="shared" si="1"/>
        <v>90</v>
      </c>
      <c r="C20" s="41">
        <f t="shared" si="2"/>
        <v>233827000</v>
      </c>
      <c r="D20" s="41">
        <v>8063000</v>
      </c>
      <c r="E20" s="95"/>
      <c r="F20" s="91"/>
      <c r="G20" s="91"/>
      <c r="H20" s="91"/>
      <c r="I20" s="242"/>
    </row>
    <row r="21" spans="1:9" ht="12.75">
      <c r="A21" s="90">
        <v>37894</v>
      </c>
      <c r="B21" s="91">
        <f t="shared" si="1"/>
        <v>2</v>
      </c>
      <c r="C21" s="41">
        <f t="shared" si="2"/>
        <v>233827000</v>
      </c>
      <c r="D21" s="41"/>
      <c r="E21" s="92">
        <v>0.0893</v>
      </c>
      <c r="F21" s="41">
        <v>5500879</v>
      </c>
      <c r="G21" s="91"/>
      <c r="H21" s="91"/>
      <c r="I21" s="242"/>
    </row>
    <row r="22" spans="1:11" ht="12.75">
      <c r="A22" s="90">
        <v>37983</v>
      </c>
      <c r="B22" s="91">
        <f t="shared" si="1"/>
        <v>89</v>
      </c>
      <c r="C22" s="41">
        <f t="shared" si="2"/>
        <v>225764000</v>
      </c>
      <c r="D22" s="41">
        <v>8063000</v>
      </c>
      <c r="E22" s="95"/>
      <c r="F22" s="91"/>
      <c r="G22" s="91"/>
      <c r="H22" s="91"/>
      <c r="I22" s="242"/>
      <c r="K22" s="124"/>
    </row>
    <row r="23" spans="1:9" ht="12.75">
      <c r="A23" s="97">
        <v>37986</v>
      </c>
      <c r="B23" s="98">
        <f t="shared" si="1"/>
        <v>3</v>
      </c>
      <c r="C23" s="99">
        <f t="shared" si="2"/>
        <v>225764000</v>
      </c>
      <c r="D23" s="99"/>
      <c r="E23" s="100">
        <v>0.0961</v>
      </c>
      <c r="F23" s="41">
        <v>5731657</v>
      </c>
      <c r="G23" s="101">
        <f>SUM(F17:F23)</f>
        <v>20913747</v>
      </c>
      <c r="H23" s="101">
        <f>SUM(D16:D23)</f>
        <v>32232700</v>
      </c>
      <c r="I23" s="102">
        <f>SUM(G23:H23)</f>
        <v>53146447</v>
      </c>
    </row>
    <row r="24" spans="1:9" ht="12.75">
      <c r="A24" s="103">
        <v>38074</v>
      </c>
      <c r="B24" s="104">
        <f t="shared" si="1"/>
        <v>88</v>
      </c>
      <c r="C24" s="42">
        <f t="shared" si="2"/>
        <v>217701000</v>
      </c>
      <c r="D24" s="41">
        <v>8063000</v>
      </c>
      <c r="E24" s="105"/>
      <c r="F24" s="104"/>
      <c r="G24" s="104"/>
      <c r="H24" s="104"/>
      <c r="I24" s="253"/>
    </row>
    <row r="25" spans="1:9" ht="12.75">
      <c r="A25" s="90">
        <v>38077</v>
      </c>
      <c r="B25" s="91">
        <f t="shared" si="1"/>
        <v>3</v>
      </c>
      <c r="C25" s="41">
        <f t="shared" si="2"/>
        <v>217701000</v>
      </c>
      <c r="D25" s="41"/>
      <c r="E25" s="92">
        <v>0.1255</v>
      </c>
      <c r="F25" s="41">
        <v>7137990</v>
      </c>
      <c r="G25" s="91"/>
      <c r="H25" s="91"/>
      <c r="I25" s="242"/>
    </row>
    <row r="26" spans="1:9" ht="12.75">
      <c r="A26" s="90">
        <v>38166</v>
      </c>
      <c r="B26" s="91">
        <f t="shared" si="1"/>
        <v>89</v>
      </c>
      <c r="C26" s="41">
        <f t="shared" si="2"/>
        <v>209638000</v>
      </c>
      <c r="D26" s="41">
        <v>8063000</v>
      </c>
      <c r="E26" s="95"/>
      <c r="F26" s="91"/>
      <c r="G26" s="91"/>
      <c r="H26" s="91"/>
      <c r="I26" s="242"/>
    </row>
    <row r="27" spans="1:9" ht="12.75">
      <c r="A27" s="90">
        <v>38168</v>
      </c>
      <c r="B27" s="91">
        <f t="shared" si="1"/>
        <v>2</v>
      </c>
      <c r="C27" s="41">
        <f t="shared" si="2"/>
        <v>209638000</v>
      </c>
      <c r="D27" s="41"/>
      <c r="E27" s="92">
        <v>0.1197</v>
      </c>
      <c r="F27" s="41">
        <v>6585234</v>
      </c>
      <c r="G27" s="91"/>
      <c r="H27" s="91"/>
      <c r="I27" s="242"/>
    </row>
    <row r="28" spans="1:9" ht="12.75">
      <c r="A28" s="90">
        <v>38258</v>
      </c>
      <c r="B28" s="91">
        <f t="shared" si="1"/>
        <v>90</v>
      </c>
      <c r="C28" s="41">
        <f t="shared" si="2"/>
        <v>201575000</v>
      </c>
      <c r="D28" s="41">
        <v>8063000</v>
      </c>
      <c r="E28" s="95"/>
      <c r="F28" s="91"/>
      <c r="G28" s="91"/>
      <c r="H28" s="91"/>
      <c r="I28" s="242"/>
    </row>
    <row r="29" spans="1:9" ht="12.75">
      <c r="A29" s="90">
        <v>38260</v>
      </c>
      <c r="B29" s="91">
        <f t="shared" si="1"/>
        <v>2</v>
      </c>
      <c r="C29" s="41">
        <f t="shared" si="2"/>
        <v>201575000</v>
      </c>
      <c r="D29" s="41"/>
      <c r="E29" s="92">
        <v>0.1167</v>
      </c>
      <c r="F29" s="41">
        <v>6248623</v>
      </c>
      <c r="G29" s="91"/>
      <c r="H29" s="91"/>
      <c r="I29" s="242"/>
    </row>
    <row r="30" spans="1:9" ht="12.75">
      <c r="A30" s="90">
        <v>38349</v>
      </c>
      <c r="B30" s="91">
        <f t="shared" si="1"/>
        <v>89</v>
      </c>
      <c r="C30" s="41">
        <f t="shared" si="2"/>
        <v>193512000</v>
      </c>
      <c r="D30" s="41">
        <v>8063000</v>
      </c>
      <c r="E30" s="95"/>
      <c r="F30" s="91"/>
      <c r="G30" s="91"/>
      <c r="H30" s="91"/>
      <c r="I30" s="242"/>
    </row>
    <row r="31" spans="1:9" ht="12.75">
      <c r="A31" s="97">
        <v>38352</v>
      </c>
      <c r="B31" s="98">
        <f t="shared" si="1"/>
        <v>3</v>
      </c>
      <c r="C31" s="99">
        <f t="shared" si="2"/>
        <v>193512000</v>
      </c>
      <c r="D31" s="99"/>
      <c r="E31" s="100">
        <v>0.111</v>
      </c>
      <c r="F31" s="41">
        <v>5713744</v>
      </c>
      <c r="G31" s="101">
        <f>SUM(F25:F31)</f>
        <v>25685591</v>
      </c>
      <c r="H31" s="101">
        <f>SUM(D24:D31)</f>
        <v>32252000</v>
      </c>
      <c r="I31" s="102">
        <f>SUM(G31:H31)</f>
        <v>57937591</v>
      </c>
    </row>
    <row r="32" spans="1:9" ht="12.75">
      <c r="A32" s="103">
        <v>38440</v>
      </c>
      <c r="B32" s="104">
        <f t="shared" si="1"/>
        <v>88</v>
      </c>
      <c r="C32" s="42">
        <f t="shared" si="2"/>
        <v>185449000</v>
      </c>
      <c r="D32" s="41">
        <v>8063000</v>
      </c>
      <c r="E32" s="105"/>
      <c r="F32" s="104"/>
      <c r="G32" s="104"/>
      <c r="H32" s="104"/>
      <c r="I32" s="253"/>
    </row>
    <row r="33" spans="1:9" ht="12.75">
      <c r="A33" s="90">
        <v>38442</v>
      </c>
      <c r="B33" s="91">
        <f t="shared" si="1"/>
        <v>2</v>
      </c>
      <c r="C33" s="41">
        <f t="shared" si="2"/>
        <v>185449000</v>
      </c>
      <c r="D33" s="41"/>
      <c r="E33" s="92">
        <v>0.0946</v>
      </c>
      <c r="F33" s="41">
        <v>4581137</v>
      </c>
      <c r="G33" s="91"/>
      <c r="H33" s="91"/>
      <c r="I33" s="242"/>
    </row>
    <row r="34" spans="1:9" ht="12.75">
      <c r="A34" s="90">
        <v>38531</v>
      </c>
      <c r="B34" s="91">
        <f t="shared" si="1"/>
        <v>89</v>
      </c>
      <c r="C34" s="41">
        <f t="shared" si="2"/>
        <v>177386000</v>
      </c>
      <c r="D34" s="41">
        <v>8063000</v>
      </c>
      <c r="E34" s="95"/>
      <c r="F34" s="91"/>
      <c r="G34" s="91"/>
      <c r="H34" s="91"/>
      <c r="I34" s="242"/>
    </row>
    <row r="35" spans="1:9" ht="12.75">
      <c r="A35" s="90">
        <v>38533</v>
      </c>
      <c r="B35" s="91">
        <f t="shared" si="1"/>
        <v>2</v>
      </c>
      <c r="C35" s="41">
        <f t="shared" si="2"/>
        <v>177386000</v>
      </c>
      <c r="D35" s="41"/>
      <c r="E35" s="92">
        <v>0.0784</v>
      </c>
      <c r="F35" s="41">
        <v>3680020</v>
      </c>
      <c r="G35" s="91"/>
      <c r="H35" s="91"/>
      <c r="I35" s="242"/>
    </row>
    <row r="36" spans="1:9" ht="12.75">
      <c r="A36" s="90">
        <v>38623</v>
      </c>
      <c r="B36" s="91">
        <f t="shared" si="1"/>
        <v>90</v>
      </c>
      <c r="C36" s="41">
        <f t="shared" si="2"/>
        <v>169323000</v>
      </c>
      <c r="D36" s="41">
        <v>8063000</v>
      </c>
      <c r="E36" s="95"/>
      <c r="F36" s="91"/>
      <c r="G36" s="91"/>
      <c r="H36" s="91"/>
      <c r="I36" s="242"/>
    </row>
    <row r="37" spans="1:9" ht="12.75">
      <c r="A37" s="90">
        <v>38625</v>
      </c>
      <c r="B37" s="91">
        <f t="shared" si="1"/>
        <v>2</v>
      </c>
      <c r="C37" s="41">
        <f t="shared" si="2"/>
        <v>169323000</v>
      </c>
      <c r="D37" s="41"/>
      <c r="E37" s="92">
        <v>0.0702</v>
      </c>
      <c r="F37" s="41">
        <v>3183201</v>
      </c>
      <c r="G37" s="91"/>
      <c r="H37" s="91"/>
      <c r="I37" s="242"/>
    </row>
    <row r="38" spans="1:9" ht="12.75">
      <c r="A38" s="90">
        <v>38714</v>
      </c>
      <c r="B38" s="91">
        <f t="shared" si="1"/>
        <v>89</v>
      </c>
      <c r="C38" s="41">
        <f t="shared" si="2"/>
        <v>161260000</v>
      </c>
      <c r="D38" s="41">
        <v>8063000</v>
      </c>
      <c r="E38" s="95"/>
      <c r="F38" s="91"/>
      <c r="G38" s="91"/>
      <c r="H38" s="91"/>
      <c r="I38" s="242"/>
    </row>
    <row r="39" spans="1:9" ht="12.75">
      <c r="A39" s="97">
        <v>38716</v>
      </c>
      <c r="B39" s="98">
        <f t="shared" si="1"/>
        <v>2</v>
      </c>
      <c r="C39" s="99">
        <f t="shared" si="2"/>
        <v>161260000</v>
      </c>
      <c r="D39" s="99"/>
      <c r="E39" s="100">
        <v>0.061</v>
      </c>
      <c r="F39" s="41">
        <v>2612461</v>
      </c>
      <c r="G39" s="101">
        <f>SUM(F33:F39)</f>
        <v>14056819</v>
      </c>
      <c r="H39" s="101">
        <f>SUM(D32:D39)</f>
        <v>32252000</v>
      </c>
      <c r="I39" s="102">
        <f>SUM(G39:H39)</f>
        <v>46308819</v>
      </c>
    </row>
    <row r="40" spans="1:9" ht="12.75">
      <c r="A40" s="103">
        <v>38804</v>
      </c>
      <c r="B40" s="104">
        <f t="shared" si="1"/>
        <v>88</v>
      </c>
      <c r="C40" s="42">
        <f t="shared" si="2"/>
        <v>153197000</v>
      </c>
      <c r="D40" s="41">
        <v>8063000</v>
      </c>
      <c r="E40" s="105"/>
      <c r="F40" s="104"/>
      <c r="G40" s="104"/>
      <c r="H40" s="104"/>
      <c r="I40" s="253"/>
    </row>
    <row r="41" spans="1:9" ht="12.75">
      <c r="A41" s="90">
        <v>38807</v>
      </c>
      <c r="B41" s="91">
        <f t="shared" si="1"/>
        <v>3</v>
      </c>
      <c r="C41" s="41">
        <f t="shared" si="2"/>
        <v>153197000</v>
      </c>
      <c r="D41" s="41"/>
      <c r="E41" s="92">
        <v>0.0637</v>
      </c>
      <c r="F41" s="41">
        <v>2589901</v>
      </c>
      <c r="G41" s="91"/>
      <c r="H41" s="91"/>
      <c r="I41" s="242"/>
    </row>
    <row r="42" spans="1:9" ht="12.75">
      <c r="A42" s="90">
        <v>38896</v>
      </c>
      <c r="B42" s="91">
        <f t="shared" si="1"/>
        <v>89</v>
      </c>
      <c r="C42" s="41">
        <f t="shared" si="2"/>
        <v>145134000</v>
      </c>
      <c r="D42" s="41">
        <v>8063000</v>
      </c>
      <c r="E42" s="95"/>
      <c r="F42" s="91"/>
      <c r="G42" s="91"/>
      <c r="H42" s="91"/>
      <c r="I42" s="242"/>
    </row>
    <row r="43" spans="1:9" ht="12.75">
      <c r="A43" s="90">
        <v>38898</v>
      </c>
      <c r="B43" s="91">
        <f t="shared" si="1"/>
        <v>2</v>
      </c>
      <c r="C43" s="41">
        <f t="shared" si="2"/>
        <v>145134000</v>
      </c>
      <c r="D43" s="41"/>
      <c r="E43" s="92">
        <v>0.0643</v>
      </c>
      <c r="F43" s="41">
        <v>2486869</v>
      </c>
      <c r="G43" s="91"/>
      <c r="H43" s="91"/>
      <c r="I43" s="242"/>
    </row>
    <row r="44" spans="1:9" ht="12.75">
      <c r="A44" s="90">
        <v>38988</v>
      </c>
      <c r="B44" s="91">
        <f t="shared" si="1"/>
        <v>90</v>
      </c>
      <c r="C44" s="41">
        <f t="shared" si="2"/>
        <v>137071000</v>
      </c>
      <c r="D44" s="41">
        <v>8063000</v>
      </c>
      <c r="E44" s="95"/>
      <c r="F44" s="91"/>
      <c r="G44" s="91"/>
      <c r="H44" s="91"/>
      <c r="I44" s="242"/>
    </row>
    <row r="45" spans="1:9" ht="12.75">
      <c r="A45" s="90">
        <v>38989</v>
      </c>
      <c r="B45" s="91">
        <f t="shared" si="1"/>
        <v>1</v>
      </c>
      <c r="C45" s="41">
        <f t="shared" si="2"/>
        <v>137071000</v>
      </c>
      <c r="D45" s="41"/>
      <c r="E45" s="92">
        <v>0.0677</v>
      </c>
      <c r="F45" s="41">
        <v>2480799</v>
      </c>
      <c r="G45" s="91"/>
      <c r="H45" s="91"/>
      <c r="I45" s="242"/>
    </row>
    <row r="46" spans="1:9" ht="12.75">
      <c r="A46" s="90">
        <v>38991</v>
      </c>
      <c r="B46" s="91">
        <f>A46-A45</f>
        <v>2</v>
      </c>
      <c r="C46" s="41">
        <f>C45-D46</f>
        <v>137071000</v>
      </c>
      <c r="D46" s="41"/>
      <c r="E46" s="92">
        <v>0.0677</v>
      </c>
      <c r="F46" s="41"/>
      <c r="G46" s="91"/>
      <c r="H46" s="91"/>
      <c r="I46" s="242"/>
    </row>
    <row r="47" spans="1:9" ht="12.75">
      <c r="A47" s="90">
        <v>39079</v>
      </c>
      <c r="B47" s="91">
        <f>A47-A46</f>
        <v>88</v>
      </c>
      <c r="C47" s="41">
        <f>C46-D47</f>
        <v>129008000</v>
      </c>
      <c r="D47" s="41">
        <v>8063000</v>
      </c>
      <c r="E47" s="95"/>
      <c r="F47" s="91"/>
      <c r="G47" s="91"/>
      <c r="H47" s="91"/>
      <c r="I47" s="242"/>
    </row>
    <row r="48" spans="1:9" ht="12.75">
      <c r="A48" s="97">
        <v>39080</v>
      </c>
      <c r="B48" s="98">
        <f t="shared" si="1"/>
        <v>1</v>
      </c>
      <c r="C48" s="99">
        <f t="shared" si="2"/>
        <v>129008000</v>
      </c>
      <c r="D48" s="99"/>
      <c r="E48" s="100">
        <v>0.0804</v>
      </c>
      <c r="F48" s="41">
        <v>2774268</v>
      </c>
      <c r="G48" s="101">
        <f>SUM(F41:F48)</f>
        <v>10331837</v>
      </c>
      <c r="H48" s="101">
        <f>SUM(D40:D48)</f>
        <v>32252000</v>
      </c>
      <c r="I48" s="102">
        <f>SUM(G48:H48)</f>
        <v>42583837</v>
      </c>
    </row>
    <row r="49" spans="1:9" ht="12.75">
      <c r="A49" s="103">
        <v>39169</v>
      </c>
      <c r="B49" s="104">
        <f t="shared" si="1"/>
        <v>89</v>
      </c>
      <c r="C49" s="42">
        <f t="shared" si="2"/>
        <v>120945000</v>
      </c>
      <c r="D49" s="41">
        <v>8063000</v>
      </c>
      <c r="E49" s="105"/>
      <c r="F49" s="104"/>
      <c r="G49" s="104"/>
      <c r="H49" s="104"/>
      <c r="I49" s="253"/>
    </row>
    <row r="50" spans="1:9" ht="12.75">
      <c r="A50" s="90">
        <v>39172</v>
      </c>
      <c r="B50" s="91">
        <f t="shared" si="1"/>
        <v>3</v>
      </c>
      <c r="C50" s="41">
        <f t="shared" si="2"/>
        <v>120945000</v>
      </c>
      <c r="D50" s="41"/>
      <c r="E50" s="92">
        <v>0.0818</v>
      </c>
      <c r="F50" s="41">
        <f>((C49+D49)*E50/360*B49)+((C50+D50)*E50/360*B50)</f>
        <v>2691344.2905555554</v>
      </c>
      <c r="G50" s="91"/>
      <c r="H50" s="91"/>
      <c r="I50" s="242"/>
    </row>
    <row r="51" spans="1:9" ht="12.75">
      <c r="A51" s="90">
        <v>39261</v>
      </c>
      <c r="B51" s="91">
        <f t="shared" si="1"/>
        <v>89</v>
      </c>
      <c r="C51" s="41">
        <f t="shared" si="2"/>
        <v>112882000</v>
      </c>
      <c r="D51" s="41">
        <v>8063000</v>
      </c>
      <c r="E51" s="95"/>
      <c r="F51" s="91"/>
      <c r="G51" s="91"/>
      <c r="H51" s="91"/>
      <c r="I51" s="242"/>
    </row>
    <row r="52" spans="1:9" ht="12.75">
      <c r="A52" s="90">
        <v>39263</v>
      </c>
      <c r="B52" s="91">
        <f t="shared" si="1"/>
        <v>2</v>
      </c>
      <c r="C52" s="41">
        <f t="shared" si="2"/>
        <v>112882000</v>
      </c>
      <c r="D52" s="41"/>
      <c r="E52" s="92">
        <f>E50</f>
        <v>0.0818</v>
      </c>
      <c r="F52" s="41">
        <f>((C51+D51)*E52/360*B51)+((C52+D52)*E52/360*B52)</f>
        <v>2497142.456111111</v>
      </c>
      <c r="G52" s="91"/>
      <c r="H52" s="91"/>
      <c r="I52" s="242"/>
    </row>
    <row r="53" spans="1:9" ht="12.75">
      <c r="A53" s="90">
        <v>39353</v>
      </c>
      <c r="B53" s="91">
        <f t="shared" si="1"/>
        <v>90</v>
      </c>
      <c r="C53" s="41">
        <f t="shared" si="2"/>
        <v>104819000</v>
      </c>
      <c r="D53" s="41">
        <v>8063000</v>
      </c>
      <c r="E53" s="95"/>
      <c r="F53" s="91"/>
      <c r="G53" s="91"/>
      <c r="H53" s="91"/>
      <c r="I53" s="242"/>
    </row>
    <row r="54" spans="1:9" ht="12.75">
      <c r="A54" s="90">
        <v>39355</v>
      </c>
      <c r="B54" s="91">
        <f t="shared" si="1"/>
        <v>2</v>
      </c>
      <c r="C54" s="41">
        <f t="shared" si="2"/>
        <v>104819000</v>
      </c>
      <c r="D54" s="41"/>
      <c r="E54" s="92">
        <f>E52</f>
        <v>0.0818</v>
      </c>
      <c r="F54" s="41">
        <f>((C53+D53)*E54/360*B53)+((C54+D54)*E54/360*B54)</f>
        <v>2356071.3122222223</v>
      </c>
      <c r="G54" s="91"/>
      <c r="H54" s="91"/>
      <c r="I54" s="242"/>
    </row>
    <row r="55" spans="1:9" ht="12.75">
      <c r="A55" s="90">
        <v>39444</v>
      </c>
      <c r="B55" s="91">
        <f t="shared" si="1"/>
        <v>89</v>
      </c>
      <c r="C55" s="41">
        <f t="shared" si="2"/>
        <v>96756000</v>
      </c>
      <c r="D55" s="41">
        <v>8063000</v>
      </c>
      <c r="E55" s="95"/>
      <c r="F55" s="91"/>
      <c r="G55" s="91"/>
      <c r="H55" s="91"/>
      <c r="I55" s="242"/>
    </row>
    <row r="56" spans="1:9" ht="12.75">
      <c r="A56" s="97">
        <v>39447</v>
      </c>
      <c r="B56" s="98">
        <f t="shared" si="1"/>
        <v>3</v>
      </c>
      <c r="C56" s="99">
        <f t="shared" si="2"/>
        <v>96756000</v>
      </c>
      <c r="D56" s="99"/>
      <c r="E56" s="100">
        <f>E54</f>
        <v>0.0818</v>
      </c>
      <c r="F56" s="99">
        <f>((C55+D55)*E56/360*B55)+((C56+D56)*E56/360*B56)</f>
        <v>2185686.683888889</v>
      </c>
      <c r="G56" s="101">
        <f>SUM(F50:F56)</f>
        <v>9730244.742777776</v>
      </c>
      <c r="H56" s="101">
        <f>SUM(D49:D56)</f>
        <v>32252000</v>
      </c>
      <c r="I56" s="102">
        <f>SUM(G56:H56)</f>
        <v>41982244.74277778</v>
      </c>
    </row>
    <row r="57" spans="1:9" ht="12.75">
      <c r="A57" s="103">
        <v>39535</v>
      </c>
      <c r="B57" s="104">
        <f t="shared" si="1"/>
        <v>88</v>
      </c>
      <c r="C57" s="42">
        <f t="shared" si="2"/>
        <v>88693000</v>
      </c>
      <c r="D57" s="42">
        <v>8063000</v>
      </c>
      <c r="E57" s="105"/>
      <c r="F57" s="104"/>
      <c r="G57" s="104"/>
      <c r="H57" s="104"/>
      <c r="I57" s="253"/>
    </row>
    <row r="58" spans="1:9" ht="12.75">
      <c r="A58" s="90">
        <v>39538</v>
      </c>
      <c r="B58" s="91">
        <f t="shared" si="1"/>
        <v>3</v>
      </c>
      <c r="C58" s="41">
        <f t="shared" si="2"/>
        <v>88693000</v>
      </c>
      <c r="D58" s="41"/>
      <c r="E58" s="92">
        <f>E56</f>
        <v>0.0818</v>
      </c>
      <c r="F58" s="41">
        <f>((C57+D57)*E58/360*B57)+((C58+D58)*E58/360*B58)</f>
        <v>1995149.0350000001</v>
      </c>
      <c r="G58" s="91"/>
      <c r="H58" s="91"/>
      <c r="I58" s="242"/>
    </row>
    <row r="59" spans="1:9" ht="12.75">
      <c r="A59" s="90">
        <v>39627</v>
      </c>
      <c r="B59" s="91">
        <f t="shared" si="1"/>
        <v>89</v>
      </c>
      <c r="C59" s="41">
        <f t="shared" si="2"/>
        <v>80630000</v>
      </c>
      <c r="D59" s="41">
        <v>8063000</v>
      </c>
      <c r="E59" s="95"/>
      <c r="F59" s="91"/>
      <c r="G59" s="91"/>
      <c r="H59" s="91"/>
      <c r="I59" s="242"/>
    </row>
    <row r="60" spans="1:9" ht="12.75">
      <c r="A60" s="90">
        <v>39629</v>
      </c>
      <c r="B60" s="91">
        <f t="shared" si="1"/>
        <v>2</v>
      </c>
      <c r="C60" s="41">
        <f t="shared" si="2"/>
        <v>80630000</v>
      </c>
      <c r="D60" s="41"/>
      <c r="E60" s="92">
        <f>E58</f>
        <v>0.0818</v>
      </c>
      <c r="F60" s="41">
        <f>((C59+D59)*E60/360*B59)+((C60+D60)*E60/360*B60)</f>
        <v>1830260.6849999998</v>
      </c>
      <c r="G60" s="91"/>
      <c r="H60" s="91"/>
      <c r="I60" s="242"/>
    </row>
    <row r="61" spans="1:9" ht="12.75">
      <c r="A61" s="90">
        <v>39719</v>
      </c>
      <c r="B61" s="91">
        <f t="shared" si="1"/>
        <v>90</v>
      </c>
      <c r="C61" s="41">
        <f t="shared" si="2"/>
        <v>72567000</v>
      </c>
      <c r="D61" s="41">
        <v>8063000</v>
      </c>
      <c r="E61" s="95"/>
      <c r="F61" s="91"/>
      <c r="G61" s="91"/>
      <c r="H61" s="91"/>
      <c r="I61" s="242"/>
    </row>
    <row r="62" spans="1:9" ht="12.75">
      <c r="A62" s="90">
        <v>39721</v>
      </c>
      <c r="B62" s="91">
        <f t="shared" si="1"/>
        <v>2</v>
      </c>
      <c r="C62" s="41">
        <f t="shared" si="2"/>
        <v>72567000</v>
      </c>
      <c r="D62" s="41"/>
      <c r="E62" s="92">
        <f>E60</f>
        <v>0.0818</v>
      </c>
      <c r="F62" s="41">
        <f>((C61+D61)*E62/360*B61)+((C62+D62)*E62/360*B62)</f>
        <v>1681861.17</v>
      </c>
      <c r="G62" s="91"/>
      <c r="H62" s="91"/>
      <c r="I62" s="242"/>
    </row>
    <row r="63" spans="1:9" ht="12.75">
      <c r="A63" s="90">
        <v>39810</v>
      </c>
      <c r="B63" s="91">
        <f t="shared" si="1"/>
        <v>89</v>
      </c>
      <c r="C63" s="41">
        <f t="shared" si="2"/>
        <v>64504000</v>
      </c>
      <c r="D63" s="41">
        <v>8063000</v>
      </c>
      <c r="E63" s="95"/>
      <c r="F63" s="91"/>
      <c r="G63" s="91"/>
      <c r="H63" s="91"/>
      <c r="I63" s="242"/>
    </row>
    <row r="64" spans="1:9" ht="12.75">
      <c r="A64" s="97">
        <v>39813</v>
      </c>
      <c r="B64" s="98">
        <f t="shared" si="1"/>
        <v>3</v>
      </c>
      <c r="C64" s="99">
        <f t="shared" si="2"/>
        <v>64504000</v>
      </c>
      <c r="D64" s="99"/>
      <c r="E64" s="100">
        <f>E62</f>
        <v>0.0818</v>
      </c>
      <c r="F64" s="41">
        <f>((C63+D63)*E64/360*B63)+((C64+D64)*E64/360*B64)</f>
        <v>1511476.5416666665</v>
      </c>
      <c r="G64" s="101">
        <f>SUM(F58:F64)</f>
        <v>7018747.431666667</v>
      </c>
      <c r="H64" s="101">
        <f>SUM(D57:D64)</f>
        <v>32252000</v>
      </c>
      <c r="I64" s="102">
        <f>SUM(G64:H64)</f>
        <v>39270747.431666665</v>
      </c>
    </row>
    <row r="65" spans="1:9" ht="12.75">
      <c r="A65" s="103">
        <v>39900</v>
      </c>
      <c r="B65" s="104">
        <f t="shared" si="1"/>
        <v>87</v>
      </c>
      <c r="C65" s="42">
        <f t="shared" si="2"/>
        <v>56441000</v>
      </c>
      <c r="D65" s="41">
        <v>8063000</v>
      </c>
      <c r="E65" s="105"/>
      <c r="F65" s="104"/>
      <c r="G65" s="104"/>
      <c r="H65" s="104"/>
      <c r="I65" s="253"/>
    </row>
    <row r="66" spans="1:9" ht="12.75">
      <c r="A66" s="90">
        <v>39903</v>
      </c>
      <c r="B66" s="91">
        <f t="shared" si="1"/>
        <v>3</v>
      </c>
      <c r="C66" s="41">
        <f t="shared" si="2"/>
        <v>56441000</v>
      </c>
      <c r="D66" s="41"/>
      <c r="E66" s="92">
        <f>E64</f>
        <v>0.0818</v>
      </c>
      <c r="F66" s="41">
        <f>((C65+D65)*E66/360*B65)+((C66+D66)*E66/360*B66)</f>
        <v>1313610.5216666667</v>
      </c>
      <c r="G66" s="91"/>
      <c r="H66" s="91"/>
      <c r="I66" s="242"/>
    </row>
    <row r="67" spans="1:9" ht="12.75">
      <c r="A67" s="90">
        <v>39992</v>
      </c>
      <c r="B67" s="91">
        <f t="shared" si="1"/>
        <v>89</v>
      </c>
      <c r="C67" s="41">
        <f t="shared" si="2"/>
        <v>48378000</v>
      </c>
      <c r="D67" s="41">
        <v>8063000</v>
      </c>
      <c r="E67" s="95"/>
      <c r="F67" s="91"/>
      <c r="G67" s="91"/>
      <c r="H67" s="91"/>
      <c r="I67" s="242"/>
    </row>
    <row r="68" spans="1:9" ht="12.75">
      <c r="A68" s="90">
        <v>39994</v>
      </c>
      <c r="B68" s="91">
        <f t="shared" si="1"/>
        <v>2</v>
      </c>
      <c r="C68" s="41">
        <f t="shared" si="2"/>
        <v>48378000</v>
      </c>
      <c r="D68" s="41"/>
      <c r="E68" s="92">
        <f>E66</f>
        <v>0.0818</v>
      </c>
      <c r="F68" s="41">
        <f>((C67+D67)*E68/360*B67)+((C68+D68)*E68/360*B68)</f>
        <v>1163378.9138888887</v>
      </c>
      <c r="G68" s="91"/>
      <c r="H68" s="91"/>
      <c r="I68" s="242"/>
    </row>
    <row r="69" spans="1:9" ht="12.75">
      <c r="A69" s="90">
        <v>40084</v>
      </c>
      <c r="B69" s="91">
        <f t="shared" si="1"/>
        <v>90</v>
      </c>
      <c r="C69" s="41">
        <f t="shared" si="2"/>
        <v>40315000</v>
      </c>
      <c r="D69" s="41">
        <v>8063000</v>
      </c>
      <c r="E69" s="95"/>
      <c r="F69" s="91"/>
      <c r="G69" s="91"/>
      <c r="H69" s="91"/>
      <c r="I69" s="242"/>
    </row>
    <row r="70" spans="1:9" ht="12.75">
      <c r="A70" s="90">
        <v>40086</v>
      </c>
      <c r="B70" s="91">
        <f t="shared" si="1"/>
        <v>2</v>
      </c>
      <c r="C70" s="41">
        <f t="shared" si="2"/>
        <v>40315000</v>
      </c>
      <c r="D70" s="41"/>
      <c r="E70" s="92">
        <f>E68</f>
        <v>0.0818</v>
      </c>
      <c r="F70" s="41">
        <f>((C69+D69)*E70/360*B69)+((C70+D70)*E70/360*B70)</f>
        <v>1007651.0277777779</v>
      </c>
      <c r="G70" s="91"/>
      <c r="H70" s="91"/>
      <c r="I70" s="242"/>
    </row>
    <row r="71" spans="1:9" ht="12.75">
      <c r="A71" s="90">
        <v>40175</v>
      </c>
      <c r="B71" s="91">
        <f t="shared" si="1"/>
        <v>89</v>
      </c>
      <c r="C71" s="41">
        <f t="shared" si="2"/>
        <v>32252000</v>
      </c>
      <c r="D71" s="41">
        <v>8063000</v>
      </c>
      <c r="E71" s="95"/>
      <c r="F71" s="91"/>
      <c r="G71" s="91"/>
      <c r="H71" s="91"/>
      <c r="I71" s="242"/>
    </row>
    <row r="72" spans="1:9" ht="12.75">
      <c r="A72" s="97">
        <v>40178</v>
      </c>
      <c r="B72" s="98">
        <f t="shared" si="1"/>
        <v>3</v>
      </c>
      <c r="C72" s="99">
        <f t="shared" si="2"/>
        <v>32252000</v>
      </c>
      <c r="D72" s="99"/>
      <c r="E72" s="100">
        <f>E70</f>
        <v>0.0818</v>
      </c>
      <c r="F72" s="41">
        <f>((C71+D71)*E72/360*B71)+((C72+D72)*E72/360*B72)</f>
        <v>837266.3994444445</v>
      </c>
      <c r="G72" s="101">
        <f>SUM(F66:F72)</f>
        <v>4321906.862777778</v>
      </c>
      <c r="H72" s="101">
        <f>SUM(D65:D72)</f>
        <v>32252000</v>
      </c>
      <c r="I72" s="102">
        <f>SUM(G72:H72)</f>
        <v>36573906.86277778</v>
      </c>
    </row>
    <row r="73" spans="1:9" ht="12.75">
      <c r="A73" s="103">
        <v>40265</v>
      </c>
      <c r="B73" s="104">
        <f t="shared" si="1"/>
        <v>87</v>
      </c>
      <c r="C73" s="42">
        <f t="shared" si="2"/>
        <v>24189000</v>
      </c>
      <c r="D73" s="41">
        <v>8063000</v>
      </c>
      <c r="E73" s="105"/>
      <c r="F73" s="104"/>
      <c r="G73" s="104"/>
      <c r="H73" s="104"/>
      <c r="I73" s="253"/>
    </row>
    <row r="74" spans="1:9" ht="12.75">
      <c r="A74" s="90">
        <v>40268</v>
      </c>
      <c r="B74" s="91">
        <f t="shared" si="1"/>
        <v>3</v>
      </c>
      <c r="C74" s="41">
        <f t="shared" si="2"/>
        <v>24189000</v>
      </c>
      <c r="D74" s="41"/>
      <c r="E74" s="92">
        <f>E72</f>
        <v>0.0818</v>
      </c>
      <c r="F74" s="41">
        <f>((C73+D73)*E74/360*B73)+((C74+D74)*E74/360*B74)</f>
        <v>654057.1216666667</v>
      </c>
      <c r="G74" s="91"/>
      <c r="H74" s="91"/>
      <c r="I74" s="242"/>
    </row>
    <row r="75" spans="1:9" ht="12.75">
      <c r="A75" s="90">
        <v>40357</v>
      </c>
      <c r="B75" s="91">
        <f t="shared" si="1"/>
        <v>89</v>
      </c>
      <c r="C75" s="41">
        <f t="shared" si="2"/>
        <v>16126000</v>
      </c>
      <c r="D75" s="41">
        <v>8063000</v>
      </c>
      <c r="G75" s="91"/>
      <c r="H75" s="91"/>
      <c r="I75" s="242"/>
    </row>
    <row r="76" spans="1:9" ht="12.75">
      <c r="A76" s="90">
        <v>40359</v>
      </c>
      <c r="B76" s="91">
        <f t="shared" si="1"/>
        <v>2</v>
      </c>
      <c r="C76" s="41">
        <f t="shared" si="2"/>
        <v>16126000</v>
      </c>
      <c r="D76" s="41"/>
      <c r="E76" s="92">
        <f>E74</f>
        <v>0.0818</v>
      </c>
      <c r="F76" s="41">
        <f>((C75+D75)*E76/360*B75)+((C76+D76)*E76/360*B76)</f>
        <v>496497.1427777778</v>
      </c>
      <c r="G76" s="91"/>
      <c r="H76" s="91"/>
      <c r="I76" s="242"/>
    </row>
    <row r="77" spans="1:9" ht="12.75">
      <c r="A77" s="90">
        <v>40449</v>
      </c>
      <c r="B77" s="91">
        <f t="shared" si="1"/>
        <v>90</v>
      </c>
      <c r="C77" s="41">
        <f t="shared" si="2"/>
        <v>8063000</v>
      </c>
      <c r="D77" s="41">
        <v>8063000</v>
      </c>
      <c r="E77" s="92"/>
      <c r="F77" s="41"/>
      <c r="G77" s="91"/>
      <c r="H77" s="91"/>
      <c r="I77" s="242"/>
    </row>
    <row r="78" spans="1:9" ht="12.75">
      <c r="A78" s="90">
        <v>40451</v>
      </c>
      <c r="B78" s="91">
        <f t="shared" si="1"/>
        <v>2</v>
      </c>
      <c r="C78" s="41">
        <f t="shared" si="2"/>
        <v>8063000</v>
      </c>
      <c r="D78" s="41"/>
      <c r="E78" s="92">
        <f>E76</f>
        <v>0.0818</v>
      </c>
      <c r="F78" s="41">
        <f>((C77+D77)*E78/360*B77)+((C78+D78)*E78/360*B78)</f>
        <v>333440.8855555556</v>
      </c>
      <c r="G78" s="91"/>
      <c r="H78" s="91"/>
      <c r="I78" s="242"/>
    </row>
    <row r="79" spans="1:9" ht="13.5" thickBot="1">
      <c r="A79" s="114">
        <v>40540</v>
      </c>
      <c r="B79" s="91">
        <f t="shared" si="1"/>
        <v>89</v>
      </c>
      <c r="C79" s="41">
        <f t="shared" si="2"/>
        <v>0</v>
      </c>
      <c r="D79" s="41">
        <v>8063000</v>
      </c>
      <c r="E79" s="92">
        <f>E78</f>
        <v>0.0818</v>
      </c>
      <c r="F79" s="41">
        <f>((C79+D79)*E79/360*B79)</f>
        <v>163056.25722222222</v>
      </c>
      <c r="G79" s="270">
        <f>SUM(F73:F79)</f>
        <v>1647051.4072222223</v>
      </c>
      <c r="H79" s="270">
        <f>SUM(D73:D79)</f>
        <v>32252000</v>
      </c>
      <c r="I79" s="271">
        <f>SUM(G79:H79)</f>
        <v>33899051.40722222</v>
      </c>
    </row>
    <row r="80" spans="1:9" ht="13.5" thickTop="1">
      <c r="A80" s="471" t="s">
        <v>14</v>
      </c>
      <c r="B80" s="472"/>
      <c r="C80" s="473"/>
      <c r="D80" s="120">
        <f>SUM(D8:D79)</f>
        <v>286663000</v>
      </c>
      <c r="E80" s="121"/>
      <c r="F80" s="120">
        <f>SUM(F8:F79)</f>
        <v>113977426.44444443</v>
      </c>
      <c r="G80" s="120">
        <f>SUM(G8:G79)</f>
        <v>113977426.44444446</v>
      </c>
      <c r="H80" s="120">
        <f>SUM(H8:H79)</f>
        <v>286663000</v>
      </c>
      <c r="I80" s="122">
        <f>SUM(I8:I79)</f>
        <v>400640426.4444444</v>
      </c>
    </row>
    <row r="81" spans="1:2" ht="12.75">
      <c r="A81" s="123"/>
      <c r="B81" s="56"/>
    </row>
    <row r="82" spans="1:2" ht="12.75">
      <c r="A82" s="123"/>
      <c r="B82" s="56"/>
    </row>
    <row r="83" spans="2:6" ht="12.75">
      <c r="B83" s="58" t="s">
        <v>118</v>
      </c>
      <c r="C83" s="58"/>
      <c r="D83" s="58"/>
      <c r="E83" s="58"/>
      <c r="F83" s="306">
        <v>139059100</v>
      </c>
    </row>
    <row r="84" spans="2:6" ht="13.5" thickBot="1">
      <c r="B84" s="304" t="s">
        <v>119</v>
      </c>
      <c r="C84" s="304"/>
      <c r="D84" s="304"/>
      <c r="E84" s="304"/>
      <c r="F84" s="307">
        <v>147603900</v>
      </c>
    </row>
    <row r="85" spans="2:6" ht="13.5" thickTop="1">
      <c r="B85" s="309" t="s">
        <v>117</v>
      </c>
      <c r="C85" s="166"/>
      <c r="D85" s="166"/>
      <c r="E85" s="474">
        <f>SUM(F83:F84)</f>
        <v>286663000</v>
      </c>
      <c r="F85" s="474"/>
    </row>
    <row r="88" spans="5:6" ht="12.75">
      <c r="E88" s="58"/>
      <c r="F88" s="124"/>
    </row>
    <row r="89" spans="5:6" ht="12.75">
      <c r="E89" s="58"/>
      <c r="F89" s="124"/>
    </row>
    <row r="90" ht="12.75">
      <c r="E90" s="58"/>
    </row>
    <row r="91" ht="12.75">
      <c r="E91" s="58"/>
    </row>
    <row r="92" spans="5:6" ht="12.75">
      <c r="E92" s="58"/>
      <c r="F92" s="124"/>
    </row>
  </sheetData>
  <mergeCells count="2">
    <mergeCell ref="A80:C80"/>
    <mergeCell ref="E85:F85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2001. decemberben és 2002. júniusban felvett 286.663 eFt hitel</oddHeader>
    <oddFooter>&amp;L&amp;9Nyomtatás dátuma: &amp;D
C:\Andi\adósságszolgálat\&amp;F\&amp;A&amp;R&amp;P/&amp;N</oddFooter>
  </headerFooter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pane ySplit="7" topLeftCell="BM28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0.625" style="58" customWidth="1"/>
    <col min="2" max="2" width="6.375" style="58" customWidth="1"/>
    <col min="3" max="3" width="10.875" style="58" customWidth="1"/>
    <col min="4" max="4" width="12.375" style="58" customWidth="1"/>
    <col min="5" max="5" width="7.375" style="125" customWidth="1"/>
    <col min="6" max="6" width="12.625" style="58" bestFit="1" customWidth="1"/>
    <col min="7" max="7" width="12.50390625" style="58" customWidth="1"/>
    <col min="8" max="9" width="12.625" style="58" bestFit="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66" t="s">
        <v>86</v>
      </c>
      <c r="B1" s="165"/>
      <c r="C1" s="166"/>
      <c r="D1" s="166"/>
      <c r="E1" s="167"/>
      <c r="F1" s="166"/>
      <c r="H1" s="166"/>
      <c r="I1" s="166"/>
    </row>
    <row r="2" spans="1:9" ht="12.75">
      <c r="A2" s="58" t="s">
        <v>58</v>
      </c>
      <c r="C2" s="58" t="s">
        <v>59</v>
      </c>
      <c r="E2" s="168"/>
      <c r="F2" s="135"/>
      <c r="G2" s="135"/>
      <c r="H2" s="135"/>
      <c r="I2" s="135"/>
    </row>
    <row r="3" spans="1:9" ht="12.75">
      <c r="A3" s="138" t="s">
        <v>15</v>
      </c>
      <c r="B3" s="136"/>
      <c r="C3" s="135"/>
      <c r="D3" s="135"/>
      <c r="E3" s="168"/>
      <c r="F3" s="135"/>
      <c r="G3" s="135"/>
      <c r="H3" s="135"/>
      <c r="I3" s="135"/>
    </row>
    <row r="4" spans="1:9" ht="12.75">
      <c r="A4" s="138"/>
      <c r="B4" s="136"/>
      <c r="C4" s="135"/>
      <c r="D4" s="135"/>
      <c r="E4" s="168"/>
      <c r="F4" s="135"/>
      <c r="G4" s="135"/>
      <c r="H4" s="135"/>
      <c r="I4" s="188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33</v>
      </c>
      <c r="E5" s="169" t="s">
        <v>20</v>
      </c>
      <c r="F5" s="68" t="s">
        <v>38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/>
      <c r="E6" s="170" t="s">
        <v>57</v>
      </c>
      <c r="F6" s="287"/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172" t="s">
        <v>41</v>
      </c>
      <c r="F7" s="80"/>
      <c r="G7" s="82"/>
      <c r="H7" s="82" t="s">
        <v>13</v>
      </c>
      <c r="I7" s="83" t="s">
        <v>12</v>
      </c>
    </row>
    <row r="8" spans="1:9" ht="12.75">
      <c r="A8" s="84">
        <v>37591</v>
      </c>
      <c r="B8" s="140"/>
      <c r="C8" s="141">
        <v>305133000</v>
      </c>
      <c r="D8" s="141"/>
      <c r="E8" s="173"/>
      <c r="F8" s="141"/>
      <c r="G8" s="151"/>
      <c r="H8" s="151"/>
      <c r="I8" s="152"/>
    </row>
    <row r="9" spans="1:9" ht="12.75">
      <c r="A9" s="145">
        <v>37621</v>
      </c>
      <c r="B9" s="108">
        <f>A9-A8</f>
        <v>30</v>
      </c>
      <c r="C9" s="146">
        <f>C8-D9</f>
        <v>305133000</v>
      </c>
      <c r="D9" s="146"/>
      <c r="E9" s="175">
        <v>0.0975</v>
      </c>
      <c r="F9" s="146">
        <v>1156963</v>
      </c>
      <c r="G9" s="153">
        <f>SUM(F8:F9)</f>
        <v>1156963</v>
      </c>
      <c r="H9" s="153">
        <v>0</v>
      </c>
      <c r="I9" s="154">
        <f>SUM(G9:H9)</f>
        <v>1156963</v>
      </c>
    </row>
    <row r="10" spans="1:9" ht="12.75">
      <c r="A10" s="103">
        <v>37711</v>
      </c>
      <c r="B10" s="176">
        <f aca="true" t="shared" si="0" ref="B10:B67">A10-A9</f>
        <v>90</v>
      </c>
      <c r="C10" s="174">
        <f aca="true" t="shared" si="1" ref="C10:C67">C9-D10</f>
        <v>305133000</v>
      </c>
      <c r="D10" s="142"/>
      <c r="E10" s="177">
        <v>0.0847</v>
      </c>
      <c r="F10" s="174">
        <v>6493739</v>
      </c>
      <c r="G10" s="143"/>
      <c r="H10" s="143"/>
      <c r="I10" s="144"/>
    </row>
    <row r="11" spans="1:9" ht="12.75">
      <c r="A11" s="84">
        <v>37802</v>
      </c>
      <c r="B11" s="91">
        <f t="shared" si="0"/>
        <v>91</v>
      </c>
      <c r="C11" s="41">
        <f t="shared" si="1"/>
        <v>305133000</v>
      </c>
      <c r="D11" s="141"/>
      <c r="E11" s="173">
        <v>0.0665</v>
      </c>
      <c r="F11" s="41">
        <v>5144627</v>
      </c>
      <c r="G11" s="151"/>
      <c r="H11" s="151"/>
      <c r="I11" s="152"/>
    </row>
    <row r="12" spans="1:9" ht="12.75">
      <c r="A12" s="84">
        <v>37892</v>
      </c>
      <c r="B12" s="91">
        <f t="shared" si="0"/>
        <v>90</v>
      </c>
      <c r="C12" s="41">
        <f t="shared" si="1"/>
        <v>294959000</v>
      </c>
      <c r="D12" s="141">
        <v>10174000</v>
      </c>
      <c r="E12" s="173"/>
      <c r="F12" s="41"/>
      <c r="G12" s="151"/>
      <c r="H12" s="151"/>
      <c r="I12" s="152"/>
    </row>
    <row r="13" spans="1:11" ht="12.75">
      <c r="A13" s="84">
        <v>37894</v>
      </c>
      <c r="B13" s="91">
        <f t="shared" si="0"/>
        <v>2</v>
      </c>
      <c r="C13" s="41">
        <f t="shared" si="1"/>
        <v>294959000</v>
      </c>
      <c r="D13" s="141"/>
      <c r="E13" s="173">
        <v>0.0893</v>
      </c>
      <c r="F13" s="41">
        <v>6939102</v>
      </c>
      <c r="G13" s="151"/>
      <c r="H13" s="151"/>
      <c r="I13" s="152"/>
      <c r="K13" s="124"/>
    </row>
    <row r="14" spans="1:9" ht="12.75">
      <c r="A14" s="84">
        <v>37983</v>
      </c>
      <c r="B14" s="91">
        <f t="shared" si="0"/>
        <v>89</v>
      </c>
      <c r="C14" s="41">
        <f t="shared" si="1"/>
        <v>284788000</v>
      </c>
      <c r="D14" s="141">
        <v>10171000</v>
      </c>
      <c r="E14" s="173"/>
      <c r="F14" s="41"/>
      <c r="G14" s="151"/>
      <c r="H14" s="151"/>
      <c r="I14" s="152"/>
    </row>
    <row r="15" spans="1:9" ht="12.75">
      <c r="A15" s="145">
        <v>37986</v>
      </c>
      <c r="B15" s="112">
        <f t="shared" si="0"/>
        <v>3</v>
      </c>
      <c r="C15" s="146">
        <f t="shared" si="1"/>
        <v>284788000</v>
      </c>
      <c r="D15" s="146"/>
      <c r="E15" s="175">
        <v>0.0961</v>
      </c>
      <c r="F15" s="99">
        <v>7230149</v>
      </c>
      <c r="G15" s="153">
        <f>SUM(F10:F15)</f>
        <v>25807617</v>
      </c>
      <c r="H15" s="153">
        <f>SUM(D10:D15)</f>
        <v>20345000</v>
      </c>
      <c r="I15" s="154">
        <f>SUM(G15:H15)</f>
        <v>46152617</v>
      </c>
    </row>
    <row r="16" spans="1:9" ht="12.75">
      <c r="A16" s="103">
        <v>38074</v>
      </c>
      <c r="B16" s="104">
        <f t="shared" si="0"/>
        <v>88</v>
      </c>
      <c r="C16" s="174">
        <f t="shared" si="1"/>
        <v>274617000</v>
      </c>
      <c r="D16" s="141">
        <v>10171000</v>
      </c>
      <c r="E16" s="173"/>
      <c r="F16" s="174"/>
      <c r="G16" s="143"/>
      <c r="H16" s="143"/>
      <c r="I16" s="144"/>
    </row>
    <row r="17" spans="1:11" ht="12.75">
      <c r="A17" s="84">
        <v>38077</v>
      </c>
      <c r="B17" s="91">
        <f t="shared" si="0"/>
        <v>3</v>
      </c>
      <c r="C17" s="41">
        <f t="shared" si="1"/>
        <v>274617000</v>
      </c>
      <c r="D17" s="141"/>
      <c r="E17" s="173">
        <v>0.1255</v>
      </c>
      <c r="F17" s="41">
        <v>9004155</v>
      </c>
      <c r="G17" s="151"/>
      <c r="H17" s="151"/>
      <c r="I17" s="152"/>
      <c r="K17" s="124"/>
    </row>
    <row r="18" spans="1:9" ht="12.75">
      <c r="A18" s="84">
        <v>38166</v>
      </c>
      <c r="B18" s="112">
        <f t="shared" si="0"/>
        <v>89</v>
      </c>
      <c r="C18" s="41">
        <f t="shared" si="1"/>
        <v>264446000</v>
      </c>
      <c r="D18" s="141">
        <v>10171000</v>
      </c>
      <c r="E18" s="173"/>
      <c r="F18" s="41"/>
      <c r="G18" s="151"/>
      <c r="H18" s="151"/>
      <c r="I18" s="152"/>
    </row>
    <row r="19" spans="1:9" ht="12.75">
      <c r="A19" s="84">
        <v>38168</v>
      </c>
      <c r="B19" s="108">
        <f t="shared" si="0"/>
        <v>2</v>
      </c>
      <c r="C19" s="41">
        <f t="shared" si="1"/>
        <v>264446000</v>
      </c>
      <c r="D19" s="141"/>
      <c r="E19" s="173">
        <v>0.1197</v>
      </c>
      <c r="F19" s="41">
        <v>8306885</v>
      </c>
      <c r="G19" s="151"/>
      <c r="H19" s="151"/>
      <c r="I19" s="152"/>
    </row>
    <row r="20" spans="1:9" ht="12.75">
      <c r="A20" s="84">
        <v>38258</v>
      </c>
      <c r="B20" s="108">
        <f t="shared" si="0"/>
        <v>90</v>
      </c>
      <c r="C20" s="41">
        <f t="shared" si="1"/>
        <v>254275000</v>
      </c>
      <c r="D20" s="141">
        <v>10171000</v>
      </c>
      <c r="E20" s="173"/>
      <c r="F20" s="41"/>
      <c r="G20" s="151"/>
      <c r="H20" s="151"/>
      <c r="I20" s="152"/>
    </row>
    <row r="21" spans="1:9" ht="12.75">
      <c r="A21" s="84">
        <v>38260</v>
      </c>
      <c r="B21" s="108">
        <f t="shared" si="0"/>
        <v>2</v>
      </c>
      <c r="C21" s="41">
        <f t="shared" si="1"/>
        <v>254275000</v>
      </c>
      <c r="D21" s="141"/>
      <c r="E21" s="173">
        <v>0.1167</v>
      </c>
      <c r="F21" s="41">
        <v>7882271</v>
      </c>
      <c r="G21" s="151"/>
      <c r="H21" s="151"/>
      <c r="I21" s="152"/>
    </row>
    <row r="22" spans="1:9" ht="12.75">
      <c r="A22" s="84">
        <v>38349</v>
      </c>
      <c r="B22" s="108">
        <f t="shared" si="0"/>
        <v>89</v>
      </c>
      <c r="C22" s="41">
        <f t="shared" si="1"/>
        <v>244104000</v>
      </c>
      <c r="D22" s="141">
        <v>10171000</v>
      </c>
      <c r="E22" s="173"/>
      <c r="F22" s="41"/>
      <c r="G22" s="151"/>
      <c r="H22" s="151"/>
      <c r="I22" s="152"/>
    </row>
    <row r="23" spans="1:9" ht="12.75">
      <c r="A23" s="145">
        <v>38352</v>
      </c>
      <c r="B23" s="108">
        <f t="shared" si="0"/>
        <v>3</v>
      </c>
      <c r="C23" s="146">
        <f t="shared" si="1"/>
        <v>244104000</v>
      </c>
      <c r="D23" s="146"/>
      <c r="E23" s="175">
        <v>0.111</v>
      </c>
      <c r="F23" s="99">
        <v>7207552</v>
      </c>
      <c r="G23" s="153">
        <f>SUM(F16:F23)</f>
        <v>32400863</v>
      </c>
      <c r="H23" s="153">
        <f>SUM(D16:D23)</f>
        <v>40684000</v>
      </c>
      <c r="I23" s="154">
        <f>SUM(G23:H23)</f>
        <v>73084863</v>
      </c>
    </row>
    <row r="24" spans="1:9" ht="12.75">
      <c r="A24" s="103">
        <v>38440</v>
      </c>
      <c r="B24" s="176">
        <f t="shared" si="0"/>
        <v>88</v>
      </c>
      <c r="C24" s="174">
        <f t="shared" si="1"/>
        <v>233933000</v>
      </c>
      <c r="D24" s="141">
        <v>10171000</v>
      </c>
      <c r="E24" s="173"/>
      <c r="F24" s="174"/>
      <c r="G24" s="143"/>
      <c r="H24" s="143"/>
      <c r="I24" s="144"/>
    </row>
    <row r="25" spans="1:9" ht="12.75">
      <c r="A25" s="84">
        <v>38442</v>
      </c>
      <c r="B25" s="108">
        <f t="shared" si="0"/>
        <v>2</v>
      </c>
      <c r="C25" s="41">
        <f t="shared" si="1"/>
        <v>233933000</v>
      </c>
      <c r="D25" s="141"/>
      <c r="E25" s="173">
        <v>0.0946</v>
      </c>
      <c r="F25" s="41">
        <v>5778834</v>
      </c>
      <c r="G25" s="151"/>
      <c r="H25" s="151"/>
      <c r="I25" s="152"/>
    </row>
    <row r="26" spans="1:9" ht="12.75">
      <c r="A26" s="84">
        <v>38531</v>
      </c>
      <c r="B26" s="108">
        <f t="shared" si="0"/>
        <v>89</v>
      </c>
      <c r="C26" s="41">
        <f t="shared" si="1"/>
        <v>223762000</v>
      </c>
      <c r="D26" s="141">
        <v>10171000</v>
      </c>
      <c r="E26" s="173"/>
      <c r="F26" s="41"/>
      <c r="G26" s="151"/>
      <c r="H26" s="151"/>
      <c r="I26" s="152"/>
    </row>
    <row r="27" spans="1:9" ht="12.75">
      <c r="A27" s="84">
        <v>38533</v>
      </c>
      <c r="B27" s="108">
        <f t="shared" si="0"/>
        <v>2</v>
      </c>
      <c r="C27" s="41">
        <f t="shared" si="1"/>
        <v>223762000</v>
      </c>
      <c r="D27" s="141"/>
      <c r="E27" s="173">
        <v>0.0784</v>
      </c>
      <c r="F27" s="41">
        <v>4642129</v>
      </c>
      <c r="G27" s="151"/>
      <c r="H27" s="151"/>
      <c r="I27" s="152"/>
    </row>
    <row r="28" spans="1:9" ht="12.75">
      <c r="A28" s="84">
        <v>38623</v>
      </c>
      <c r="B28" s="108">
        <f t="shared" si="0"/>
        <v>90</v>
      </c>
      <c r="C28" s="41">
        <f t="shared" si="1"/>
        <v>213591000</v>
      </c>
      <c r="D28" s="141">
        <v>10171000</v>
      </c>
      <c r="E28" s="173"/>
      <c r="F28" s="41"/>
      <c r="G28" s="151"/>
      <c r="H28" s="151"/>
      <c r="I28" s="152"/>
    </row>
    <row r="29" spans="1:9" ht="12.75">
      <c r="A29" s="84">
        <v>38625</v>
      </c>
      <c r="B29" s="108">
        <f t="shared" si="0"/>
        <v>2</v>
      </c>
      <c r="C29" s="41">
        <f t="shared" si="1"/>
        <v>213591000</v>
      </c>
      <c r="D29" s="141"/>
      <c r="E29" s="173">
        <v>0.0702</v>
      </c>
      <c r="F29" s="41">
        <v>4015420</v>
      </c>
      <c r="G29" s="151"/>
      <c r="H29" s="151"/>
      <c r="I29" s="152"/>
    </row>
    <row r="30" spans="1:9" ht="12.75">
      <c r="A30" s="84">
        <v>38714</v>
      </c>
      <c r="B30" s="108">
        <f t="shared" si="0"/>
        <v>89</v>
      </c>
      <c r="C30" s="41">
        <f t="shared" si="1"/>
        <v>203420000</v>
      </c>
      <c r="D30" s="141">
        <v>10171000</v>
      </c>
      <c r="E30" s="173"/>
      <c r="F30" s="41"/>
      <c r="G30" s="151"/>
      <c r="H30" s="151"/>
      <c r="I30" s="152"/>
    </row>
    <row r="31" spans="1:9" ht="12.75">
      <c r="A31" s="145">
        <v>38716</v>
      </c>
      <c r="B31" s="98">
        <f t="shared" si="0"/>
        <v>2</v>
      </c>
      <c r="C31" s="146">
        <f t="shared" si="1"/>
        <v>203420000</v>
      </c>
      <c r="D31" s="146"/>
      <c r="E31" s="175">
        <v>0.061</v>
      </c>
      <c r="F31" s="99">
        <v>3295466</v>
      </c>
      <c r="G31" s="153">
        <f>SUM(F24:F31)</f>
        <v>17731849</v>
      </c>
      <c r="H31" s="153">
        <f>SUM(D24:D31)</f>
        <v>40684000</v>
      </c>
      <c r="I31" s="154">
        <f>SUM(G31:H31)</f>
        <v>58415849</v>
      </c>
    </row>
    <row r="32" spans="1:9" ht="12.75">
      <c r="A32" s="103">
        <v>38804</v>
      </c>
      <c r="B32" s="112">
        <f t="shared" si="0"/>
        <v>88</v>
      </c>
      <c r="C32" s="174">
        <f t="shared" si="1"/>
        <v>193249000</v>
      </c>
      <c r="D32" s="141">
        <v>10171000</v>
      </c>
      <c r="E32" s="173"/>
      <c r="F32" s="174"/>
      <c r="G32" s="143"/>
      <c r="H32" s="143"/>
      <c r="I32" s="144"/>
    </row>
    <row r="33" spans="1:9" ht="12.75">
      <c r="A33" s="84">
        <v>38807</v>
      </c>
      <c r="B33" s="108">
        <f t="shared" si="0"/>
        <v>3</v>
      </c>
      <c r="C33" s="41">
        <f t="shared" si="1"/>
        <v>193249000</v>
      </c>
      <c r="D33" s="141"/>
      <c r="E33" s="173">
        <v>0.0637</v>
      </c>
      <c r="F33" s="41">
        <v>3267007</v>
      </c>
      <c r="G33" s="151"/>
      <c r="H33" s="151"/>
      <c r="I33" s="152"/>
    </row>
    <row r="34" spans="1:9" ht="12.75">
      <c r="A34" s="84">
        <v>38896</v>
      </c>
      <c r="B34" s="108">
        <f t="shared" si="0"/>
        <v>89</v>
      </c>
      <c r="C34" s="41">
        <f t="shared" si="1"/>
        <v>183078000</v>
      </c>
      <c r="D34" s="141">
        <v>10171000</v>
      </c>
      <c r="E34" s="173"/>
      <c r="F34" s="41"/>
      <c r="G34" s="151"/>
      <c r="H34" s="151"/>
      <c r="I34" s="152"/>
    </row>
    <row r="35" spans="1:9" ht="12.75">
      <c r="A35" s="84">
        <v>38898</v>
      </c>
      <c r="B35" s="108">
        <f t="shared" si="0"/>
        <v>2</v>
      </c>
      <c r="C35" s="41">
        <f t="shared" si="1"/>
        <v>183078000</v>
      </c>
      <c r="D35" s="141"/>
      <c r="E35" s="173">
        <v>0.0643</v>
      </c>
      <c r="F35" s="41">
        <v>3137039</v>
      </c>
      <c r="G35" s="151"/>
      <c r="H35" s="151"/>
      <c r="I35" s="152"/>
    </row>
    <row r="36" spans="1:9" ht="12.75">
      <c r="A36" s="84">
        <v>38988</v>
      </c>
      <c r="B36" s="108">
        <f t="shared" si="0"/>
        <v>90</v>
      </c>
      <c r="C36" s="41">
        <f t="shared" si="1"/>
        <v>172907000</v>
      </c>
      <c r="D36" s="141">
        <v>10171000</v>
      </c>
      <c r="E36" s="173"/>
      <c r="F36" s="41"/>
      <c r="G36" s="151"/>
      <c r="H36" s="151"/>
      <c r="I36" s="152"/>
    </row>
    <row r="37" spans="1:9" ht="12.75">
      <c r="A37" s="84">
        <v>38989</v>
      </c>
      <c r="B37" s="108">
        <f t="shared" si="0"/>
        <v>1</v>
      </c>
      <c r="C37" s="41">
        <f t="shared" si="1"/>
        <v>172907000</v>
      </c>
      <c r="D37" s="141"/>
      <c r="E37" s="173">
        <v>0.0677</v>
      </c>
      <c r="F37" s="41">
        <v>3129382</v>
      </c>
      <c r="G37" s="151"/>
      <c r="H37" s="151"/>
      <c r="I37" s="152"/>
    </row>
    <row r="38" spans="1:9" ht="12.75">
      <c r="A38" s="84">
        <v>38991</v>
      </c>
      <c r="B38" s="108">
        <f>A38-A37</f>
        <v>2</v>
      </c>
      <c r="C38" s="41">
        <f>C37-D38</f>
        <v>172907000</v>
      </c>
      <c r="D38" s="141"/>
      <c r="E38" s="173">
        <v>0.0677</v>
      </c>
      <c r="F38" s="41"/>
      <c r="G38" s="151"/>
      <c r="H38" s="151"/>
      <c r="I38" s="152"/>
    </row>
    <row r="39" spans="1:9" ht="12.75">
      <c r="A39" s="84">
        <v>39079</v>
      </c>
      <c r="B39" s="108">
        <f>A39-A38</f>
        <v>88</v>
      </c>
      <c r="C39" s="41">
        <f>C38-D39</f>
        <v>162736000</v>
      </c>
      <c r="D39" s="141">
        <v>10171000</v>
      </c>
      <c r="E39" s="173"/>
      <c r="F39" s="41"/>
      <c r="G39" s="151"/>
      <c r="H39" s="151"/>
      <c r="I39" s="152"/>
    </row>
    <row r="40" spans="1:9" ht="12.75">
      <c r="A40" s="145">
        <v>39080</v>
      </c>
      <c r="B40" s="108">
        <f t="shared" si="0"/>
        <v>1</v>
      </c>
      <c r="C40" s="146">
        <f t="shared" si="1"/>
        <v>162736000</v>
      </c>
      <c r="D40" s="146"/>
      <c r="E40" s="175">
        <v>0.0804</v>
      </c>
      <c r="F40" s="99">
        <v>3499576</v>
      </c>
      <c r="G40" s="153">
        <f>SUM(F32:F40)</f>
        <v>13033004</v>
      </c>
      <c r="H40" s="153">
        <f>SUM(D32:D40)</f>
        <v>40684000</v>
      </c>
      <c r="I40" s="154">
        <f>SUM(G40:H40)</f>
        <v>53717004</v>
      </c>
    </row>
    <row r="41" spans="1:9" ht="12.75">
      <c r="A41" s="103">
        <v>39169</v>
      </c>
      <c r="B41" s="176">
        <f t="shared" si="0"/>
        <v>89</v>
      </c>
      <c r="C41" s="174">
        <f t="shared" si="1"/>
        <v>152565000</v>
      </c>
      <c r="D41" s="141">
        <v>10171000</v>
      </c>
      <c r="E41" s="173"/>
      <c r="F41" s="174"/>
      <c r="G41" s="143"/>
      <c r="H41" s="143"/>
      <c r="I41" s="144"/>
    </row>
    <row r="42" spans="1:9" ht="12.75">
      <c r="A42" s="84">
        <v>39172</v>
      </c>
      <c r="B42" s="108">
        <f t="shared" si="0"/>
        <v>3</v>
      </c>
      <c r="C42" s="41">
        <f t="shared" si="1"/>
        <v>152565000</v>
      </c>
      <c r="D42" s="141"/>
      <c r="E42" s="173">
        <v>0.0818</v>
      </c>
      <c r="F42" s="41">
        <f>((C41+D41)*E42/360*B41)+((C42+D42)*E42/360*B42)</f>
        <v>3394972.4394444446</v>
      </c>
      <c r="G42" s="151"/>
      <c r="H42" s="151"/>
      <c r="I42" s="152"/>
    </row>
    <row r="43" spans="1:9" ht="12.75">
      <c r="A43" s="84">
        <v>39261</v>
      </c>
      <c r="B43" s="108">
        <f t="shared" si="0"/>
        <v>89</v>
      </c>
      <c r="C43" s="41">
        <f t="shared" si="1"/>
        <v>142394000</v>
      </c>
      <c r="D43" s="141">
        <v>10171000</v>
      </c>
      <c r="E43" s="173"/>
      <c r="F43" s="41"/>
      <c r="G43" s="151"/>
      <c r="H43" s="151"/>
      <c r="I43" s="152"/>
    </row>
    <row r="44" spans="1:9" ht="12.75">
      <c r="A44" s="84">
        <v>39263</v>
      </c>
      <c r="B44" s="108">
        <f t="shared" si="0"/>
        <v>2</v>
      </c>
      <c r="C44" s="41">
        <f t="shared" si="1"/>
        <v>142394000</v>
      </c>
      <c r="D44" s="141"/>
      <c r="E44" s="173">
        <f>E42</f>
        <v>0.0818</v>
      </c>
      <c r="F44" s="41">
        <f>((C43+D43)*E44/360*B43)+((C44+D44)*E44/360*B44)</f>
        <v>3149998.253888889</v>
      </c>
      <c r="G44" s="151"/>
      <c r="H44" s="151"/>
      <c r="I44" s="152"/>
    </row>
    <row r="45" spans="1:9" ht="12.75">
      <c r="A45" s="84">
        <v>39353</v>
      </c>
      <c r="B45" s="108">
        <f t="shared" si="0"/>
        <v>90</v>
      </c>
      <c r="C45" s="41">
        <f t="shared" si="1"/>
        <v>132223000</v>
      </c>
      <c r="D45" s="141">
        <v>10171000</v>
      </c>
      <c r="E45" s="173"/>
      <c r="F45" s="41"/>
      <c r="G45" s="151"/>
      <c r="H45" s="151"/>
      <c r="I45" s="152"/>
    </row>
    <row r="46" spans="1:9" ht="12.75">
      <c r="A46" s="84">
        <v>39355</v>
      </c>
      <c r="B46" s="108">
        <f t="shared" si="0"/>
        <v>2</v>
      </c>
      <c r="C46" s="41">
        <f t="shared" si="1"/>
        <v>132223000</v>
      </c>
      <c r="D46" s="141"/>
      <c r="E46" s="173">
        <f>E44</f>
        <v>0.0818</v>
      </c>
      <c r="F46" s="41">
        <f>((C45+D45)*E46/360*B45)+((C46+D46)*E46/360*B46)</f>
        <v>2972045.307777778</v>
      </c>
      <c r="G46" s="151"/>
      <c r="H46" s="151"/>
      <c r="I46" s="152"/>
    </row>
    <row r="47" spans="1:9" ht="12.75">
      <c r="A47" s="84">
        <v>39444</v>
      </c>
      <c r="B47" s="108">
        <f t="shared" si="0"/>
        <v>89</v>
      </c>
      <c r="C47" s="41">
        <f t="shared" si="1"/>
        <v>122052000</v>
      </c>
      <c r="D47" s="141">
        <v>10171000</v>
      </c>
      <c r="E47" s="173"/>
      <c r="F47" s="41"/>
      <c r="G47" s="151"/>
      <c r="H47" s="151"/>
      <c r="I47" s="152"/>
    </row>
    <row r="48" spans="1:9" ht="12.75">
      <c r="A48" s="145">
        <v>39447</v>
      </c>
      <c r="B48" s="98">
        <f t="shared" si="0"/>
        <v>3</v>
      </c>
      <c r="C48" s="146">
        <f t="shared" si="1"/>
        <v>122052000</v>
      </c>
      <c r="D48" s="146"/>
      <c r="E48" s="175">
        <f>E46</f>
        <v>0.0818</v>
      </c>
      <c r="F48" s="99">
        <f>((C47+D47)*E48/360*B47)+((C48+D48)*E48/360*B48)</f>
        <v>2757115.1261111107</v>
      </c>
      <c r="G48" s="153">
        <f>SUM(F41:F48)</f>
        <v>12274131.127222221</v>
      </c>
      <c r="H48" s="153">
        <f>SUM(D41:D48)</f>
        <v>40684000</v>
      </c>
      <c r="I48" s="154">
        <f>SUM(G48:H48)</f>
        <v>52958131.127222225</v>
      </c>
    </row>
    <row r="49" spans="1:9" ht="12.75">
      <c r="A49" s="103">
        <v>39535</v>
      </c>
      <c r="B49" s="112">
        <f t="shared" si="0"/>
        <v>88</v>
      </c>
      <c r="C49" s="174">
        <f t="shared" si="1"/>
        <v>111881000</v>
      </c>
      <c r="D49" s="141">
        <v>10171000</v>
      </c>
      <c r="E49" s="173"/>
      <c r="F49" s="174"/>
      <c r="G49" s="143"/>
      <c r="H49" s="143"/>
      <c r="I49" s="144"/>
    </row>
    <row r="50" spans="1:9" ht="12.75">
      <c r="A50" s="84">
        <v>39538</v>
      </c>
      <c r="B50" s="108">
        <f t="shared" si="0"/>
        <v>3</v>
      </c>
      <c r="C50" s="41">
        <f t="shared" si="1"/>
        <v>111881000</v>
      </c>
      <c r="D50" s="141"/>
      <c r="E50" s="173">
        <f>E48</f>
        <v>0.0818</v>
      </c>
      <c r="F50" s="41">
        <f>((C49+D49)*E50/360*B49)+((C50+D50)*E50/360*B50)</f>
        <v>2516763.095</v>
      </c>
      <c r="G50" s="151"/>
      <c r="H50" s="151"/>
      <c r="I50" s="152"/>
    </row>
    <row r="51" spans="1:9" ht="12.75">
      <c r="A51" s="84">
        <v>39627</v>
      </c>
      <c r="B51" s="108">
        <f t="shared" si="0"/>
        <v>89</v>
      </c>
      <c r="C51" s="41">
        <f t="shared" si="1"/>
        <v>101710000</v>
      </c>
      <c r="D51" s="141">
        <v>10171000</v>
      </c>
      <c r="E51" s="173"/>
      <c r="F51" s="41"/>
      <c r="G51" s="151"/>
      <c r="H51" s="151"/>
      <c r="I51" s="152"/>
    </row>
    <row r="52" spans="1:9" ht="12.75">
      <c r="A52" s="90">
        <v>39629</v>
      </c>
      <c r="B52" s="108">
        <f t="shared" si="0"/>
        <v>2</v>
      </c>
      <c r="C52" s="41">
        <f t="shared" si="1"/>
        <v>101710000</v>
      </c>
      <c r="D52" s="157"/>
      <c r="E52" s="179">
        <f>E50</f>
        <v>0.0818</v>
      </c>
      <c r="F52" s="41">
        <f>((C51+D51)*E52/360*B51)+((C52+D52)*E52/360*B52)</f>
        <v>2308766.145</v>
      </c>
      <c r="G52" s="158"/>
      <c r="H52" s="158"/>
      <c r="I52" s="159"/>
    </row>
    <row r="53" spans="1:9" ht="12.75">
      <c r="A53" s="84">
        <v>39719</v>
      </c>
      <c r="B53" s="108">
        <f t="shared" si="0"/>
        <v>90</v>
      </c>
      <c r="C53" s="41">
        <f t="shared" si="1"/>
        <v>91539000</v>
      </c>
      <c r="D53" s="141">
        <v>10171000</v>
      </c>
      <c r="E53" s="173"/>
      <c r="F53" s="41"/>
      <c r="G53" s="93"/>
      <c r="H53" s="158"/>
      <c r="I53" s="159"/>
    </row>
    <row r="54" spans="1:9" ht="12.75">
      <c r="A54" s="84">
        <v>39721</v>
      </c>
      <c r="B54" s="108">
        <f t="shared" si="0"/>
        <v>2</v>
      </c>
      <c r="C54" s="41">
        <f t="shared" si="1"/>
        <v>91539000</v>
      </c>
      <c r="D54" s="141"/>
      <c r="E54" s="173">
        <f>E52</f>
        <v>0.0818</v>
      </c>
      <c r="F54" s="41">
        <f>((C53+D53)*E54/360*B53)+((C54+D54)*E54/360*B54)</f>
        <v>2121568.89</v>
      </c>
      <c r="G54" s="93"/>
      <c r="H54" s="158"/>
      <c r="I54" s="159"/>
    </row>
    <row r="55" spans="1:9" ht="12.75">
      <c r="A55" s="84">
        <v>39810</v>
      </c>
      <c r="B55" s="108">
        <f t="shared" si="0"/>
        <v>89</v>
      </c>
      <c r="C55" s="41">
        <f t="shared" si="1"/>
        <v>81368000</v>
      </c>
      <c r="D55" s="141">
        <v>10171000</v>
      </c>
      <c r="E55" s="173"/>
      <c r="F55" s="41"/>
      <c r="G55" s="151"/>
      <c r="H55" s="151"/>
      <c r="I55" s="152"/>
    </row>
    <row r="56" spans="1:9" ht="12.75">
      <c r="A56" s="97">
        <v>39813</v>
      </c>
      <c r="B56" s="98">
        <f t="shared" si="0"/>
        <v>3</v>
      </c>
      <c r="C56" s="147">
        <f t="shared" si="1"/>
        <v>81368000</v>
      </c>
      <c r="D56" s="147"/>
      <c r="E56" s="180">
        <f>E54</f>
        <v>0.0818</v>
      </c>
      <c r="F56" s="99">
        <f>((C55+D55)*E56/360*B55)+((C56+D56)*E56/360*B56)</f>
        <v>1906638.7083333333</v>
      </c>
      <c r="G56" s="148">
        <f>SUM(F49:F56)</f>
        <v>8853736.838333335</v>
      </c>
      <c r="H56" s="148">
        <f>SUM(D49:D56)</f>
        <v>40684000</v>
      </c>
      <c r="I56" s="149">
        <f>SUM(G56:H56)</f>
        <v>49537736.83833334</v>
      </c>
    </row>
    <row r="57" spans="1:9" ht="12.75">
      <c r="A57" s="103">
        <v>39900</v>
      </c>
      <c r="B57" s="104">
        <f t="shared" si="0"/>
        <v>87</v>
      </c>
      <c r="C57" s="142">
        <f t="shared" si="1"/>
        <v>71197000</v>
      </c>
      <c r="D57" s="142">
        <v>10171000</v>
      </c>
      <c r="E57" s="177"/>
      <c r="F57" s="142"/>
      <c r="G57" s="143"/>
      <c r="H57" s="143"/>
      <c r="I57" s="144"/>
    </row>
    <row r="58" spans="1:9" ht="12.75">
      <c r="A58" s="84">
        <v>39903</v>
      </c>
      <c r="B58" s="108">
        <f t="shared" si="0"/>
        <v>3</v>
      </c>
      <c r="C58" s="41">
        <f t="shared" si="1"/>
        <v>71197000</v>
      </c>
      <c r="D58" s="141"/>
      <c r="E58" s="173">
        <f>E56</f>
        <v>0.0818</v>
      </c>
      <c r="F58" s="41">
        <f>((C57+D57)*E58/360*B57)+((C58+D58)*E58/360*B58)</f>
        <v>1657042.3683333332</v>
      </c>
      <c r="G58" s="151"/>
      <c r="H58" s="151"/>
      <c r="I58" s="152"/>
    </row>
    <row r="59" spans="1:9" ht="12.75">
      <c r="A59" s="84">
        <v>39992</v>
      </c>
      <c r="B59" s="108">
        <f t="shared" si="0"/>
        <v>89</v>
      </c>
      <c r="C59" s="41">
        <f t="shared" si="1"/>
        <v>61026000</v>
      </c>
      <c r="D59" s="141">
        <v>10171000</v>
      </c>
      <c r="E59" s="173"/>
      <c r="F59" s="41"/>
      <c r="G59" s="151"/>
      <c r="H59" s="151"/>
      <c r="I59" s="152"/>
    </row>
    <row r="60" spans="1:9" ht="12.75">
      <c r="A60" s="90">
        <v>39994</v>
      </c>
      <c r="B60" s="108">
        <f t="shared" si="0"/>
        <v>2</v>
      </c>
      <c r="C60" s="41">
        <f t="shared" si="1"/>
        <v>61026000</v>
      </c>
      <c r="D60" s="157"/>
      <c r="E60" s="179">
        <f>E58</f>
        <v>0.0818</v>
      </c>
      <c r="F60" s="41">
        <f>((C59+D59)*E60/360*B59)+((C60+D60)*E60/360*B60)</f>
        <v>1467534.0361111113</v>
      </c>
      <c r="G60" s="158"/>
      <c r="H60" s="158"/>
      <c r="I60" s="159"/>
    </row>
    <row r="61" spans="1:9" ht="12.75">
      <c r="A61" s="84">
        <v>40084</v>
      </c>
      <c r="B61" s="108">
        <f t="shared" si="0"/>
        <v>90</v>
      </c>
      <c r="C61" s="41">
        <f t="shared" si="1"/>
        <v>50855000</v>
      </c>
      <c r="D61" s="141">
        <v>10171000</v>
      </c>
      <c r="E61" s="173"/>
      <c r="F61" s="41"/>
      <c r="G61" s="93"/>
      <c r="H61" s="158"/>
      <c r="I61" s="159"/>
    </row>
    <row r="62" spans="1:9" ht="12.75">
      <c r="A62" s="84">
        <v>40086</v>
      </c>
      <c r="B62" s="108">
        <f t="shared" si="0"/>
        <v>2</v>
      </c>
      <c r="C62" s="41">
        <f t="shared" si="1"/>
        <v>50855000</v>
      </c>
      <c r="D62" s="141"/>
      <c r="E62" s="173">
        <f>E60</f>
        <v>0.0818</v>
      </c>
      <c r="F62" s="41">
        <f>((C61+D61)*E62/360*B61)+((C62+D62)*E62/360*B62)</f>
        <v>1271092.4722222222</v>
      </c>
      <c r="G62" s="151"/>
      <c r="H62" s="151"/>
      <c r="I62" s="152"/>
    </row>
    <row r="63" spans="1:9" ht="12.75">
      <c r="A63" s="84">
        <v>40175</v>
      </c>
      <c r="B63" s="108">
        <f t="shared" si="0"/>
        <v>89</v>
      </c>
      <c r="C63" s="41">
        <f t="shared" si="1"/>
        <v>40684000</v>
      </c>
      <c r="D63" s="141">
        <v>10171000</v>
      </c>
      <c r="E63" s="173"/>
      <c r="F63" s="41"/>
      <c r="G63" s="151"/>
      <c r="H63" s="151"/>
      <c r="I63" s="152"/>
    </row>
    <row r="64" spans="1:9" ht="12.75">
      <c r="A64" s="145">
        <v>40178</v>
      </c>
      <c r="B64" s="98">
        <f t="shared" si="0"/>
        <v>3</v>
      </c>
      <c r="C64" s="146">
        <f t="shared" si="1"/>
        <v>40684000</v>
      </c>
      <c r="D64" s="146"/>
      <c r="E64" s="175">
        <f>E62</f>
        <v>0.0818</v>
      </c>
      <c r="F64" s="99">
        <f>((C63+D63)*E64/360*B63)+((C64+D64)*E64/360*B64)</f>
        <v>1056162.2905555556</v>
      </c>
      <c r="G64" s="153">
        <f>SUM(F57:F64)</f>
        <v>5451831.167222222</v>
      </c>
      <c r="H64" s="153">
        <f>SUM(D57:D64)</f>
        <v>40684000</v>
      </c>
      <c r="I64" s="154">
        <f>SUM(G64:H64)</f>
        <v>46135831.167222224</v>
      </c>
    </row>
    <row r="65" spans="1:9" ht="12.75">
      <c r="A65" s="103">
        <v>40265</v>
      </c>
      <c r="B65" s="112">
        <f t="shared" si="0"/>
        <v>87</v>
      </c>
      <c r="C65" s="174">
        <f t="shared" si="1"/>
        <v>30513000</v>
      </c>
      <c r="D65" s="141">
        <v>10171000</v>
      </c>
      <c r="E65" s="173"/>
      <c r="F65" s="174"/>
      <c r="G65" s="143"/>
      <c r="H65" s="143"/>
      <c r="I65" s="144"/>
    </row>
    <row r="66" spans="1:9" ht="12.75">
      <c r="A66" s="84">
        <v>40268</v>
      </c>
      <c r="B66" s="108">
        <f t="shared" si="0"/>
        <v>3</v>
      </c>
      <c r="C66" s="41">
        <f t="shared" si="1"/>
        <v>30513000</v>
      </c>
      <c r="D66" s="141"/>
      <c r="E66" s="173">
        <f>E64</f>
        <v>0.0818</v>
      </c>
      <c r="F66" s="41">
        <f>((C65+D65)*E66/360*B65)+((C66+D66)*E66/360*B66)</f>
        <v>825054.5683333332</v>
      </c>
      <c r="G66" s="151"/>
      <c r="H66" s="151"/>
      <c r="I66" s="152"/>
    </row>
    <row r="67" spans="1:9" ht="12.75">
      <c r="A67" s="84">
        <v>40357</v>
      </c>
      <c r="B67" s="108">
        <f t="shared" si="0"/>
        <v>89</v>
      </c>
      <c r="C67" s="41">
        <f t="shared" si="1"/>
        <v>20342000</v>
      </c>
      <c r="D67" s="141">
        <v>10171000</v>
      </c>
      <c r="E67" s="173"/>
      <c r="F67" s="41"/>
      <c r="G67" s="151"/>
      <c r="H67" s="151"/>
      <c r="I67" s="152"/>
    </row>
    <row r="68" spans="1:9" ht="12.75">
      <c r="A68" s="90">
        <v>40359</v>
      </c>
      <c r="B68" s="108">
        <f>A68-A67</f>
        <v>2</v>
      </c>
      <c r="C68" s="41">
        <f>C67-D68</f>
        <v>20342000</v>
      </c>
      <c r="D68" s="157"/>
      <c r="E68" s="179">
        <f>E66</f>
        <v>0.0818</v>
      </c>
      <c r="F68" s="41">
        <f>((C67+D67)*E68/360*B67)+((C68+D68)*E68/360*B68)</f>
        <v>626301.9272222222</v>
      </c>
      <c r="G68" s="151"/>
      <c r="H68" s="151"/>
      <c r="I68" s="152"/>
    </row>
    <row r="69" spans="1:9" ht="12.75">
      <c r="A69" s="232">
        <v>40449</v>
      </c>
      <c r="B69" s="108">
        <f>A69-A68</f>
        <v>90</v>
      </c>
      <c r="C69" s="174">
        <f>C68-D69</f>
        <v>10171000</v>
      </c>
      <c r="D69" s="174">
        <v>10171000</v>
      </c>
      <c r="E69" s="234"/>
      <c r="F69" s="111"/>
      <c r="G69" s="158"/>
      <c r="H69" s="158"/>
      <c r="I69" s="159"/>
    </row>
    <row r="70" spans="1:9" ht="12.75">
      <c r="A70" s="90">
        <v>40451</v>
      </c>
      <c r="B70" s="91">
        <f>A70-A69</f>
        <v>2</v>
      </c>
      <c r="C70" s="41">
        <f>C69-D70</f>
        <v>10171000</v>
      </c>
      <c r="D70" s="91"/>
      <c r="E70" s="95">
        <f>E68</f>
        <v>0.0818</v>
      </c>
      <c r="F70" s="41">
        <f>((C69+D69)*E70/360*B69)+((C70+D70)*E70/360*B70)</f>
        <v>420616.0544444445</v>
      </c>
      <c r="G70" s="93"/>
      <c r="H70" s="93"/>
      <c r="I70" s="94"/>
    </row>
    <row r="71" spans="1:9" ht="13.5" thickBot="1">
      <c r="A71" s="114">
        <v>40540</v>
      </c>
      <c r="B71" s="115">
        <f>A71-A70</f>
        <v>89</v>
      </c>
      <c r="C71" s="116">
        <f>C70-D71</f>
        <v>0</v>
      </c>
      <c r="D71" s="116">
        <v>10171000</v>
      </c>
      <c r="E71" s="243">
        <f>E70</f>
        <v>0.0818</v>
      </c>
      <c r="F71" s="116">
        <f>((C71+D71)*E71/360*B71)</f>
        <v>205685.87277777778</v>
      </c>
      <c r="G71" s="235">
        <f>SUM(F65:F71)</f>
        <v>2077658.4227777775</v>
      </c>
      <c r="H71" s="235">
        <f>SUM(D65:D71)</f>
        <v>40684000</v>
      </c>
      <c r="I71" s="236">
        <f>SUM(G71:H71)</f>
        <v>42761658.42277778</v>
      </c>
    </row>
    <row r="72" spans="1:9" ht="13.5" thickTop="1">
      <c r="A72" s="288" t="s">
        <v>14</v>
      </c>
      <c r="B72" s="289"/>
      <c r="C72" s="290"/>
      <c r="D72" s="153">
        <f>SUM(D8:D71)</f>
        <v>305133000</v>
      </c>
      <c r="E72" s="291"/>
      <c r="F72" s="153">
        <f>SUM(F8:F71)</f>
        <v>118787653.55555554</v>
      </c>
      <c r="G72" s="258">
        <f>SUM(G8:G71)</f>
        <v>118787653.55555555</v>
      </c>
      <c r="H72" s="258">
        <f>SUM(H8:H71)</f>
        <v>305133000</v>
      </c>
      <c r="I72" s="182">
        <f>SUM(I8:I71)</f>
        <v>423920653.5555555</v>
      </c>
    </row>
    <row r="75" spans="3:6" ht="12.75">
      <c r="C75" s="124"/>
      <c r="D75" s="124"/>
      <c r="E75" s="58"/>
      <c r="F75" s="124"/>
    </row>
    <row r="76" spans="3:6" ht="12.75">
      <c r="C76" s="124"/>
      <c r="D76" s="124"/>
      <c r="E76" s="58"/>
      <c r="F76" s="124"/>
    </row>
    <row r="77" spans="3:5" ht="12.75">
      <c r="C77" s="124"/>
      <c r="D77" s="124"/>
      <c r="E77" s="58"/>
    </row>
    <row r="78" spans="3:5" ht="12.75">
      <c r="C78" s="124"/>
      <c r="D78" s="124"/>
      <c r="E78" s="58"/>
    </row>
    <row r="79" spans="3:6" ht="12.75">
      <c r="C79" s="124"/>
      <c r="D79" s="124"/>
      <c r="E79" s="58"/>
      <c r="F79" s="124"/>
    </row>
  </sheetData>
  <printOptions horizontalCentered="1"/>
  <pageMargins left="0.5905511811023623" right="0.5905511811023623" top="0.7874015748031497" bottom="0.5905511811023623" header="0.1968503937007874" footer="0.1968503937007874"/>
  <pageSetup horizontalDpi="300" verticalDpi="300" orientation="portrait" paperSize="9" r:id="rId1"/>
  <headerFooter alignWithMargins="0">
    <oddHeader xml:space="preserve">&amp;C&amp;"Times New Roman CE,Félkövér"&amp;12Adósságszolgálat számítása az OTP tájékoztatása alapján &amp;"Times New Roman CE,Félkövér dőlt"
2002. decemberben felvett 305.133 eFt hitel </oddHeader>
    <oddFooter>&amp;L&amp;9Nyomtatás dátuma: &amp;D
C:\Andi\adósságszolgálat\&amp;F\&amp;A&amp;R&amp;P/&amp;N</oddFooter>
  </headerFooter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pane ySplit="7" topLeftCell="BM8" activePane="bottomLeft" state="frozen"/>
      <selection pane="topLeft" activeCell="J1" sqref="J1"/>
      <selection pane="bottomLeft" activeCell="J1" sqref="J1"/>
    </sheetView>
  </sheetViews>
  <sheetFormatPr defaultColWidth="9.00390625" defaultRowHeight="12.75"/>
  <cols>
    <col min="1" max="1" width="11.375" style="58" customWidth="1"/>
    <col min="2" max="2" width="6.875" style="124" customWidth="1"/>
    <col min="3" max="3" width="12.125" style="124" customWidth="1"/>
    <col min="4" max="4" width="12.625" style="124" customWidth="1"/>
    <col min="5" max="5" width="8.00390625" style="125" customWidth="1"/>
    <col min="6" max="6" width="12.625" style="58" bestFit="1" customWidth="1"/>
    <col min="7" max="7" width="14.625" style="124" customWidth="1"/>
    <col min="8" max="8" width="12.625" style="58" bestFit="1" customWidth="1"/>
    <col min="9" max="9" width="14.375" style="124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6" ht="12.75">
      <c r="A1" s="54" t="s">
        <v>88</v>
      </c>
      <c r="B1" s="54"/>
      <c r="C1" s="292"/>
      <c r="D1" s="57"/>
      <c r="E1" s="55"/>
      <c r="F1" s="56"/>
    </row>
    <row r="2" spans="1:9" ht="12.75">
      <c r="A2" s="59" t="s">
        <v>15</v>
      </c>
      <c r="B2" s="60"/>
      <c r="C2" s="60"/>
      <c r="D2" s="60"/>
      <c r="E2" s="61"/>
      <c r="F2" s="60"/>
      <c r="G2" s="60"/>
      <c r="H2" s="60"/>
      <c r="I2" s="60"/>
    </row>
    <row r="3" spans="1:9" ht="12.75">
      <c r="A3" s="59" t="s">
        <v>68</v>
      </c>
      <c r="B3" s="60"/>
      <c r="C3" s="60"/>
      <c r="D3" s="60"/>
      <c r="E3" s="61"/>
      <c r="F3" s="60"/>
      <c r="G3" s="60"/>
      <c r="H3" s="60"/>
      <c r="I3" s="60"/>
    </row>
    <row r="4" spans="1:9" ht="12.75">
      <c r="A4" s="62"/>
      <c r="B4" s="63"/>
      <c r="C4" s="63"/>
      <c r="D4" s="64"/>
      <c r="E4" s="65"/>
      <c r="F4" s="64"/>
      <c r="G4" s="64"/>
      <c r="H4" s="64"/>
      <c r="I4" s="64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254">
        <v>37915</v>
      </c>
      <c r="B8" s="108"/>
      <c r="C8" s="107">
        <v>301781952</v>
      </c>
      <c r="D8" s="107"/>
      <c r="E8" s="255"/>
      <c r="F8" s="107"/>
      <c r="G8" s="256"/>
      <c r="H8" s="256"/>
      <c r="I8" s="257"/>
    </row>
    <row r="9" spans="1:9" ht="13.5" thickBot="1">
      <c r="A9" s="278">
        <v>37959</v>
      </c>
      <c r="B9" s="279">
        <f aca="true" t="shared" si="0" ref="B9:B47">A9-A8</f>
        <v>44</v>
      </c>
      <c r="C9" s="43">
        <f>(C8-D9)+312908472</f>
        <v>614690424</v>
      </c>
      <c r="D9" s="43"/>
      <c r="E9" s="280"/>
      <c r="F9" s="43"/>
      <c r="G9" s="218"/>
      <c r="H9" s="218"/>
      <c r="I9" s="219"/>
    </row>
    <row r="10" spans="1:9" ht="12.75">
      <c r="A10" s="226">
        <v>37977</v>
      </c>
      <c r="B10" s="293">
        <f t="shared" si="0"/>
        <v>18</v>
      </c>
      <c r="C10" s="227">
        <f>C9-D10</f>
        <v>614690424</v>
      </c>
      <c r="D10" s="227"/>
      <c r="E10" s="294"/>
      <c r="F10" s="227"/>
      <c r="G10" s="295"/>
      <c r="H10" s="295"/>
      <c r="I10" s="296"/>
    </row>
    <row r="11" spans="1:9" ht="13.5" thickBot="1">
      <c r="A11" s="278">
        <v>37986</v>
      </c>
      <c r="B11" s="279">
        <f t="shared" si="0"/>
        <v>9</v>
      </c>
      <c r="C11" s="43">
        <f>(C10-D11)+66348184</f>
        <v>681038608</v>
      </c>
      <c r="D11" s="43"/>
      <c r="E11" s="280">
        <v>0.0961</v>
      </c>
      <c r="F11" s="43">
        <v>7974978</v>
      </c>
      <c r="G11" s="218">
        <f>SUM(F8:F11)</f>
        <v>7974978</v>
      </c>
      <c r="H11" s="218">
        <f>SUM(D8:D11)</f>
        <v>0</v>
      </c>
      <c r="I11" s="219">
        <f>SUM(G11:H11)</f>
        <v>7974978</v>
      </c>
    </row>
    <row r="12" spans="1:11" ht="13.5" thickBot="1">
      <c r="A12" s="297">
        <v>38077</v>
      </c>
      <c r="B12" s="298">
        <f t="shared" si="0"/>
        <v>91</v>
      </c>
      <c r="C12" s="45">
        <f>(C11-D12)</f>
        <v>681038608</v>
      </c>
      <c r="D12" s="45"/>
      <c r="E12" s="299">
        <v>0.1255</v>
      </c>
      <c r="F12" s="45">
        <v>21549386</v>
      </c>
      <c r="G12" s="220"/>
      <c r="H12" s="220"/>
      <c r="I12" s="221"/>
      <c r="K12" s="124"/>
    </row>
    <row r="13" spans="1:11" ht="13.5" thickBot="1">
      <c r="A13" s="297">
        <v>38142</v>
      </c>
      <c r="B13" s="298">
        <f>A13-A12</f>
        <v>65</v>
      </c>
      <c r="C13" s="45">
        <f>C11-D13+13675934</f>
        <v>694714542</v>
      </c>
      <c r="D13" s="45"/>
      <c r="E13" s="299"/>
      <c r="F13" s="45"/>
      <c r="G13" s="220"/>
      <c r="H13" s="220"/>
      <c r="I13" s="221"/>
      <c r="K13" s="124"/>
    </row>
    <row r="14" spans="1:9" ht="12.75">
      <c r="A14" s="84">
        <v>38168</v>
      </c>
      <c r="B14" s="85">
        <f>A14-A13</f>
        <v>26</v>
      </c>
      <c r="C14" s="86">
        <f>C13-D14</f>
        <v>694714542</v>
      </c>
      <c r="D14" s="86"/>
      <c r="E14" s="87">
        <v>0.1197</v>
      </c>
      <c r="F14" s="41">
        <v>20735726</v>
      </c>
      <c r="G14" s="88"/>
      <c r="H14" s="88"/>
      <c r="I14" s="89"/>
    </row>
    <row r="15" spans="1:9" ht="12.75">
      <c r="A15" s="84">
        <v>38254</v>
      </c>
      <c r="B15" s="85">
        <f>A15-A14</f>
        <v>86</v>
      </c>
      <c r="C15" s="86">
        <v>704770956</v>
      </c>
      <c r="D15" s="86"/>
      <c r="E15" s="87"/>
      <c r="F15" s="41"/>
      <c r="G15" s="88"/>
      <c r="H15" s="88"/>
      <c r="I15" s="89"/>
    </row>
    <row r="16" spans="1:9" ht="12.75">
      <c r="A16" s="84">
        <v>38258</v>
      </c>
      <c r="B16" s="85">
        <f>A16-A15</f>
        <v>4</v>
      </c>
      <c r="C16" s="41">
        <f aca="true" t="shared" si="1" ref="C16:C26">C15-D16</f>
        <v>684949956</v>
      </c>
      <c r="D16" s="86">
        <v>19821000</v>
      </c>
      <c r="E16" s="87"/>
      <c r="F16" s="41"/>
      <c r="G16" s="88"/>
      <c r="H16" s="88"/>
      <c r="I16" s="89"/>
    </row>
    <row r="17" spans="1:9" ht="12.75">
      <c r="A17" s="90">
        <v>38260</v>
      </c>
      <c r="B17" s="85">
        <f>A17-A15</f>
        <v>6</v>
      </c>
      <c r="C17" s="41">
        <f t="shared" si="1"/>
        <v>684949956</v>
      </c>
      <c r="D17" s="41"/>
      <c r="E17" s="92">
        <v>0.1167</v>
      </c>
      <c r="F17" s="41">
        <v>20731202</v>
      </c>
      <c r="G17" s="93"/>
      <c r="H17" s="93"/>
      <c r="I17" s="94"/>
    </row>
    <row r="18" spans="1:9" ht="12.75">
      <c r="A18" s="90">
        <v>38293</v>
      </c>
      <c r="B18" s="91">
        <f t="shared" si="0"/>
        <v>33</v>
      </c>
      <c r="C18" s="41">
        <v>693350000</v>
      </c>
      <c r="D18" s="41"/>
      <c r="E18" s="92"/>
      <c r="F18" s="41"/>
      <c r="G18" s="93"/>
      <c r="H18" s="93"/>
      <c r="I18" s="94"/>
    </row>
    <row r="19" spans="1:9" ht="12.75">
      <c r="A19" s="90">
        <v>38349</v>
      </c>
      <c r="B19" s="91">
        <f t="shared" si="0"/>
        <v>56</v>
      </c>
      <c r="C19" s="41">
        <f>C18-D19</f>
        <v>673540000</v>
      </c>
      <c r="D19" s="41">
        <v>19810000</v>
      </c>
      <c r="E19" s="95"/>
      <c r="F19" s="91"/>
      <c r="G19" s="41"/>
      <c r="H19" s="91"/>
      <c r="I19" s="96"/>
    </row>
    <row r="20" spans="1:9" ht="12.75">
      <c r="A20" s="97">
        <v>38352</v>
      </c>
      <c r="B20" s="98">
        <f t="shared" si="0"/>
        <v>3</v>
      </c>
      <c r="C20" s="99">
        <f t="shared" si="1"/>
        <v>673540000</v>
      </c>
      <c r="D20" s="99"/>
      <c r="E20" s="100">
        <v>0.111</v>
      </c>
      <c r="F20" s="41">
        <v>19466298</v>
      </c>
      <c r="G20" s="101">
        <f>SUM(F12:F20)</f>
        <v>82482612</v>
      </c>
      <c r="H20" s="101">
        <f>SUM(D12:D20)</f>
        <v>39631000</v>
      </c>
      <c r="I20" s="102">
        <f>SUM(G20:H20)</f>
        <v>122113612</v>
      </c>
    </row>
    <row r="21" spans="1:9" ht="12.75">
      <c r="A21" s="103">
        <v>38440</v>
      </c>
      <c r="B21" s="85">
        <f t="shared" si="0"/>
        <v>88</v>
      </c>
      <c r="C21" s="86">
        <f t="shared" si="1"/>
        <v>653730000</v>
      </c>
      <c r="D21" s="42">
        <f>D19</f>
        <v>19810000</v>
      </c>
      <c r="E21" s="150"/>
      <c r="F21" s="42"/>
      <c r="G21" s="155"/>
      <c r="H21" s="155"/>
      <c r="I21" s="156"/>
    </row>
    <row r="22" spans="1:9" ht="12.75">
      <c r="A22" s="90">
        <v>38442</v>
      </c>
      <c r="B22" s="91">
        <f t="shared" si="0"/>
        <v>2</v>
      </c>
      <c r="C22" s="41">
        <f t="shared" si="1"/>
        <v>653730000</v>
      </c>
      <c r="D22" s="41"/>
      <c r="E22" s="92">
        <v>0.0946</v>
      </c>
      <c r="F22" s="41">
        <v>15949493</v>
      </c>
      <c r="G22" s="93"/>
      <c r="H22" s="93"/>
      <c r="I22" s="94"/>
    </row>
    <row r="23" spans="1:9" ht="12.75">
      <c r="A23" s="90">
        <v>38531</v>
      </c>
      <c r="B23" s="91">
        <f t="shared" si="0"/>
        <v>89</v>
      </c>
      <c r="C23" s="41">
        <f t="shared" si="1"/>
        <v>633920000</v>
      </c>
      <c r="D23" s="41">
        <f>D21</f>
        <v>19810000</v>
      </c>
      <c r="E23" s="92"/>
      <c r="F23" s="41"/>
      <c r="G23" s="93"/>
      <c r="H23" s="93"/>
      <c r="I23" s="94"/>
    </row>
    <row r="24" spans="1:9" ht="12.75">
      <c r="A24" s="90">
        <v>38533</v>
      </c>
      <c r="B24" s="91">
        <f t="shared" si="0"/>
        <v>2</v>
      </c>
      <c r="C24" s="41">
        <f t="shared" si="1"/>
        <v>633920000</v>
      </c>
      <c r="D24" s="41"/>
      <c r="E24" s="92">
        <v>0.0784</v>
      </c>
      <c r="F24" s="41">
        <v>12976265</v>
      </c>
      <c r="G24" s="93"/>
      <c r="H24" s="93"/>
      <c r="I24" s="94"/>
    </row>
    <row r="25" spans="1:9" ht="12.75">
      <c r="A25" s="90">
        <v>38623</v>
      </c>
      <c r="B25" s="91">
        <f t="shared" si="0"/>
        <v>90</v>
      </c>
      <c r="C25" s="41">
        <f t="shared" si="1"/>
        <v>614110000</v>
      </c>
      <c r="D25" s="41">
        <f>D23</f>
        <v>19810000</v>
      </c>
      <c r="E25" s="92"/>
      <c r="F25" s="41"/>
      <c r="G25" s="93"/>
      <c r="H25" s="93"/>
      <c r="I25" s="94"/>
    </row>
    <row r="26" spans="1:9" ht="12.75">
      <c r="A26" s="90">
        <v>38625</v>
      </c>
      <c r="B26" s="91">
        <f t="shared" si="0"/>
        <v>2</v>
      </c>
      <c r="C26" s="41">
        <f t="shared" si="1"/>
        <v>614110000</v>
      </c>
      <c r="D26" s="41"/>
      <c r="E26" s="92">
        <v>0.0702</v>
      </c>
      <c r="F26" s="41">
        <v>11379238</v>
      </c>
      <c r="G26" s="93"/>
      <c r="H26" s="93"/>
      <c r="I26" s="94"/>
    </row>
    <row r="27" spans="1:9" ht="12.75">
      <c r="A27" s="90">
        <v>38714</v>
      </c>
      <c r="B27" s="91">
        <f t="shared" si="0"/>
        <v>89</v>
      </c>
      <c r="C27" s="41">
        <f>C26-D27</f>
        <v>594300000</v>
      </c>
      <c r="D27" s="41">
        <f>D25</f>
        <v>19810000</v>
      </c>
      <c r="E27" s="92"/>
      <c r="F27" s="41"/>
      <c r="G27" s="93"/>
      <c r="H27" s="93"/>
      <c r="I27" s="94"/>
    </row>
    <row r="28" spans="1:9" ht="12.75">
      <c r="A28" s="97">
        <v>38716</v>
      </c>
      <c r="B28" s="98">
        <f t="shared" si="0"/>
        <v>2</v>
      </c>
      <c r="C28" s="99">
        <f>C27-D28</f>
        <v>594300000</v>
      </c>
      <c r="D28" s="99"/>
      <c r="E28" s="100">
        <v>0.061</v>
      </c>
      <c r="F28" s="99">
        <v>9478216</v>
      </c>
      <c r="G28" s="101">
        <f>SUM(F22:F28)</f>
        <v>49783212</v>
      </c>
      <c r="H28" s="101">
        <f>SUM(D21:D28)</f>
        <v>79240000</v>
      </c>
      <c r="I28" s="102">
        <f>SUM(G28:H28)</f>
        <v>129023212</v>
      </c>
    </row>
    <row r="29" spans="1:9" ht="12.75">
      <c r="A29" s="103">
        <v>38804</v>
      </c>
      <c r="B29" s="104">
        <f t="shared" si="0"/>
        <v>88</v>
      </c>
      <c r="C29" s="42">
        <f aca="true" t="shared" si="2" ref="C29:C67">C28-D29</f>
        <v>574490000</v>
      </c>
      <c r="D29" s="42">
        <f>D27</f>
        <v>19810000</v>
      </c>
      <c r="E29" s="105"/>
      <c r="F29" s="104"/>
      <c r="G29" s="42"/>
      <c r="H29" s="104"/>
      <c r="I29" s="106"/>
    </row>
    <row r="30" spans="1:9" ht="12.75">
      <c r="A30" s="90">
        <v>38807</v>
      </c>
      <c r="B30" s="91">
        <f t="shared" si="0"/>
        <v>3</v>
      </c>
      <c r="C30" s="41">
        <f t="shared" si="2"/>
        <v>574490000</v>
      </c>
      <c r="D30" s="41"/>
      <c r="E30" s="92">
        <v>0.0637</v>
      </c>
      <c r="F30" s="41">
        <v>9549955</v>
      </c>
      <c r="G30" s="41"/>
      <c r="H30" s="91"/>
      <c r="I30" s="96"/>
    </row>
    <row r="31" spans="1:9" ht="12.75">
      <c r="A31" s="90">
        <v>38896</v>
      </c>
      <c r="B31" s="91">
        <f t="shared" si="0"/>
        <v>89</v>
      </c>
      <c r="C31" s="41">
        <f t="shared" si="2"/>
        <v>554680000</v>
      </c>
      <c r="D31" s="41">
        <f>D29</f>
        <v>19810000</v>
      </c>
      <c r="E31" s="95"/>
      <c r="F31" s="91"/>
      <c r="G31" s="41"/>
      <c r="H31" s="91"/>
      <c r="I31" s="96"/>
    </row>
    <row r="32" spans="1:9" ht="12.75">
      <c r="A32" s="90">
        <v>38898</v>
      </c>
      <c r="B32" s="91">
        <f t="shared" si="0"/>
        <v>2</v>
      </c>
      <c r="C32" s="41">
        <f t="shared" si="2"/>
        <v>554680000</v>
      </c>
      <c r="D32" s="41"/>
      <c r="E32" s="92">
        <v>0.0643</v>
      </c>
      <c r="F32" s="41">
        <v>9329503</v>
      </c>
      <c r="G32" s="41"/>
      <c r="H32" s="91"/>
      <c r="I32" s="96"/>
    </row>
    <row r="33" spans="1:9" ht="12.75">
      <c r="A33" s="90">
        <v>38988</v>
      </c>
      <c r="B33" s="91">
        <f t="shared" si="0"/>
        <v>90</v>
      </c>
      <c r="C33" s="41">
        <f t="shared" si="2"/>
        <v>534870000</v>
      </c>
      <c r="D33" s="41">
        <f>D31</f>
        <v>19810000</v>
      </c>
      <c r="E33" s="95"/>
      <c r="F33" s="91"/>
      <c r="G33" s="41"/>
      <c r="H33" s="91"/>
      <c r="I33" s="96"/>
    </row>
    <row r="34" spans="1:9" ht="12.75">
      <c r="A34" s="90">
        <v>38989</v>
      </c>
      <c r="B34" s="91">
        <f t="shared" si="0"/>
        <v>1</v>
      </c>
      <c r="C34" s="41">
        <f t="shared" si="2"/>
        <v>534870000</v>
      </c>
      <c r="D34" s="41"/>
      <c r="E34" s="92">
        <v>0.0677</v>
      </c>
      <c r="F34" s="41">
        <v>9483306</v>
      </c>
      <c r="G34" s="41"/>
      <c r="H34" s="91"/>
      <c r="I34" s="96"/>
    </row>
    <row r="35" spans="1:9" ht="12.75">
      <c r="A35" s="90">
        <v>38991</v>
      </c>
      <c r="B35" s="91">
        <f>A35-A34</f>
        <v>2</v>
      </c>
      <c r="C35" s="41">
        <f>C34-D35</f>
        <v>534870000</v>
      </c>
      <c r="D35" s="41"/>
      <c r="E35" s="92">
        <v>0.0677</v>
      </c>
      <c r="F35" s="41"/>
      <c r="G35" s="41"/>
      <c r="H35" s="91"/>
      <c r="I35" s="96"/>
    </row>
    <row r="36" spans="1:9" ht="12.75">
      <c r="A36" s="90">
        <v>39079</v>
      </c>
      <c r="B36" s="91">
        <f>A36-A35</f>
        <v>88</v>
      </c>
      <c r="C36" s="41">
        <f>C35-D36</f>
        <v>515060000</v>
      </c>
      <c r="D36" s="41">
        <f>D33</f>
        <v>19810000</v>
      </c>
      <c r="E36" s="95"/>
      <c r="F36" s="91"/>
      <c r="G36" s="41"/>
      <c r="H36" s="91"/>
      <c r="I36" s="96"/>
    </row>
    <row r="37" spans="1:9" ht="12.75">
      <c r="A37" s="97">
        <v>39080</v>
      </c>
      <c r="B37" s="98">
        <f t="shared" si="0"/>
        <v>1</v>
      </c>
      <c r="C37" s="99">
        <f t="shared" si="2"/>
        <v>515060000</v>
      </c>
      <c r="D37" s="99"/>
      <c r="E37" s="100">
        <v>0.0804</v>
      </c>
      <c r="F37" s="99">
        <v>10828179</v>
      </c>
      <c r="G37" s="101">
        <f>SUM(F30:F37)</f>
        <v>39190943</v>
      </c>
      <c r="H37" s="101">
        <f>SUM(D29:D37)</f>
        <v>79240000</v>
      </c>
      <c r="I37" s="102">
        <f>SUM(G37:H37)</f>
        <v>118430943</v>
      </c>
    </row>
    <row r="38" spans="1:9" ht="12.75">
      <c r="A38" s="103">
        <v>39169</v>
      </c>
      <c r="B38" s="104">
        <f t="shared" si="0"/>
        <v>89</v>
      </c>
      <c r="C38" s="42">
        <f t="shared" si="2"/>
        <v>495250000</v>
      </c>
      <c r="D38" s="42">
        <f>D36</f>
        <v>19810000</v>
      </c>
      <c r="E38" s="105"/>
      <c r="F38" s="104"/>
      <c r="G38" s="42"/>
      <c r="H38" s="104"/>
      <c r="I38" s="106"/>
    </row>
    <row r="39" spans="1:9" ht="12.75">
      <c r="A39" s="90">
        <v>39172</v>
      </c>
      <c r="B39" s="91">
        <f t="shared" si="0"/>
        <v>3</v>
      </c>
      <c r="C39" s="41">
        <f t="shared" si="2"/>
        <v>495250000</v>
      </c>
      <c r="D39" s="41"/>
      <c r="E39" s="92">
        <v>0.0818</v>
      </c>
      <c r="F39" s="41">
        <f>((C38+D38)*E39/360*B38)+((C39+D39)*E39/360*B39)</f>
        <v>10753539.33888889</v>
      </c>
      <c r="G39" s="41"/>
      <c r="H39" s="91"/>
      <c r="I39" s="96"/>
    </row>
    <row r="40" spans="1:9" ht="12.75">
      <c r="A40" s="90">
        <v>39261</v>
      </c>
      <c r="B40" s="91">
        <f t="shared" si="0"/>
        <v>89</v>
      </c>
      <c r="C40" s="41">
        <f t="shared" si="2"/>
        <v>475440000</v>
      </c>
      <c r="D40" s="41">
        <f>D38</f>
        <v>19810000</v>
      </c>
      <c r="E40" s="95"/>
      <c r="F40" s="91"/>
      <c r="G40" s="41"/>
      <c r="H40" s="91"/>
      <c r="I40" s="96"/>
    </row>
    <row r="41" spans="1:9" ht="12.75">
      <c r="A41" s="90">
        <v>39263</v>
      </c>
      <c r="B41" s="91">
        <f t="shared" si="0"/>
        <v>2</v>
      </c>
      <c r="C41" s="41">
        <f t="shared" si="2"/>
        <v>475440000</v>
      </c>
      <c r="D41" s="41"/>
      <c r="E41" s="92">
        <f>E39</f>
        <v>0.0818</v>
      </c>
      <c r="F41" s="41">
        <f>((C40+D40)*E41/360*B40)+((C41+D41)*E41/360*B41)</f>
        <v>10231391.761111112</v>
      </c>
      <c r="G41" s="41"/>
      <c r="H41" s="91"/>
      <c r="I41" s="96"/>
    </row>
    <row r="42" spans="1:9" ht="12.75">
      <c r="A42" s="90">
        <v>39353</v>
      </c>
      <c r="B42" s="91">
        <f t="shared" si="0"/>
        <v>90</v>
      </c>
      <c r="C42" s="41">
        <f t="shared" si="2"/>
        <v>455630000</v>
      </c>
      <c r="D42" s="41">
        <f>D40</f>
        <v>19810000</v>
      </c>
      <c r="E42" s="95"/>
      <c r="F42" s="91"/>
      <c r="G42" s="41"/>
      <c r="H42" s="91"/>
      <c r="I42" s="96"/>
    </row>
    <row r="43" spans="1:9" ht="12.75">
      <c r="A43" s="90">
        <v>39355</v>
      </c>
      <c r="B43" s="91">
        <f t="shared" si="0"/>
        <v>2</v>
      </c>
      <c r="C43" s="41">
        <f t="shared" si="2"/>
        <v>455630000</v>
      </c>
      <c r="D43" s="41"/>
      <c r="E43" s="92">
        <f>E41</f>
        <v>0.0818</v>
      </c>
      <c r="F43" s="41">
        <f>((C42+D42)*E43/360*B42)+((C43+D43)*E43/360*B43)</f>
        <v>9929806.522222223</v>
      </c>
      <c r="G43" s="41"/>
      <c r="H43" s="91"/>
      <c r="I43" s="96"/>
    </row>
    <row r="44" spans="1:9" ht="12.75">
      <c r="A44" s="90">
        <v>39444</v>
      </c>
      <c r="B44" s="91">
        <f t="shared" si="0"/>
        <v>89</v>
      </c>
      <c r="C44" s="41">
        <f t="shared" si="2"/>
        <v>435820000</v>
      </c>
      <c r="D44" s="41">
        <f>D42</f>
        <v>19810000</v>
      </c>
      <c r="E44" s="95"/>
      <c r="F44" s="91"/>
      <c r="G44" s="41"/>
      <c r="H44" s="91"/>
      <c r="I44" s="96"/>
    </row>
    <row r="45" spans="1:9" ht="12.75">
      <c r="A45" s="97">
        <v>39447</v>
      </c>
      <c r="B45" s="98">
        <f t="shared" si="0"/>
        <v>3</v>
      </c>
      <c r="C45" s="99">
        <f t="shared" si="2"/>
        <v>435820000</v>
      </c>
      <c r="D45" s="99"/>
      <c r="E45" s="100">
        <f>E43</f>
        <v>0.0818</v>
      </c>
      <c r="F45" s="99">
        <f>((C44+D44)*E45/360*B44)+((C45+D45)*E45/360*B45)</f>
        <v>9511188.205555556</v>
      </c>
      <c r="G45" s="101">
        <f>SUM(F39:F45)</f>
        <v>40425925.82777778</v>
      </c>
      <c r="H45" s="101">
        <f>SUM(D38:D45)</f>
        <v>79240000</v>
      </c>
      <c r="I45" s="102">
        <f>SUM(G45:H45)</f>
        <v>119665925.82777777</v>
      </c>
    </row>
    <row r="46" spans="1:9" ht="12.75">
      <c r="A46" s="103">
        <v>39535</v>
      </c>
      <c r="B46" s="104">
        <f t="shared" si="0"/>
        <v>88</v>
      </c>
      <c r="C46" s="42">
        <f t="shared" si="2"/>
        <v>416010000</v>
      </c>
      <c r="D46" s="42">
        <f>D44</f>
        <v>19810000</v>
      </c>
      <c r="E46" s="105"/>
      <c r="F46" s="104"/>
      <c r="G46" s="42"/>
      <c r="H46" s="104"/>
      <c r="I46" s="106"/>
    </row>
    <row r="47" spans="1:9" ht="12.75">
      <c r="A47" s="90">
        <v>39538</v>
      </c>
      <c r="B47" s="91">
        <f t="shared" si="0"/>
        <v>3</v>
      </c>
      <c r="C47" s="41">
        <f t="shared" si="2"/>
        <v>416010000</v>
      </c>
      <c r="D47" s="41"/>
      <c r="E47" s="92">
        <f>E45</f>
        <v>0.0818</v>
      </c>
      <c r="F47" s="41">
        <f>((C46+D46)*E47/360*B46)+((C47+D47)*E47/360*B47)</f>
        <v>8998043.172222221</v>
      </c>
      <c r="G47" s="41"/>
      <c r="H47" s="91"/>
      <c r="I47" s="96"/>
    </row>
    <row r="48" spans="1:9" ht="12.75">
      <c r="A48" s="90">
        <v>39627</v>
      </c>
      <c r="B48" s="91">
        <f aca="true" t="shared" si="3" ref="B48:B69">A48-A47</f>
        <v>89</v>
      </c>
      <c r="C48" s="41">
        <f t="shared" si="2"/>
        <v>396200000</v>
      </c>
      <c r="D48" s="41">
        <f>D46</f>
        <v>19810000</v>
      </c>
      <c r="E48" s="95"/>
      <c r="F48" s="91"/>
      <c r="G48" s="41"/>
      <c r="H48" s="91"/>
      <c r="I48" s="96"/>
    </row>
    <row r="49" spans="1:9" ht="12.75">
      <c r="A49" s="90">
        <v>39629</v>
      </c>
      <c r="B49" s="91">
        <f t="shared" si="3"/>
        <v>2</v>
      </c>
      <c r="C49" s="41">
        <f t="shared" si="2"/>
        <v>396200000</v>
      </c>
      <c r="D49" s="41"/>
      <c r="E49" s="92">
        <f>E47</f>
        <v>0.0818</v>
      </c>
      <c r="F49" s="41">
        <f>((C48+D48)*E49/360*B48)+((C49+D49)*E49/360*B49)</f>
        <v>8592928.672222221</v>
      </c>
      <c r="G49" s="41"/>
      <c r="H49" s="91"/>
      <c r="I49" s="96"/>
    </row>
    <row r="50" spans="1:9" ht="12.75">
      <c r="A50" s="90">
        <v>39719</v>
      </c>
      <c r="B50" s="91">
        <f t="shared" si="3"/>
        <v>90</v>
      </c>
      <c r="C50" s="41">
        <f t="shared" si="2"/>
        <v>376390000</v>
      </c>
      <c r="D50" s="41">
        <f>D48</f>
        <v>19810000</v>
      </c>
      <c r="E50" s="95"/>
      <c r="F50" s="91"/>
      <c r="G50" s="41"/>
      <c r="H50" s="91"/>
      <c r="I50" s="96"/>
    </row>
    <row r="51" spans="1:9" ht="12.75">
      <c r="A51" s="90">
        <v>39721</v>
      </c>
      <c r="B51" s="91">
        <f t="shared" si="3"/>
        <v>2</v>
      </c>
      <c r="C51" s="41">
        <f t="shared" si="2"/>
        <v>376390000</v>
      </c>
      <c r="D51" s="41"/>
      <c r="E51" s="92">
        <f>E49</f>
        <v>0.0818</v>
      </c>
      <c r="F51" s="41">
        <f>((C50+D50)*E51/360*B50)+((C51+D51)*E51/360*B51)</f>
        <v>8273338.3444444435</v>
      </c>
      <c r="G51" s="41"/>
      <c r="H51" s="91"/>
      <c r="I51" s="96"/>
    </row>
    <row r="52" spans="1:9" ht="12.75">
      <c r="A52" s="90">
        <v>39810</v>
      </c>
      <c r="B52" s="91">
        <f t="shared" si="3"/>
        <v>89</v>
      </c>
      <c r="C52" s="41">
        <f t="shared" si="2"/>
        <v>356580000</v>
      </c>
      <c r="D52" s="41">
        <f>D50</f>
        <v>19810000</v>
      </c>
      <c r="E52" s="95"/>
      <c r="F52" s="91"/>
      <c r="G52" s="41"/>
      <c r="H52" s="91"/>
      <c r="I52" s="96"/>
    </row>
    <row r="53" spans="1:9" ht="12.75">
      <c r="A53" s="97">
        <v>39813</v>
      </c>
      <c r="B53" s="98">
        <f t="shared" si="3"/>
        <v>3</v>
      </c>
      <c r="C53" s="99">
        <f t="shared" si="2"/>
        <v>356580000</v>
      </c>
      <c r="D53" s="99"/>
      <c r="E53" s="100">
        <f>E51</f>
        <v>0.0818</v>
      </c>
      <c r="F53" s="99">
        <f>((C52+D52)*E53/360*B52)+((C53+D53)*E53/360*B53)</f>
        <v>7854720.027777777</v>
      </c>
      <c r="G53" s="101">
        <f>SUM(F47:F53)</f>
        <v>33719030.21666666</v>
      </c>
      <c r="H53" s="101">
        <f>SUM(D46:D53)</f>
        <v>79240000</v>
      </c>
      <c r="I53" s="102">
        <f>SUM(G53:H53)</f>
        <v>112959030.21666667</v>
      </c>
    </row>
    <row r="54" spans="1:9" ht="12.75">
      <c r="A54" s="103">
        <v>39900</v>
      </c>
      <c r="B54" s="104">
        <f t="shared" si="3"/>
        <v>87</v>
      </c>
      <c r="C54" s="42">
        <f t="shared" si="2"/>
        <v>336770000</v>
      </c>
      <c r="D54" s="42">
        <f>D52</f>
        <v>19810000</v>
      </c>
      <c r="E54" s="105"/>
      <c r="F54" s="104"/>
      <c r="G54" s="42"/>
      <c r="H54" s="104"/>
      <c r="I54" s="106"/>
    </row>
    <row r="55" spans="1:9" ht="12.75">
      <c r="A55" s="90">
        <v>39903</v>
      </c>
      <c r="B55" s="91">
        <f t="shared" si="3"/>
        <v>3</v>
      </c>
      <c r="C55" s="41">
        <f t="shared" si="2"/>
        <v>336770000</v>
      </c>
      <c r="D55" s="41"/>
      <c r="E55" s="92">
        <f>E53</f>
        <v>0.0818</v>
      </c>
      <c r="F55" s="41">
        <f>((C54+D54)*E55/360*B54)+((C55+D55)*E55/360*B55)</f>
        <v>7278557.183333334</v>
      </c>
      <c r="G55" s="41"/>
      <c r="H55" s="91"/>
      <c r="I55" s="96"/>
    </row>
    <row r="56" spans="1:9" ht="12.75">
      <c r="A56" s="90">
        <v>39992</v>
      </c>
      <c r="B56" s="91">
        <f t="shared" si="3"/>
        <v>89</v>
      </c>
      <c r="C56" s="41">
        <f t="shared" si="2"/>
        <v>316960000</v>
      </c>
      <c r="D56" s="41">
        <f>D54</f>
        <v>19810000</v>
      </c>
      <c r="E56" s="95"/>
      <c r="F56" s="91"/>
      <c r="G56" s="41"/>
      <c r="H56" s="91"/>
      <c r="I56" s="96"/>
    </row>
    <row r="57" spans="1:9" ht="12.75">
      <c r="A57" s="90">
        <v>39994</v>
      </c>
      <c r="B57" s="91">
        <f t="shared" si="3"/>
        <v>2</v>
      </c>
      <c r="C57" s="41">
        <f t="shared" si="2"/>
        <v>316960000</v>
      </c>
      <c r="D57" s="41"/>
      <c r="E57" s="92">
        <f>E55</f>
        <v>0.0818</v>
      </c>
      <c r="F57" s="41">
        <f>((C56+D56)*E57/360*B56)+((C57+D57)*E57/360*B57)</f>
        <v>6954465.583333332</v>
      </c>
      <c r="G57" s="41"/>
      <c r="H57" s="91"/>
      <c r="I57" s="96"/>
    </row>
    <row r="58" spans="1:9" ht="12.75">
      <c r="A58" s="90">
        <v>40084</v>
      </c>
      <c r="B58" s="91">
        <f t="shared" si="3"/>
        <v>90</v>
      </c>
      <c r="C58" s="41">
        <f t="shared" si="2"/>
        <v>297150000</v>
      </c>
      <c r="D58" s="41">
        <f>D56</f>
        <v>19810000</v>
      </c>
      <c r="E58" s="95"/>
      <c r="F58" s="91"/>
      <c r="G58" s="41"/>
      <c r="H58" s="91"/>
      <c r="I58" s="96"/>
    </row>
    <row r="59" spans="1:9" ht="12.75">
      <c r="A59" s="90">
        <v>40086</v>
      </c>
      <c r="B59" s="91">
        <f t="shared" si="3"/>
        <v>2</v>
      </c>
      <c r="C59" s="41">
        <f t="shared" si="2"/>
        <v>297150000</v>
      </c>
      <c r="D59" s="41"/>
      <c r="E59" s="92">
        <f>E57</f>
        <v>0.0818</v>
      </c>
      <c r="F59" s="41">
        <f>((C58+D58)*E59/360*B58)+((C59+D59)*E59/360*B59)</f>
        <v>6616870.166666667</v>
      </c>
      <c r="G59" s="41"/>
      <c r="H59" s="91"/>
      <c r="I59" s="96"/>
    </row>
    <row r="60" spans="1:9" ht="12.75">
      <c r="A60" s="90">
        <v>40175</v>
      </c>
      <c r="B60" s="91">
        <f t="shared" si="3"/>
        <v>89</v>
      </c>
      <c r="C60" s="41">
        <f t="shared" si="2"/>
        <v>277340000</v>
      </c>
      <c r="D60" s="41">
        <f>D58</f>
        <v>19810000</v>
      </c>
      <c r="E60" s="95"/>
      <c r="F60" s="91"/>
      <c r="G60" s="41"/>
      <c r="H60" s="91"/>
      <c r="I60" s="96"/>
    </row>
    <row r="61" spans="1:9" ht="12.75">
      <c r="A61" s="97">
        <v>40178</v>
      </c>
      <c r="B61" s="98">
        <f t="shared" si="3"/>
        <v>3</v>
      </c>
      <c r="C61" s="99">
        <f t="shared" si="2"/>
        <v>277340000</v>
      </c>
      <c r="D61" s="99"/>
      <c r="E61" s="100">
        <f>E59</f>
        <v>0.0818</v>
      </c>
      <c r="F61" s="99">
        <f>((C60+D60)*E61/360*B60)+((C61+D61)*E61/360*B61)</f>
        <v>6198251.85</v>
      </c>
      <c r="G61" s="101">
        <f>SUM(F55:F61)</f>
        <v>27048144.78333333</v>
      </c>
      <c r="H61" s="101">
        <f>SUM(D54:D61)</f>
        <v>79240000</v>
      </c>
      <c r="I61" s="102">
        <f>SUM(G61:H61)</f>
        <v>106288144.78333333</v>
      </c>
    </row>
    <row r="62" spans="1:9" ht="12.75">
      <c r="A62" s="103">
        <v>40265</v>
      </c>
      <c r="B62" s="104">
        <f t="shared" si="3"/>
        <v>87</v>
      </c>
      <c r="C62" s="42">
        <f t="shared" si="2"/>
        <v>257530000</v>
      </c>
      <c r="D62" s="42">
        <f>D60</f>
        <v>19810000</v>
      </c>
      <c r="E62" s="105"/>
      <c r="F62" s="104"/>
      <c r="G62" s="42"/>
      <c r="H62" s="104"/>
      <c r="I62" s="106"/>
    </row>
    <row r="63" spans="1:9" ht="12.75">
      <c r="A63" s="90">
        <v>40268</v>
      </c>
      <c r="B63" s="91">
        <f t="shared" si="3"/>
        <v>3</v>
      </c>
      <c r="C63" s="41">
        <f t="shared" si="2"/>
        <v>257530000</v>
      </c>
      <c r="D63" s="41"/>
      <c r="E63" s="92">
        <f>E61</f>
        <v>0.0818</v>
      </c>
      <c r="F63" s="41">
        <f>((C62+D62)*E63/360*B62)+((C63+D63)*E63/360*B63)</f>
        <v>5658099.183333334</v>
      </c>
      <c r="G63" s="41"/>
      <c r="H63" s="91"/>
      <c r="I63" s="96"/>
    </row>
    <row r="64" spans="1:9" ht="12.75">
      <c r="A64" s="90">
        <v>40357</v>
      </c>
      <c r="B64" s="91">
        <f t="shared" si="3"/>
        <v>89</v>
      </c>
      <c r="C64" s="41">
        <f t="shared" si="2"/>
        <v>237720000</v>
      </c>
      <c r="D64" s="41">
        <f>D62</f>
        <v>19810000</v>
      </c>
      <c r="E64" s="92"/>
      <c r="F64" s="41"/>
      <c r="G64" s="41"/>
      <c r="H64" s="91"/>
      <c r="I64" s="96"/>
    </row>
    <row r="65" spans="1:9" ht="12.75">
      <c r="A65" s="90">
        <v>40359</v>
      </c>
      <c r="B65" s="91">
        <f t="shared" si="3"/>
        <v>2</v>
      </c>
      <c r="C65" s="41">
        <f t="shared" si="2"/>
        <v>237720000</v>
      </c>
      <c r="D65" s="41"/>
      <c r="E65" s="92">
        <f>E63</f>
        <v>0.0818</v>
      </c>
      <c r="F65" s="41">
        <f>((C64+D64)*E65/360*B64)+((C65+D65)*E65/360*B65)</f>
        <v>5316002.494444445</v>
      </c>
      <c r="G65" s="41"/>
      <c r="H65" s="91"/>
      <c r="I65" s="96"/>
    </row>
    <row r="66" spans="1:9" ht="12.75">
      <c r="A66" s="90">
        <v>40449</v>
      </c>
      <c r="B66" s="91">
        <f t="shared" si="3"/>
        <v>90</v>
      </c>
      <c r="C66" s="41">
        <f t="shared" si="2"/>
        <v>217910000</v>
      </c>
      <c r="D66" s="41">
        <f>D64</f>
        <v>19810000</v>
      </c>
      <c r="E66" s="92"/>
      <c r="F66" s="41"/>
      <c r="G66" s="41"/>
      <c r="H66" s="91"/>
      <c r="I66" s="96"/>
    </row>
    <row r="67" spans="1:9" ht="12.75">
      <c r="A67" s="90">
        <v>40451</v>
      </c>
      <c r="B67" s="91">
        <f t="shared" si="3"/>
        <v>2</v>
      </c>
      <c r="C67" s="41">
        <f t="shared" si="2"/>
        <v>217910000</v>
      </c>
      <c r="D67" s="41"/>
      <c r="E67" s="92">
        <f>E65</f>
        <v>0.0818</v>
      </c>
      <c r="F67" s="41">
        <f>((C66+D66)*E67/360*B66)+((C67+D67)*E67/360*B67)</f>
        <v>4960401.988888889</v>
      </c>
      <c r="G67" s="41"/>
      <c r="H67" s="91"/>
      <c r="I67" s="96"/>
    </row>
    <row r="68" spans="1:9" ht="12.75">
      <c r="A68" s="90">
        <v>40540</v>
      </c>
      <c r="B68" s="91">
        <f t="shared" si="3"/>
        <v>89</v>
      </c>
      <c r="C68" s="41">
        <f>C67-D68</f>
        <v>198100000</v>
      </c>
      <c r="D68" s="41">
        <f>D66</f>
        <v>19810000</v>
      </c>
      <c r="E68" s="95"/>
      <c r="F68" s="91"/>
      <c r="G68" s="41"/>
      <c r="H68" s="91"/>
      <c r="I68" s="96"/>
    </row>
    <row r="69" spans="1:9" ht="12.75">
      <c r="A69" s="97">
        <v>40543</v>
      </c>
      <c r="B69" s="98">
        <f t="shared" si="3"/>
        <v>3</v>
      </c>
      <c r="C69" s="99">
        <f>C68-D69</f>
        <v>198100000</v>
      </c>
      <c r="D69" s="99"/>
      <c r="E69" s="100">
        <f>E67</f>
        <v>0.0818</v>
      </c>
      <c r="F69" s="99">
        <f>((C68+D68)*E69/360*B68)</f>
        <v>4406745.505555555</v>
      </c>
      <c r="G69" s="101">
        <f>SUM(F62:F69)</f>
        <v>20341249.172222223</v>
      </c>
      <c r="H69" s="101">
        <f>SUM(D62:D69)</f>
        <v>79240000</v>
      </c>
      <c r="I69" s="102">
        <f>SUM(G69:H69)</f>
        <v>99581249.17222223</v>
      </c>
    </row>
    <row r="70" spans="1:9" ht="12.75">
      <c r="A70" s="103">
        <v>40630</v>
      </c>
      <c r="B70" s="104">
        <f aca="true" t="shared" si="4" ref="B70:B75">A70-A69</f>
        <v>87</v>
      </c>
      <c r="C70" s="42">
        <f aca="true" t="shared" si="5" ref="C70:C75">C69-D70</f>
        <v>178290000</v>
      </c>
      <c r="D70" s="42">
        <f>D68</f>
        <v>19810000</v>
      </c>
      <c r="E70" s="105"/>
      <c r="F70" s="104"/>
      <c r="G70" s="42"/>
      <c r="H70" s="104"/>
      <c r="I70" s="106"/>
    </row>
    <row r="71" spans="1:9" ht="12.75">
      <c r="A71" s="90">
        <v>40633</v>
      </c>
      <c r="B71" s="91">
        <f t="shared" si="4"/>
        <v>3</v>
      </c>
      <c r="C71" s="41">
        <f t="shared" si="5"/>
        <v>178290000</v>
      </c>
      <c r="D71" s="41"/>
      <c r="E71" s="92">
        <f>E69</f>
        <v>0.0818</v>
      </c>
      <c r="F71" s="41">
        <f>((C70+D70)*E71/360*B70)+((C71+D71)*E71/360*B71)</f>
        <v>4037641.183333333</v>
      </c>
      <c r="G71" s="41"/>
      <c r="H71" s="91"/>
      <c r="I71" s="96"/>
    </row>
    <row r="72" spans="1:9" ht="12.75">
      <c r="A72" s="90">
        <v>40722</v>
      </c>
      <c r="B72" s="91">
        <f t="shared" si="4"/>
        <v>89</v>
      </c>
      <c r="C72" s="41">
        <f t="shared" si="5"/>
        <v>158480000</v>
      </c>
      <c r="D72" s="41">
        <f>D70</f>
        <v>19810000</v>
      </c>
      <c r="E72" s="92"/>
      <c r="F72" s="41"/>
      <c r="G72" s="41"/>
      <c r="H72" s="91"/>
      <c r="I72" s="96"/>
    </row>
    <row r="73" spans="1:9" ht="12.75">
      <c r="A73" s="90">
        <v>40724</v>
      </c>
      <c r="B73" s="91">
        <f t="shared" si="4"/>
        <v>2</v>
      </c>
      <c r="C73" s="41">
        <f t="shared" si="5"/>
        <v>158480000</v>
      </c>
      <c r="D73" s="41"/>
      <c r="E73" s="92">
        <f>E71</f>
        <v>0.0818</v>
      </c>
      <c r="F73" s="41">
        <f>((C72+D72)*E73/360*B72)+((C73+D73)*E73/360*B73)</f>
        <v>3677539.4055555556</v>
      </c>
      <c r="G73" s="41"/>
      <c r="H73" s="91"/>
      <c r="I73" s="96"/>
    </row>
    <row r="74" spans="1:9" ht="12.75">
      <c r="A74" s="90">
        <v>40814</v>
      </c>
      <c r="B74" s="91">
        <f t="shared" si="4"/>
        <v>90</v>
      </c>
      <c r="C74" s="41">
        <f t="shared" si="5"/>
        <v>138670000</v>
      </c>
      <c r="D74" s="41">
        <f>D72</f>
        <v>19810000</v>
      </c>
      <c r="E74" s="92"/>
      <c r="F74" s="41"/>
      <c r="G74" s="41"/>
      <c r="H74" s="91"/>
      <c r="I74" s="96"/>
    </row>
    <row r="75" spans="1:9" ht="12.75">
      <c r="A75" s="90">
        <v>40816</v>
      </c>
      <c r="B75" s="91">
        <f t="shared" si="4"/>
        <v>2</v>
      </c>
      <c r="C75" s="41">
        <f t="shared" si="5"/>
        <v>138670000</v>
      </c>
      <c r="D75" s="41"/>
      <c r="E75" s="92">
        <f>E73</f>
        <v>0.0818</v>
      </c>
      <c r="F75" s="41">
        <f>((C74+D74)*E75/360*B74)+((C75+D75)*E75/360*B75)</f>
        <v>3303933.811111111</v>
      </c>
      <c r="G75" s="41"/>
      <c r="H75" s="91"/>
      <c r="I75" s="96"/>
    </row>
    <row r="76" spans="1:9" ht="12.75">
      <c r="A76" s="90">
        <v>40905</v>
      </c>
      <c r="B76" s="91">
        <f>A76-A75</f>
        <v>89</v>
      </c>
      <c r="C76" s="41">
        <f>C75-D76</f>
        <v>118860000</v>
      </c>
      <c r="D76" s="41">
        <f>D74</f>
        <v>19810000</v>
      </c>
      <c r="E76" s="95"/>
      <c r="F76" s="91"/>
      <c r="G76" s="41"/>
      <c r="H76" s="91"/>
      <c r="I76" s="96"/>
    </row>
    <row r="77" spans="1:9" ht="12.75">
      <c r="A77" s="97">
        <v>40908</v>
      </c>
      <c r="B77" s="98">
        <f>A77-A76</f>
        <v>3</v>
      </c>
      <c r="C77" s="99">
        <f>C76-D77</f>
        <v>118860000</v>
      </c>
      <c r="D77" s="99"/>
      <c r="E77" s="100">
        <f>E75</f>
        <v>0.0818</v>
      </c>
      <c r="F77" s="99">
        <f>((C76+D76)*E77/360*B76)</f>
        <v>2804292.5944444444</v>
      </c>
      <c r="G77" s="101">
        <f>SUM(F70:F77)</f>
        <v>13823406.994444445</v>
      </c>
      <c r="H77" s="101">
        <f>SUM(D70:D77)</f>
        <v>79240000</v>
      </c>
      <c r="I77" s="102">
        <f>SUM(G77:H77)</f>
        <v>93063406.99444444</v>
      </c>
    </row>
    <row r="78" spans="1:9" ht="12.75">
      <c r="A78" s="103">
        <v>40996</v>
      </c>
      <c r="B78" s="104">
        <f aca="true" t="shared" si="6" ref="B78:B83">A78-A77</f>
        <v>88</v>
      </c>
      <c r="C78" s="42">
        <f aca="true" t="shared" si="7" ref="C78:C83">C77-D78</f>
        <v>99050000</v>
      </c>
      <c r="D78" s="42">
        <f>D76</f>
        <v>19810000</v>
      </c>
      <c r="E78" s="105"/>
      <c r="F78" s="104"/>
      <c r="G78" s="42"/>
      <c r="H78" s="104"/>
      <c r="I78" s="106"/>
    </row>
    <row r="79" spans="1:9" ht="12.75">
      <c r="A79" s="90">
        <v>40999</v>
      </c>
      <c r="B79" s="91">
        <f t="shared" si="6"/>
        <v>3</v>
      </c>
      <c r="C79" s="41">
        <f t="shared" si="7"/>
        <v>99050000</v>
      </c>
      <c r="D79" s="41"/>
      <c r="E79" s="92">
        <f>E77</f>
        <v>0.0818</v>
      </c>
      <c r="F79" s="41">
        <f>((C78+D78)*E79/360*B78)+((C79+D79)*E79/360*B79)</f>
        <v>2444190.816666667</v>
      </c>
      <c r="G79" s="41"/>
      <c r="H79" s="91"/>
      <c r="I79" s="96"/>
    </row>
    <row r="80" spans="1:9" ht="12.75">
      <c r="A80" s="90">
        <v>41088</v>
      </c>
      <c r="B80" s="91">
        <f t="shared" si="6"/>
        <v>89</v>
      </c>
      <c r="C80" s="41">
        <f t="shared" si="7"/>
        <v>79240000</v>
      </c>
      <c r="D80" s="41">
        <f>D78</f>
        <v>19810000</v>
      </c>
      <c r="E80" s="92"/>
      <c r="F80" s="41"/>
      <c r="G80" s="41"/>
      <c r="H80" s="91"/>
      <c r="I80" s="96"/>
    </row>
    <row r="81" spans="1:9" ht="12.75">
      <c r="A81" s="90">
        <v>41090</v>
      </c>
      <c r="B81" s="91">
        <f t="shared" si="6"/>
        <v>2</v>
      </c>
      <c r="C81" s="41">
        <f t="shared" si="7"/>
        <v>79240000</v>
      </c>
      <c r="D81" s="41"/>
      <c r="E81" s="92">
        <f>E79</f>
        <v>0.0818</v>
      </c>
      <c r="F81" s="41">
        <f>((C80+D80)*E81/360*B80)+((C81+D81)*E81/360*B81)</f>
        <v>2039076.3166666664</v>
      </c>
      <c r="G81" s="41"/>
      <c r="H81" s="91"/>
      <c r="I81" s="96"/>
    </row>
    <row r="82" spans="1:9" ht="12.75">
      <c r="A82" s="90">
        <v>41180</v>
      </c>
      <c r="B82" s="91">
        <f t="shared" si="6"/>
        <v>90</v>
      </c>
      <c r="C82" s="41">
        <f t="shared" si="7"/>
        <v>59430000</v>
      </c>
      <c r="D82" s="41">
        <f>D80</f>
        <v>19810000</v>
      </c>
      <c r="E82" s="92"/>
      <c r="F82" s="41"/>
      <c r="G82" s="41"/>
      <c r="H82" s="91"/>
      <c r="I82" s="96"/>
    </row>
    <row r="83" spans="1:9" ht="12.75">
      <c r="A83" s="90">
        <v>41182</v>
      </c>
      <c r="B83" s="91">
        <f t="shared" si="6"/>
        <v>2</v>
      </c>
      <c r="C83" s="41">
        <f t="shared" si="7"/>
        <v>59430000</v>
      </c>
      <c r="D83" s="41"/>
      <c r="E83" s="92">
        <f>E81</f>
        <v>0.0818</v>
      </c>
      <c r="F83" s="41">
        <f>((C82+D82)*E83/360*B82)+((C83+D83)*E83/360*B83)</f>
        <v>1647465.6333333333</v>
      </c>
      <c r="G83" s="41"/>
      <c r="H83" s="91"/>
      <c r="I83" s="96"/>
    </row>
    <row r="84" spans="1:9" ht="12.75">
      <c r="A84" s="90">
        <v>41271</v>
      </c>
      <c r="B84" s="91">
        <f>A84-A83</f>
        <v>89</v>
      </c>
      <c r="C84" s="41">
        <f>C83-D84</f>
        <v>39620000</v>
      </c>
      <c r="D84" s="41">
        <f>D82</f>
        <v>19810000</v>
      </c>
      <c r="E84" s="95"/>
      <c r="F84" s="91"/>
      <c r="G84" s="41"/>
      <c r="H84" s="91"/>
      <c r="I84" s="96"/>
    </row>
    <row r="85" spans="1:9" ht="12.75">
      <c r="A85" s="97">
        <v>41274</v>
      </c>
      <c r="B85" s="98">
        <f>A85-A84</f>
        <v>3</v>
      </c>
      <c r="C85" s="99">
        <f>C84-D85</f>
        <v>39620000</v>
      </c>
      <c r="D85" s="99"/>
      <c r="E85" s="100">
        <f>E83</f>
        <v>0.0818</v>
      </c>
      <c r="F85" s="99">
        <f>((C84+D84)*E85/360*B84)</f>
        <v>1201839.6833333333</v>
      </c>
      <c r="G85" s="101">
        <f>SUM(F78:F85)</f>
        <v>7332572.449999999</v>
      </c>
      <c r="H85" s="101">
        <f>SUM(D78:D85)</f>
        <v>79240000</v>
      </c>
      <c r="I85" s="102">
        <f>SUM(G85:H85)</f>
        <v>86572572.45</v>
      </c>
    </row>
    <row r="86" spans="1:9" ht="12.75">
      <c r="A86" s="103">
        <v>41361</v>
      </c>
      <c r="B86" s="104">
        <f>A86-A85</f>
        <v>87</v>
      </c>
      <c r="C86" s="42">
        <f>C85-D86</f>
        <v>19810000</v>
      </c>
      <c r="D86" s="42">
        <f>D84</f>
        <v>19810000</v>
      </c>
      <c r="E86" s="105"/>
      <c r="F86" s="104"/>
      <c r="G86" s="42"/>
      <c r="H86" s="104"/>
      <c r="I86" s="106"/>
    </row>
    <row r="87" spans="1:9" ht="12.75">
      <c r="A87" s="90">
        <v>41364</v>
      </c>
      <c r="B87" s="91">
        <f>A87-A86</f>
        <v>3</v>
      </c>
      <c r="C87" s="41">
        <f>C86-D87</f>
        <v>19810000</v>
      </c>
      <c r="D87" s="41"/>
      <c r="E87" s="92">
        <f>E85</f>
        <v>0.0818</v>
      </c>
      <c r="F87" s="41">
        <f>((C86+D86)*E87/360*B86)+((C87+D87)*E87/360*B87)</f>
        <v>796725.1833333332</v>
      </c>
      <c r="G87" s="41"/>
      <c r="H87" s="91"/>
      <c r="I87" s="96"/>
    </row>
    <row r="88" spans="1:9" ht="13.5" thickBot="1">
      <c r="A88" s="90">
        <v>41453</v>
      </c>
      <c r="B88" s="91">
        <f>A88-A87</f>
        <v>89</v>
      </c>
      <c r="C88" s="41">
        <f>C87-D88</f>
        <v>0</v>
      </c>
      <c r="D88" s="41">
        <f>D86</f>
        <v>19810000</v>
      </c>
      <c r="E88" s="92">
        <f>E87</f>
        <v>0.0818</v>
      </c>
      <c r="F88" s="41">
        <f>((C88+D88)*E88/360*B88)</f>
        <v>400613.22777777776</v>
      </c>
      <c r="G88" s="300">
        <f>SUM(F86:F88)</f>
        <v>1197338.411111111</v>
      </c>
      <c r="H88" s="300">
        <f>SUM(D86:D88)</f>
        <v>39620000</v>
      </c>
      <c r="I88" s="301">
        <f>SUM(G88:H88)</f>
        <v>40817338.41111111</v>
      </c>
    </row>
    <row r="89" spans="1:9" ht="13.5" thickTop="1">
      <c r="A89" s="471" t="s">
        <v>14</v>
      </c>
      <c r="B89" s="472"/>
      <c r="C89" s="473"/>
      <c r="D89" s="120">
        <f>SUM(D8:D88)</f>
        <v>713171000</v>
      </c>
      <c r="E89" s="121"/>
      <c r="F89" s="120">
        <f>SUM(F8:F88)</f>
        <v>323319412.8555556</v>
      </c>
      <c r="G89" s="120">
        <f>SUM(G8:G88)</f>
        <v>323319412.8555555</v>
      </c>
      <c r="H89" s="120">
        <f>SUM(H8:H88)</f>
        <v>713171000</v>
      </c>
      <c r="I89" s="122">
        <f>SUM(I8:I88)</f>
        <v>1036490412.8555557</v>
      </c>
    </row>
    <row r="90" ht="12.75">
      <c r="A90" s="123"/>
    </row>
    <row r="91" ht="12.75">
      <c r="A91" s="123"/>
    </row>
    <row r="92" spans="2:7" ht="12.75">
      <c r="B92" s="58"/>
      <c r="C92" s="58" t="s">
        <v>97</v>
      </c>
      <c r="D92" s="58"/>
      <c r="E92" s="125" t="s">
        <v>98</v>
      </c>
      <c r="G92" s="302">
        <v>301781952</v>
      </c>
    </row>
    <row r="93" spans="2:7" ht="12.75">
      <c r="B93" s="58"/>
      <c r="C93" s="58" t="s">
        <v>102</v>
      </c>
      <c r="D93" s="58"/>
      <c r="E93" s="125" t="s">
        <v>99</v>
      </c>
      <c r="G93" s="302">
        <v>312908472</v>
      </c>
    </row>
    <row r="94" spans="3:7" ht="12.75">
      <c r="C94" s="58" t="s">
        <v>103</v>
      </c>
      <c r="E94" s="125" t="s">
        <v>100</v>
      </c>
      <c r="G94" s="302">
        <v>66348184</v>
      </c>
    </row>
    <row r="95" spans="3:7" ht="12.75">
      <c r="C95" s="58" t="s">
        <v>104</v>
      </c>
      <c r="E95" s="125" t="s">
        <v>101</v>
      </c>
      <c r="G95" s="302">
        <v>13675934</v>
      </c>
    </row>
    <row r="96" spans="3:7" ht="12.75">
      <c r="C96" s="58" t="s">
        <v>105</v>
      </c>
      <c r="E96" s="125" t="s">
        <v>107</v>
      </c>
      <c r="G96" s="302">
        <v>10056414</v>
      </c>
    </row>
    <row r="97" spans="3:7" ht="13.5" thickBot="1">
      <c r="C97" s="58" t="s">
        <v>106</v>
      </c>
      <c r="E97" s="125" t="s">
        <v>108</v>
      </c>
      <c r="G97" s="302">
        <v>8400044</v>
      </c>
    </row>
    <row r="98" spans="3:7" ht="13.5" thickTop="1">
      <c r="C98" s="127" t="s">
        <v>14</v>
      </c>
      <c r="D98" s="127"/>
      <c r="E98" s="128"/>
      <c r="F98" s="129"/>
      <c r="G98" s="303">
        <f>SUM(G92:G97)</f>
        <v>713171000</v>
      </c>
    </row>
    <row r="99" ht="12.75">
      <c r="G99" s="302"/>
    </row>
    <row r="103" spans="2:7" ht="12.75">
      <c r="B103" s="58"/>
      <c r="E103" s="58"/>
      <c r="F103" s="124"/>
      <c r="G103" s="58"/>
    </row>
    <row r="104" spans="2:7" ht="12.75">
      <c r="B104" s="58"/>
      <c r="E104" s="58"/>
      <c r="F104" s="124"/>
      <c r="G104" s="58"/>
    </row>
    <row r="105" spans="2:7" ht="12.75">
      <c r="B105" s="58"/>
      <c r="E105" s="58"/>
      <c r="G105" s="58"/>
    </row>
    <row r="106" spans="2:7" ht="12.75">
      <c r="B106" s="58"/>
      <c r="E106" s="58"/>
      <c r="G106" s="58"/>
    </row>
    <row r="107" spans="2:7" ht="12.75">
      <c r="B107" s="58"/>
      <c r="E107" s="58"/>
      <c r="F107" s="124"/>
      <c r="G107" s="58"/>
    </row>
  </sheetData>
  <mergeCells count="1">
    <mergeCell ref="A89:C89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scale="95" r:id="rId1"/>
  <headerFooter alignWithMargins="0">
    <oddHeader xml:space="preserve">&amp;C&amp;"Times New Roman CE,Félkövér"&amp;12Adósságszolgálat számítása az OTP tájékoztatója alapján&amp;"Times New Roman CE,Félkövér dőlt"
2003. októberben és decemberben felvett 713.171 eFt  célhitel </oddHeader>
    <oddFooter>&amp;LNyomtatás dátuma: &amp;D
C:\Andi\adósságszolgálat\&amp;F\&amp;A&amp;R&amp;P/&amp;N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2007-04-03T13:33:25Z</cp:lastPrinted>
  <dcterms:created xsi:type="dcterms:W3CDTF">2000-10-04T12:37:09Z</dcterms:created>
  <dcterms:modified xsi:type="dcterms:W3CDTF">2007-04-03T13:33:34Z</dcterms:modified>
  <cp:category/>
  <cp:version/>
  <cp:contentType/>
  <cp:contentStatus/>
</cp:coreProperties>
</file>