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95" tabRatio="601" firstSheet="15" activeTab="15"/>
  </bookViews>
  <sheets>
    <sheet name="előlap" sheetId="1" state="hidden" r:id="rId1"/>
    <sheet name="1998. évi 200 MFt (...03)" sheetId="2" state="hidden" r:id="rId2"/>
    <sheet name="1999. évi 200 MFt (...04)" sheetId="3" state="hidden" r:id="rId3"/>
    <sheet name="2000. dec-i 250 MFt (...05)" sheetId="4" state="hidden" r:id="rId4"/>
    <sheet name="2000. júl-i 200 MFt (...06)" sheetId="5" state="hidden" r:id="rId5"/>
    <sheet name="NA600-as vezeték (...07)" sheetId="6" state="hidden" r:id="rId6"/>
    <sheet name="2001.dec. - 2002.jún. (...08) " sheetId="7" state="hidden" r:id="rId7"/>
    <sheet name="2002. dec-i 305.133 eFt (...09)" sheetId="8" state="hidden" r:id="rId8"/>
    <sheet name="2003. okt. és dec. (...10)" sheetId="9" state="hidden" r:id="rId9"/>
    <sheet name="2004. szept. 718.793 eFt (..11)" sheetId="10" state="hidden" r:id="rId10"/>
    <sheet name="2005. évi 179.173 eFt (..12)" sheetId="11" state="hidden" r:id="rId11"/>
    <sheet name="2005. évi 607.314 eFt (..13)" sheetId="12" state="hidden" r:id="rId12"/>
    <sheet name="69 db bérlakásépítés (...11)" sheetId="13" state="hidden" r:id="rId13"/>
    <sheet name="59 db bérlakás (...12)" sheetId="14" state="hidden" r:id="rId14"/>
    <sheet name="Kecelhegyi bérlakás (...13)" sheetId="15" state="hidden" r:id="rId15"/>
    <sheet name="összesítő" sheetId="16" r:id="rId16"/>
  </sheets>
  <definedNames>
    <definedName name="_xlnm.Print_Titles" localSheetId="1">'1998. évi 200 MFt (...03)'!$1:$6</definedName>
    <definedName name="_xlnm.Print_Titles" localSheetId="2">'1999. évi 200 MFt (...04)'!$1:$6</definedName>
    <definedName name="_xlnm.Print_Titles" localSheetId="3">'2000. dec-i 250 MFt (...05)'!$1:$6</definedName>
    <definedName name="_xlnm.Print_Titles" localSheetId="4">'2000. júl-i 200 MFt (...06)'!$1:$6</definedName>
    <definedName name="_xlnm.Print_Titles" localSheetId="6">'2001.dec. - 2002.jún. (...08) '!$1:$7</definedName>
    <definedName name="_xlnm.Print_Titles" localSheetId="7">'2002. dec-i 305.133 eFt (...09)'!$1:$7</definedName>
    <definedName name="_xlnm.Print_Titles" localSheetId="8">'2003. okt. és dec. (...10)'!$1:$7</definedName>
    <definedName name="_xlnm.Print_Titles" localSheetId="9">'2004. szept. 718.793 eFt (..11)'!$1:$7</definedName>
    <definedName name="_xlnm.Print_Titles" localSheetId="10">'2005. évi 179.173 eFt (..12)'!$1:$6</definedName>
    <definedName name="_xlnm.Print_Titles" localSheetId="11">'2005. évi 607.314 eFt (..13)'!$2:$6</definedName>
    <definedName name="_xlnm.Print_Titles" localSheetId="13">'59 db bérlakás (...12)'!$1:$7</definedName>
    <definedName name="_xlnm.Print_Titles" localSheetId="12">'69 db bérlakásépítés (...11)'!$1:$7</definedName>
    <definedName name="_xlnm.Print_Titles" localSheetId="14">'Kecelhegyi bérlakás (...13)'!$1:$7</definedName>
    <definedName name="_xlnm.Print_Titles" localSheetId="5">'NA600-as vezeték (...07)'!$1:$7</definedName>
    <definedName name="_xlnm.Print_Titles" localSheetId="15">'összesítő'!$A:$A</definedName>
  </definedNames>
  <calcPr fullCalcOnLoad="1"/>
</workbook>
</file>

<file path=xl/sharedStrings.xml><?xml version="1.0" encoding="utf-8"?>
<sst xmlns="http://schemas.openxmlformats.org/spreadsheetml/2006/main" count="1588" uniqueCount="211">
  <si>
    <t xml:space="preserve">Kamat mértéke: 3 hónapos DKJ + 0,4 vagy 3 hónapos BUBOR + 0,2 </t>
  </si>
  <si>
    <t>Kamat mértéke: 3 hónapos BUBOR + 0,05</t>
  </si>
  <si>
    <t>(forint-ban)</t>
  </si>
  <si>
    <t>Dátum</t>
  </si>
  <si>
    <t>Napok</t>
  </si>
  <si>
    <t>Napvégi</t>
  </si>
  <si>
    <t>Éves</t>
  </si>
  <si>
    <t>száma</t>
  </si>
  <si>
    <t>egyenleg</t>
  </si>
  <si>
    <t>kamatteher</t>
  </si>
  <si>
    <t>adósság-</t>
  </si>
  <si>
    <t>tőke-</t>
  </si>
  <si>
    <t>szolgálat</t>
  </si>
  <si>
    <t>törlesztés</t>
  </si>
  <si>
    <t>Összesen:</t>
  </si>
  <si>
    <t>Kamat mértéke: 3 hónapos BUBOR + 0,1 %</t>
  </si>
  <si>
    <t>Türelmi idő: 1 év     Törlesztés: 7 év</t>
  </si>
  <si>
    <t>Türelmi idő: 1 év     Törlesztés: 9 év</t>
  </si>
  <si>
    <t>Kamatláb</t>
  </si>
  <si>
    <t>(%)</t>
  </si>
  <si>
    <t>Kamat-</t>
  </si>
  <si>
    <t>Tőke-</t>
  </si>
  <si>
    <t>Megnevezés</t>
  </si>
  <si>
    <t>2003. évi</t>
  </si>
  <si>
    <t>2004. évi</t>
  </si>
  <si>
    <t>2005. évi</t>
  </si>
  <si>
    <t>2006. évi</t>
  </si>
  <si>
    <t>2007. évi</t>
  </si>
  <si>
    <t>2008. évi</t>
  </si>
  <si>
    <t>2009. évi</t>
  </si>
  <si>
    <t>2010. évi</t>
  </si>
  <si>
    <t>2011. évi</t>
  </si>
  <si>
    <t>Kötelezett-</t>
  </si>
  <si>
    <t>Törlesztés</t>
  </si>
  <si>
    <t>ség I. 1-jén</t>
  </si>
  <si>
    <t>Hiteltartozások</t>
  </si>
  <si>
    <t>-</t>
  </si>
  <si>
    <t>1998. évben felvett fejlesztési célú hitel</t>
  </si>
  <si>
    <t>1999. évben felvett fejlesztési célú hitel</t>
  </si>
  <si>
    <t>2000. júliusban felvett 3 éves lejáratú hitel</t>
  </si>
  <si>
    <t>2000. decemberben felvett 5 éves lejáratú hitel</t>
  </si>
  <si>
    <t>NA 600-as vezeték kiváltásához szükséges hitel</t>
  </si>
  <si>
    <t>Hiteltartozás összesen</t>
  </si>
  <si>
    <t>Kamat</t>
  </si>
  <si>
    <t>Adósságszolgálat</t>
  </si>
  <si>
    <t>Adósságszolgálat mindösszesen</t>
  </si>
  <si>
    <t>Bérlakás építésre felvett hitel  2001. évi (69 db)</t>
  </si>
  <si>
    <t>Türelmi idő: 1 év   Törlesztés: 10 év</t>
  </si>
  <si>
    <t>%</t>
  </si>
  <si>
    <t>Türelmi idő: 1 év   Törlesztés: 20 év</t>
  </si>
  <si>
    <t>Kamat mértéke: 3,69 %</t>
  </si>
  <si>
    <t>2012. évi</t>
  </si>
  <si>
    <t>2013. évi</t>
  </si>
  <si>
    <t>2014. évi</t>
  </si>
  <si>
    <t>2015. évi</t>
  </si>
  <si>
    <t>2016. évi</t>
  </si>
  <si>
    <t>2017. évi</t>
  </si>
  <si>
    <t>2018. évi</t>
  </si>
  <si>
    <t>2019. évi</t>
  </si>
  <si>
    <t>2020. évi</t>
  </si>
  <si>
    <t>2021. évi</t>
  </si>
  <si>
    <t>2022. évi</t>
  </si>
  <si>
    <t>Bérlakás építésre felvett hitel   2002. évi (59 db)</t>
  </si>
  <si>
    <t>Bérlakás építésre felvett hitel   2001. évi (69 db)</t>
  </si>
  <si>
    <t>láb</t>
  </si>
  <si>
    <t xml:space="preserve">Türelmi idő: 1 év </t>
  </si>
  <si>
    <t>Törlesztés: 7 év</t>
  </si>
  <si>
    <t>Türelmi idő: 1 év    Törlesztés: 5 év</t>
  </si>
  <si>
    <t>Kamat, kezelési ktg. összesen</t>
  </si>
  <si>
    <t xml:space="preserve">2001. dec-ben és 2002. jún-ban felvett fejlesztési hitel </t>
  </si>
  <si>
    <t>Kamat, kezelési költség</t>
  </si>
  <si>
    <t>Kezelési költség: évi 1 %</t>
  </si>
  <si>
    <t>2008-as lejárattal számítva</t>
  </si>
  <si>
    <t>2007-es lejárattal számítva</t>
  </si>
  <si>
    <t>2009-es lejárattal számítva</t>
  </si>
  <si>
    <t>2012-es lejárattal számítva</t>
  </si>
  <si>
    <t>2010-es lejárattal számítva</t>
  </si>
  <si>
    <t>2002. decemberben felvett hitel</t>
  </si>
  <si>
    <t>Bérlakás építésre felvett hitel2002. évi (Kecelhegy)</t>
  </si>
  <si>
    <t>9 év futamidő</t>
  </si>
  <si>
    <t>2002. évi</t>
  </si>
  <si>
    <t>Megjegyzés:</t>
  </si>
  <si>
    <t xml:space="preserve">1998. évben felvett fejlesztési célú hitel </t>
  </si>
  <si>
    <t xml:space="preserve">1999. évben felvett fejlesztési célú hitel </t>
  </si>
  <si>
    <t xml:space="preserve">2000. júliusban felvett 3 éves lejáratú hitel </t>
  </si>
  <si>
    <t xml:space="preserve">2000. decemberben felvett 5 éves lejáratú hitel </t>
  </si>
  <si>
    <r>
      <t xml:space="preserve">NA 600-as vezeték kiváltásához szükséges hitel </t>
    </r>
    <r>
      <rPr>
        <b/>
        <sz val="10"/>
        <rFont val="Times New Roman CE"/>
        <family val="1"/>
      </rPr>
      <t>/1</t>
    </r>
  </si>
  <si>
    <r>
      <t xml:space="preserve">2001. dec-ben és 2002. jún-ban felvett fejlesztési hitel </t>
    </r>
    <r>
      <rPr>
        <b/>
        <sz val="10"/>
        <rFont val="Times New Roman CE"/>
        <family val="1"/>
      </rPr>
      <t>/2</t>
    </r>
  </si>
  <si>
    <t xml:space="preserve">   IV. részlet felvéve 2003. 06.11-én (22.256.001 Ft)</t>
  </si>
  <si>
    <t xml:space="preserve">Bérlakás építésre felvett hitel2002. évi (Kecelhegy) </t>
  </si>
  <si>
    <r>
      <t xml:space="preserve">Bérlakás építésre felvett hitel2002. évi (Kecelhegy) </t>
    </r>
    <r>
      <rPr>
        <b/>
        <sz val="10"/>
        <rFont val="Times New Roman CE"/>
        <family val="1"/>
      </rPr>
      <t>/4</t>
    </r>
  </si>
  <si>
    <r>
      <t>2003. oktben és decben felvett 713.171 eFt</t>
    </r>
    <r>
      <rPr>
        <sz val="10"/>
        <rFont val="Times New Roman CE"/>
        <family val="1"/>
      </rPr>
      <t xml:space="preserve"> hitel</t>
    </r>
  </si>
  <si>
    <r>
      <t>2003. oktben és decben felvett 713.171 eFt</t>
    </r>
    <r>
      <rPr>
        <sz val="10"/>
        <rFont val="Times New Roman CE"/>
        <family val="1"/>
      </rPr>
      <t xml:space="preserve"> hitel </t>
    </r>
    <r>
      <rPr>
        <b/>
        <sz val="10"/>
        <rFont val="Times New Roman CE"/>
        <family val="1"/>
      </rPr>
      <t>/3</t>
    </r>
  </si>
  <si>
    <r>
      <t>1</t>
    </r>
    <r>
      <rPr>
        <sz val="9"/>
        <rFont val="Times New Roman CE"/>
        <family val="1"/>
      </rPr>
      <t xml:space="preserve">/  II. részlet felvéve 2002. 12. 31-én (71.550.000 Ft)    </t>
    </r>
  </si>
  <si>
    <r>
      <t>2</t>
    </r>
    <r>
      <rPr>
        <sz val="9"/>
        <rFont val="Times New Roman CE"/>
        <family val="1"/>
      </rPr>
      <t>/  II. részlet felvéve 2002.06.30-án (147.603.900 Ft)</t>
    </r>
  </si>
  <si>
    <t>Az önkormányzat fejlesztési célú</t>
  </si>
  <si>
    <t>adósságszolgálatának alakulása</t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</si>
  <si>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1"/>
      </rPr>
      <t xml:space="preserve"> 0 3</t>
    </r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</si>
  <si>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1"/>
      </rPr>
      <t xml:space="preserve"> 0 4</t>
    </r>
  </si>
  <si>
    <r>
      <t xml:space="preserve">Számlaszám: </t>
    </r>
    <r>
      <rPr>
        <sz val="10"/>
        <rFont val="Times New Roman CE"/>
        <family val="1"/>
      </rPr>
      <t xml:space="preserve">0 1 3 2 0 3 9 8 0 0 </t>
    </r>
    <r>
      <rPr>
        <b/>
        <sz val="10"/>
        <rFont val="Times New Roman CE"/>
        <family val="1"/>
      </rPr>
      <t>0 6</t>
    </r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</si>
  <si>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1"/>
      </rPr>
      <t xml:space="preserve"> 0 5</t>
    </r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</si>
  <si>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1"/>
      </rPr>
      <t xml:space="preserve"> 0 8</t>
    </r>
  </si>
  <si>
    <r>
      <t xml:space="preserve">Számlaszám: </t>
    </r>
    <r>
      <rPr>
        <sz val="10"/>
        <rFont val="Times New Roman CE"/>
        <family val="1"/>
      </rPr>
      <t>0 1 3 2 3 3 9 8 0 0</t>
    </r>
    <r>
      <rPr>
        <b/>
        <sz val="10"/>
        <rFont val="Times New Roman CE"/>
        <family val="0"/>
      </rPr>
      <t xml:space="preserve"> 1 1</t>
    </r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</si>
  <si>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0"/>
      </rPr>
      <t xml:space="preserve"> 0 7</t>
    </r>
  </si>
  <si>
    <r>
      <t xml:space="preserve">Számlaszám: </t>
    </r>
    <r>
      <rPr>
        <sz val="10"/>
        <rFont val="Times New Roman CE"/>
        <family val="1"/>
      </rPr>
      <t xml:space="preserve">0 1 3 2 3 3 9 8 0 0 </t>
    </r>
    <r>
      <rPr>
        <b/>
        <sz val="10"/>
        <rFont val="Times New Roman CE"/>
        <family val="1"/>
      </rPr>
      <t>1 3</t>
    </r>
  </si>
  <si>
    <r>
      <t xml:space="preserve">Számlaszám:  </t>
    </r>
    <r>
      <rPr>
        <sz val="10"/>
        <rFont val="Times New Roman CE"/>
        <family val="1"/>
      </rPr>
      <t>0 1 3 2 3 3 9 8 0 0</t>
    </r>
    <r>
      <rPr>
        <b/>
        <sz val="10"/>
        <rFont val="Times New Roman CE"/>
        <family val="1"/>
      </rPr>
      <t xml:space="preserve"> 1 2</t>
    </r>
  </si>
  <si>
    <r>
      <t xml:space="preserve">Számlaszám: </t>
    </r>
    <r>
      <rPr>
        <sz val="10"/>
        <rFont val="Times New Roman CE"/>
        <family val="1"/>
      </rPr>
      <t>1 3 2 0 3 9 8 0 0</t>
    </r>
    <r>
      <rPr>
        <b/>
        <sz val="10"/>
        <rFont val="Times New Roman CE"/>
        <family val="1"/>
      </rPr>
      <t xml:space="preserve"> 0 9</t>
    </r>
  </si>
  <si>
    <t>Utolsó módosítás:</t>
  </si>
  <si>
    <r>
      <t xml:space="preserve">Számlaszám: </t>
    </r>
    <r>
      <rPr>
        <sz val="10"/>
        <rFont val="Times New Roman CE"/>
        <family val="1"/>
      </rPr>
      <t>1 3 2 0 3 9 8 0 0</t>
    </r>
    <r>
      <rPr>
        <b/>
        <sz val="10"/>
        <rFont val="Times New Roman CE"/>
        <family val="1"/>
      </rPr>
      <t xml:space="preserve"> 1 0</t>
    </r>
  </si>
  <si>
    <t>Kamatláb*</t>
  </si>
  <si>
    <t>* Az 1 % kezelési költséggel együtt számolva!</t>
  </si>
  <si>
    <t>láb *</t>
  </si>
  <si>
    <t>láb*</t>
  </si>
  <si>
    <t>1 év türelmi idő, 9 év futamidő</t>
  </si>
  <si>
    <t xml:space="preserve">I. részletének felvétele: </t>
  </si>
  <si>
    <r>
      <t>2004. szept-okt-decben felvett 718.793 eFt</t>
    </r>
    <r>
      <rPr>
        <sz val="10"/>
        <rFont val="Times New Roman CE"/>
        <family val="1"/>
      </rPr>
      <t xml:space="preserve"> hitel </t>
    </r>
    <r>
      <rPr>
        <b/>
        <sz val="10"/>
        <rFont val="Times New Roman CE"/>
        <family val="1"/>
      </rPr>
      <t>/5</t>
    </r>
  </si>
  <si>
    <r>
      <t>Számlaszám:</t>
    </r>
    <r>
      <rPr>
        <sz val="10"/>
        <rFont val="Times New Roman CE"/>
        <family val="1"/>
      </rPr>
      <t xml:space="preserve"> 1 3 2 0 3 9 8 0 0 </t>
    </r>
    <r>
      <rPr>
        <b/>
        <sz val="10"/>
        <rFont val="Times New Roman CE"/>
        <family val="1"/>
      </rPr>
      <t>1 1</t>
    </r>
  </si>
  <si>
    <t>2004. szeptember 22.</t>
  </si>
  <si>
    <t>I. részletének felvétele:</t>
  </si>
  <si>
    <t>2003. október 21.</t>
  </si>
  <si>
    <t>2003. december 4.</t>
  </si>
  <si>
    <t>2003. december 31.</t>
  </si>
  <si>
    <t>2004. június 4.</t>
  </si>
  <si>
    <t>II. részletének felvétele:</t>
  </si>
  <si>
    <t>III. részletének felvétele:</t>
  </si>
  <si>
    <t>IV. részletének felvétele:</t>
  </si>
  <si>
    <t>V. részletének felvétele:</t>
  </si>
  <si>
    <t>VI. részletének felvétele:</t>
  </si>
  <si>
    <t>2004. szeptember 24.</t>
  </si>
  <si>
    <t>2004. november 2.</t>
  </si>
  <si>
    <r>
      <t>2004. szept-okt-decben felvett 718.793 eFt</t>
    </r>
    <r>
      <rPr>
        <sz val="10"/>
        <rFont val="Times New Roman CE"/>
        <family val="1"/>
      </rPr>
      <t xml:space="preserve"> hitel</t>
    </r>
  </si>
  <si>
    <r>
      <t>4</t>
    </r>
    <r>
      <rPr>
        <sz val="9"/>
        <rFont val="Times New Roman CE"/>
        <family val="1"/>
      </rPr>
      <t>/  II. részlet felvéve 2003.04.18-án ( 10.226.303 Ft)</t>
    </r>
  </si>
  <si>
    <t>I. részletének felvétele: 2002. december 28-án</t>
  </si>
  <si>
    <t>II. részletének felvétele: 2003. április 18-án</t>
  </si>
  <si>
    <t>III. részletének felvétele:2003. május 27-én</t>
  </si>
  <si>
    <t>IV. részletének felvétele:2003. június 11-én</t>
  </si>
  <si>
    <t>V. részletének felvétele:2003. július 09-én</t>
  </si>
  <si>
    <t>VI. részletének felvétele:2003. augusztus 08-án</t>
  </si>
  <si>
    <t>VII. részletének felvétele:2003. október 20-án</t>
  </si>
  <si>
    <t>Összesen</t>
  </si>
  <si>
    <t>I. részletének felvétele 2001.12.26-án</t>
  </si>
  <si>
    <t>II. részletének felvétele 2002.06.30-án</t>
  </si>
  <si>
    <t>I. részelének felvétele 2001.12.11-én</t>
  </si>
  <si>
    <t>II. részletének felvétele 2002.12.31-én</t>
  </si>
  <si>
    <t>III. részletének felvétele 2003. 05.30-án</t>
  </si>
  <si>
    <t>2002. évi:</t>
  </si>
  <si>
    <t>2003. évi:</t>
  </si>
  <si>
    <t>2004. évi:</t>
  </si>
  <si>
    <t>Ft</t>
  </si>
  <si>
    <t>Kamatteher 2004. december 1-től a lejáratig:</t>
  </si>
  <si>
    <t>Lejárat éve:</t>
  </si>
  <si>
    <t>Lejáratig visszalévő évek száma:</t>
  </si>
  <si>
    <t>év</t>
  </si>
  <si>
    <t>Éves átlagos kamatteher:</t>
  </si>
  <si>
    <t>2004. december 18.</t>
  </si>
  <si>
    <t xml:space="preserve">II. részletének felvétele: </t>
  </si>
  <si>
    <t>Szerződés szerinti keretösszeg: 718.793.000 Ft</t>
  </si>
  <si>
    <t>előtörlesztés: 2004. december 14-én</t>
  </si>
  <si>
    <t>Teljes keret: 197.956.020,- Ft szerződés szerint, ebből ténylegesen felvett: 187.075.039,- Ft</t>
  </si>
  <si>
    <t>Kezelési</t>
  </si>
  <si>
    <t>költség</t>
  </si>
  <si>
    <t>Kamattörlesztésből</t>
  </si>
  <si>
    <t>Hitel-</t>
  </si>
  <si>
    <t>kamat</t>
  </si>
  <si>
    <t>(kezelési  ktg-gel)</t>
  </si>
  <si>
    <t>(kez.  ktg-gel)</t>
  </si>
  <si>
    <t xml:space="preserve">III. részletének felvétele: </t>
  </si>
  <si>
    <t>2004. december 30.</t>
  </si>
  <si>
    <t xml:space="preserve">IV. részletének várható felvétele: </t>
  </si>
  <si>
    <t>Türelmi idő: 3 év</t>
  </si>
  <si>
    <t>Törlesztés: 17 év</t>
  </si>
  <si>
    <t>2023. évi</t>
  </si>
  <si>
    <t>2024. évi</t>
  </si>
  <si>
    <t>2025. évi</t>
  </si>
  <si>
    <t xml:space="preserve">   II. részlet tervezett felvétele: 2003.12.04-én ( 312.908.472.Ft)</t>
  </si>
  <si>
    <t xml:space="preserve">   III. részlet felvétele: 2003. 12. 31-én (66.348.184 Ft)</t>
  </si>
  <si>
    <t xml:space="preserve">   IV. részlet felvétele: 2004. 03. 31-én (32.132.392 Ft)</t>
  </si>
  <si>
    <t xml:space="preserve">   V. részletének felvétele: 2004. 09. 24-én (10.056.414 Ft)</t>
  </si>
  <si>
    <t xml:space="preserve">   VI. részletének tervezett felvétele: 2004. 11. 2-án (8.400.044 Ft)</t>
  </si>
  <si>
    <t xml:space="preserve">   III. részlet felvéve 2003. 05.27-én (56.942.030 Ft)</t>
  </si>
  <si>
    <t xml:space="preserve">   V. részlet felvéve 2003.07.09-én (22.955.624 Ft) </t>
  </si>
  <si>
    <t xml:space="preserve">   VI. részlet felvéve 2003. 08.08-án (22.221.280 Ft)</t>
  </si>
  <si>
    <t xml:space="preserve">   VII. részlet felvéve 2003.10.20-án (39.974.331 Ft) </t>
  </si>
  <si>
    <t xml:space="preserve">   Előtörlesztés 2004. dec. 14-én: 24.980.326,- Ft</t>
  </si>
  <si>
    <t xml:space="preserve">   III. részlet felvéve 2003. 05.30-án  (32.400.000 Ft)</t>
  </si>
  <si>
    <t xml:space="preserve">   II. részlet felvévle: 2004.12.18-án ( 243.593.559 Ft)</t>
  </si>
  <si>
    <t xml:space="preserve">   III. részlet felvétele: 2004. 12. 30-án (10.240.292 Ft)</t>
  </si>
  <si>
    <t>2006. január 30.</t>
  </si>
  <si>
    <r>
      <t xml:space="preserve">2005. évben felvételre tervezett 607.314 eFt hitel </t>
    </r>
    <r>
      <rPr>
        <b/>
        <sz val="10"/>
        <rFont val="Times New Roman CE"/>
        <family val="1"/>
      </rPr>
      <t>/6</t>
    </r>
  </si>
  <si>
    <r>
      <t xml:space="preserve">2005. évben felvételre tervezett 179.173 eFt hitel </t>
    </r>
    <r>
      <rPr>
        <b/>
        <sz val="10"/>
        <rFont val="Times New Roman CE"/>
        <family val="1"/>
      </rPr>
      <t>/7</t>
    </r>
  </si>
  <si>
    <t xml:space="preserve">   II. részlet tervezett felvétele: 2006.01.30-án (22.500.000 Ft)</t>
  </si>
  <si>
    <r>
      <t>1</t>
    </r>
    <r>
      <rPr>
        <sz val="9"/>
        <rFont val="Times New Roman CE"/>
        <family val="1"/>
      </rPr>
      <t xml:space="preserve">/ II. részlet felvéve 2002. 12. 31-én (71.550.000 Ft)    </t>
    </r>
  </si>
  <si>
    <r>
      <t>4</t>
    </r>
    <r>
      <rPr>
        <sz val="9"/>
        <rFont val="Times New Roman CE"/>
        <family val="1"/>
      </rPr>
      <t>/ II. részlet felvéve 2003.04.18-án (10.226.303 Ft)</t>
    </r>
  </si>
  <si>
    <r>
      <t xml:space="preserve">5/ </t>
    </r>
    <r>
      <rPr>
        <sz val="9"/>
        <rFont val="Times New Roman CE"/>
        <family val="1"/>
      </rPr>
      <t>I. részlet felvétele: 2004.09.22-én (212.164.432 Ft)</t>
    </r>
  </si>
  <si>
    <r>
      <t>2</t>
    </r>
    <r>
      <rPr>
        <sz val="9"/>
        <rFont val="Times New Roman CE"/>
        <family val="1"/>
      </rPr>
      <t>/ II. részlet felvéve 2002.06.30-án (147.603.900 Ft)</t>
    </r>
  </si>
  <si>
    <r>
      <t xml:space="preserve">3/ </t>
    </r>
    <r>
      <rPr>
        <sz val="9"/>
        <rFont val="Times New Roman CE"/>
        <family val="1"/>
      </rPr>
      <t>I. részlet felvétele: 2003.10.21-én (301.781.952 Ft)</t>
    </r>
  </si>
  <si>
    <t>2005. december 1.</t>
  </si>
  <si>
    <t>2005. október 1.</t>
  </si>
  <si>
    <t>(2005. október 1-től érvényes kamatváltozások,</t>
  </si>
  <si>
    <t>2005. október 14-i szerződéskötések)</t>
  </si>
  <si>
    <t xml:space="preserve">I. részletének tervezett felvétele: </t>
  </si>
  <si>
    <t xml:space="preserve">II. részletének tervezett felvétele: </t>
  </si>
  <si>
    <r>
      <t>Számlaszám:</t>
    </r>
    <r>
      <rPr>
        <sz val="10"/>
        <rFont val="Times New Roman CE"/>
        <family val="0"/>
      </rPr>
      <t xml:space="preserve"> 0 1 3 2 0 3 9 8 0 0 </t>
    </r>
    <r>
      <rPr>
        <b/>
        <sz val="10"/>
        <rFont val="Times New Roman CE"/>
        <family val="1"/>
      </rPr>
      <t>1 2</t>
    </r>
  </si>
  <si>
    <t>Kamat mértéke: 3 havi EURIBOR + évi 0,73 %  + projektvizsgálati díj: évi 0,4 %</t>
  </si>
  <si>
    <r>
      <t>Számlaszám:</t>
    </r>
    <r>
      <rPr>
        <sz val="10"/>
        <rFont val="Times New Roman CE"/>
        <family val="0"/>
      </rPr>
      <t xml:space="preserve"> 0 1 3 2 0 3 9 8 0 0 </t>
    </r>
    <r>
      <rPr>
        <b/>
        <sz val="10"/>
        <rFont val="Times New Roman CE"/>
        <family val="1"/>
      </rPr>
      <t>1 3</t>
    </r>
  </si>
  <si>
    <r>
      <t xml:space="preserve">6/ </t>
    </r>
    <r>
      <rPr>
        <sz val="9"/>
        <rFont val="Times New Roman CE"/>
        <family val="1"/>
      </rPr>
      <t>I. részlet tervezett felvétele: 2005.12.01-én (500.000.000 Ft)</t>
    </r>
  </si>
  <si>
    <t xml:space="preserve">   II. részlet tervezett felvétele: 2006.01.30-án (107.314.000 Ft)</t>
  </si>
  <si>
    <r>
      <t xml:space="preserve">7/ </t>
    </r>
    <r>
      <rPr>
        <sz val="9"/>
        <rFont val="Times New Roman CE"/>
        <family val="1"/>
      </rPr>
      <t>I. részlet tervezett felvétele: 2005.12.01-én (156.673.000 Ft)</t>
    </r>
  </si>
  <si>
    <t>Kamat mértéke: 3 havi EURIBOR + évi 1,33 %  + projektvizsgálati díj: évi 0,4 %</t>
  </si>
  <si>
    <t xml:space="preserve">   IV. részlet felvétele: 2005.10.28-án ( 252.794.717 Ft)</t>
  </si>
  <si>
    <t>Kimutatás az önkormányzat fejlesztési célú adósságszolgálatának alakulásáról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</si>
</sst>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\ %"/>
    <numFmt numFmtId="166" formatCode="0.00\ %"/>
    <numFmt numFmtId="167" formatCode="yyyy\-mm\-dd"/>
    <numFmt numFmtId="168" formatCode="0.000%"/>
    <numFmt numFmtId="169" formatCode="0.0000%"/>
    <numFmt numFmtId="170" formatCode="0.000\ %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\(#,##0\)"/>
    <numFmt numFmtId="179" formatCode="0.0000\ %"/>
    <numFmt numFmtId="180" formatCode="mmm/yyyy"/>
    <numFmt numFmtId="181" formatCode="#,##0\ &quot;Ft&quot;"/>
    <numFmt numFmtId="182" formatCode="#,##0\ _F\t"/>
    <numFmt numFmtId="183" formatCode="#,##0\ \ &quot;Ft&quot;"/>
    <numFmt numFmtId="184" formatCode="#,##0_ ;[Red]\-#,##0\ "/>
  </numFmts>
  <fonts count="9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Dashed"/>
    </border>
    <border>
      <left style="hair"/>
      <right style="hair"/>
      <top>
        <color indexed="63"/>
      </top>
      <bottom style="mediumDashed"/>
    </border>
    <border>
      <left style="hair"/>
      <right style="hair"/>
      <top style="mediumDashed"/>
      <bottom style="mediumDash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mediumDashed"/>
    </border>
    <border>
      <left>
        <color indexed="63"/>
      </left>
      <right style="hair"/>
      <top style="hair"/>
      <bottom style="mediumDashed"/>
    </border>
    <border>
      <left>
        <color indexed="63"/>
      </left>
      <right style="thin"/>
      <top style="hair"/>
      <bottom style="mediumDashed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hair"/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hair"/>
    </border>
    <border>
      <left style="hair"/>
      <right style="hair"/>
      <top style="mediumDashed"/>
      <bottom style="hair"/>
    </border>
    <border>
      <left style="hair"/>
      <right style="thin"/>
      <top style="mediumDashed"/>
      <bottom style="hair"/>
    </border>
    <border>
      <left style="hair"/>
      <right style="thin"/>
      <top style="hair"/>
      <bottom style="mediumDashed"/>
    </border>
    <border>
      <left style="hair"/>
      <right style="thin"/>
      <top style="mediumDashed"/>
      <bottom style="mediumDashed"/>
    </border>
    <border>
      <left style="hair"/>
      <right style="hair"/>
      <top style="mediumDashed"/>
      <bottom>
        <color indexed="63"/>
      </bottom>
    </border>
    <border>
      <left style="thin"/>
      <right style="hair"/>
      <top>
        <color indexed="63"/>
      </top>
      <bottom style="mediumDashed"/>
    </border>
    <border>
      <left style="thin"/>
      <right style="hair"/>
      <top style="mediumDashed"/>
      <bottom>
        <color indexed="63"/>
      </bottom>
    </border>
    <border>
      <left>
        <color indexed="63"/>
      </left>
      <right style="hair"/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thin"/>
      <right style="hair"/>
      <top style="hair"/>
      <bottom style="mediumDashed"/>
    </border>
    <border>
      <left style="thin"/>
      <right style="hair"/>
      <top style="mediumDashed"/>
      <bottom style="hair"/>
    </border>
    <border>
      <left style="hair"/>
      <right style="thin"/>
      <top style="mediumDashed"/>
      <bottom>
        <color indexed="63"/>
      </bottom>
    </border>
    <border>
      <left style="thin"/>
      <right style="hair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5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18" xfId="0" applyNumberFormat="1" applyBorder="1" applyAlignment="1">
      <alignment/>
    </xf>
    <xf numFmtId="3" fontId="1" fillId="0" borderId="3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6" fontId="0" fillId="0" borderId="33" xfId="19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4" fontId="1" fillId="0" borderId="3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10" fontId="0" fillId="0" borderId="34" xfId="0" applyNumberFormat="1" applyFont="1" applyFill="1" applyBorder="1" applyAlignment="1">
      <alignment/>
    </xf>
    <xf numFmtId="14" fontId="0" fillId="0" borderId="20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170" fontId="0" fillId="0" borderId="37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14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3" fontId="0" fillId="0" borderId="39" xfId="0" applyNumberFormat="1" applyFill="1" applyBorder="1" applyAlignment="1">
      <alignment/>
    </xf>
    <xf numFmtId="166" fontId="0" fillId="0" borderId="39" xfId="19" applyNumberForma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14" fontId="0" fillId="0" borderId="41" xfId="0" applyNumberFormat="1" applyFill="1" applyBorder="1" applyAlignment="1">
      <alignment/>
    </xf>
    <xf numFmtId="0" fontId="0" fillId="0" borderId="25" xfId="0" applyFill="1" applyBorder="1" applyAlignment="1">
      <alignment/>
    </xf>
    <xf numFmtId="166" fontId="0" fillId="0" borderId="25" xfId="19" applyNumberForma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10" fontId="0" fillId="0" borderId="25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14" fontId="0" fillId="0" borderId="43" xfId="0" applyNumberFormat="1" applyFill="1" applyBorder="1" applyAlignment="1">
      <alignment/>
    </xf>
    <xf numFmtId="0" fontId="0" fillId="0" borderId="44" xfId="0" applyFill="1" applyBorder="1" applyAlignment="1">
      <alignment/>
    </xf>
    <xf numFmtId="3" fontId="0" fillId="0" borderId="44" xfId="0" applyNumberFormat="1" applyFill="1" applyBorder="1" applyAlignment="1">
      <alignment/>
    </xf>
    <xf numFmtId="166" fontId="0" fillId="0" borderId="44" xfId="19" applyNumberForma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14" fontId="0" fillId="0" borderId="46" xfId="0" applyNumberFormat="1" applyFill="1" applyBorder="1" applyAlignment="1">
      <alignment/>
    </xf>
    <xf numFmtId="0" fontId="0" fillId="0" borderId="26" xfId="0" applyFill="1" applyBorder="1" applyAlignment="1">
      <alignment/>
    </xf>
    <xf numFmtId="10" fontId="0" fillId="0" borderId="2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48" xfId="0" applyFill="1" applyBorder="1" applyAlignment="1">
      <alignment/>
    </xf>
    <xf numFmtId="3" fontId="0" fillId="0" borderId="14" xfId="0" applyNumberFormat="1" applyFill="1" applyBorder="1" applyAlignment="1">
      <alignment/>
    </xf>
    <xf numFmtId="10" fontId="0" fillId="0" borderId="39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0" fontId="0" fillId="0" borderId="49" xfId="0" applyFill="1" applyBorder="1" applyAlignment="1">
      <alignment/>
    </xf>
    <xf numFmtId="3" fontId="0" fillId="0" borderId="12" xfId="0" applyNumberFormat="1" applyFill="1" applyBorder="1" applyAlignment="1">
      <alignment/>
    </xf>
    <xf numFmtId="14" fontId="0" fillId="0" borderId="50" xfId="0" applyNumberFormat="1" applyFill="1" applyBorder="1" applyAlignment="1">
      <alignment/>
    </xf>
    <xf numFmtId="0" fontId="0" fillId="0" borderId="51" xfId="0" applyFill="1" applyBorder="1" applyAlignment="1">
      <alignment/>
    </xf>
    <xf numFmtId="3" fontId="0" fillId="0" borderId="51" xfId="0" applyNumberFormat="1" applyFill="1" applyBorder="1" applyAlignment="1">
      <alignment/>
    </xf>
    <xf numFmtId="166" fontId="0" fillId="0" borderId="51" xfId="19" applyNumberForma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10" fontId="1" fillId="0" borderId="5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3" fontId="1" fillId="0" borderId="54" xfId="0" applyNumberFormat="1" applyFont="1" applyFill="1" applyBorder="1" applyAlignment="1">
      <alignment/>
    </xf>
    <xf numFmtId="10" fontId="1" fillId="0" borderId="54" xfId="0" applyNumberFormat="1" applyFont="1" applyFill="1" applyBorder="1" applyAlignment="1">
      <alignment/>
    </xf>
    <xf numFmtId="0" fontId="1" fillId="0" borderId="54" xfId="0" applyFont="1" applyFill="1" applyBorder="1" applyAlignment="1">
      <alignment/>
    </xf>
    <xf numFmtId="6" fontId="1" fillId="0" borderId="5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54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33" xfId="0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14" fontId="0" fillId="0" borderId="7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3" fontId="1" fillId="0" borderId="58" xfId="0" applyNumberFormat="1" applyFont="1" applyFill="1" applyBorder="1" applyAlignment="1">
      <alignment/>
    </xf>
    <xf numFmtId="166" fontId="0" fillId="0" borderId="26" xfId="19" applyNumberForma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9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Continuous"/>
    </xf>
    <xf numFmtId="0" fontId="0" fillId="0" borderId="62" xfId="0" applyFill="1" applyBorder="1" applyAlignment="1">
      <alignment horizontal="centerContinuous"/>
    </xf>
    <xf numFmtId="3" fontId="0" fillId="0" borderId="62" xfId="0" applyNumberFormat="1" applyFill="1" applyBorder="1" applyAlignment="1">
      <alignment horizontal="centerContinuous"/>
    </xf>
    <xf numFmtId="3" fontId="1" fillId="0" borderId="6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63" xfId="0" applyNumberFormat="1" applyFill="1" applyBorder="1" applyAlignment="1">
      <alignment horizontal="center"/>
    </xf>
    <xf numFmtId="10" fontId="0" fillId="0" borderId="49" xfId="0" applyNumberFormat="1" applyFill="1" applyBorder="1" applyAlignment="1">
      <alignment horizontal="center"/>
    </xf>
    <xf numFmtId="164" fontId="0" fillId="0" borderId="37" xfId="19" applyNumberFormat="1" applyFont="1" applyFill="1" applyBorder="1" applyAlignment="1">
      <alignment horizontal="center"/>
    </xf>
    <xf numFmtId="10" fontId="0" fillId="0" borderId="64" xfId="0" applyNumberFormat="1" applyFill="1" applyBorder="1" applyAlignment="1">
      <alignment horizontal="center"/>
    </xf>
    <xf numFmtId="10" fontId="0" fillId="0" borderId="33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10" fontId="0" fillId="0" borderId="1" xfId="0" applyNumberFormat="1" applyFill="1" applyBorder="1" applyAlignment="1">
      <alignment/>
    </xf>
    <xf numFmtId="0" fontId="0" fillId="0" borderId="63" xfId="0" applyFill="1" applyBorder="1" applyAlignment="1">
      <alignment/>
    </xf>
    <xf numFmtId="10" fontId="0" fillId="0" borderId="55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  <xf numFmtId="10" fontId="0" fillId="0" borderId="60" xfId="0" applyNumberFormat="1" applyFill="1" applyBorder="1" applyAlignment="1">
      <alignment/>
    </xf>
    <xf numFmtId="10" fontId="0" fillId="0" borderId="57" xfId="0" applyNumberFormat="1" applyFill="1" applyBorder="1" applyAlignment="1">
      <alignment/>
    </xf>
    <xf numFmtId="10" fontId="1" fillId="0" borderId="6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14" fontId="0" fillId="0" borderId="20" xfId="0" applyNumberFormat="1" applyFill="1" applyBorder="1" applyAlignment="1">
      <alignment/>
    </xf>
    <xf numFmtId="1" fontId="0" fillId="0" borderId="44" xfId="0" applyNumberFormat="1" applyFill="1" applyBorder="1" applyAlignment="1">
      <alignment/>
    </xf>
    <xf numFmtId="10" fontId="0" fillId="0" borderId="44" xfId="0" applyNumberFormat="1" applyFill="1" applyBorder="1" applyAlignment="1">
      <alignment/>
    </xf>
    <xf numFmtId="3" fontId="1" fillId="0" borderId="64" xfId="0" applyNumberFormat="1" applyFont="1" applyFill="1" applyBorder="1" applyAlignment="1">
      <alignment/>
    </xf>
    <xf numFmtId="1" fontId="0" fillId="0" borderId="63" xfId="0" applyNumberFormat="1" applyFill="1" applyBorder="1" applyAlignment="1">
      <alignment/>
    </xf>
    <xf numFmtId="3" fontId="0" fillId="0" borderId="63" xfId="0" applyNumberFormat="1" applyFill="1" applyBorder="1" applyAlignment="1">
      <alignment/>
    </xf>
    <xf numFmtId="14" fontId="0" fillId="0" borderId="65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10" fontId="0" fillId="0" borderId="27" xfId="0" applyNumberFormat="1" applyFill="1" applyBorder="1" applyAlignment="1">
      <alignment/>
    </xf>
    <xf numFmtId="3" fontId="1" fillId="0" borderId="66" xfId="0" applyNumberFormat="1" applyFont="1" applyFill="1" applyBorder="1" applyAlignment="1">
      <alignment/>
    </xf>
    <xf numFmtId="3" fontId="1" fillId="0" borderId="67" xfId="0" applyNumberFormat="1" applyFont="1" applyFill="1" applyBorder="1" applyAlignment="1">
      <alignment/>
    </xf>
    <xf numFmtId="14" fontId="0" fillId="0" borderId="68" xfId="0" applyNumberFormat="1" applyFill="1" applyBorder="1" applyAlignment="1">
      <alignment/>
    </xf>
    <xf numFmtId="1" fontId="0" fillId="0" borderId="29" xfId="0" applyNumberFormat="1" applyFill="1" applyBorder="1" applyAlignment="1">
      <alignment/>
    </xf>
    <xf numFmtId="3" fontId="0" fillId="0" borderId="69" xfId="0" applyNumberFormat="1" applyFill="1" applyBorder="1" applyAlignment="1">
      <alignment/>
    </xf>
    <xf numFmtId="10" fontId="0" fillId="0" borderId="28" xfId="0" applyNumberFormat="1" applyFill="1" applyBorder="1" applyAlignment="1">
      <alignment/>
    </xf>
    <xf numFmtId="3" fontId="1" fillId="0" borderId="69" xfId="0" applyNumberFormat="1" applyFont="1" applyFill="1" applyBorder="1" applyAlignment="1">
      <alignment/>
    </xf>
    <xf numFmtId="3" fontId="1" fillId="0" borderId="70" xfId="0" applyNumberFormat="1" applyFont="1" applyFill="1" applyBorder="1" applyAlignment="1">
      <alignment/>
    </xf>
    <xf numFmtId="14" fontId="0" fillId="0" borderId="71" xfId="0" applyNumberFormat="1" applyFill="1" applyBorder="1" applyAlignment="1">
      <alignment/>
    </xf>
    <xf numFmtId="3" fontId="0" fillId="0" borderId="72" xfId="0" applyNumberFormat="1" applyFill="1" applyBorder="1" applyAlignment="1">
      <alignment/>
    </xf>
    <xf numFmtId="10" fontId="0" fillId="0" borderId="29" xfId="0" applyNumberFormat="1" applyFill="1" applyBorder="1" applyAlignment="1">
      <alignment/>
    </xf>
    <xf numFmtId="3" fontId="1" fillId="0" borderId="72" xfId="0" applyNumberFormat="1" applyFont="1" applyFill="1" applyBorder="1" applyAlignment="1">
      <alignment/>
    </xf>
    <xf numFmtId="3" fontId="1" fillId="0" borderId="73" xfId="0" applyNumberFormat="1" applyFont="1" applyFill="1" applyBorder="1" applyAlignment="1">
      <alignment/>
    </xf>
    <xf numFmtId="14" fontId="0" fillId="0" borderId="74" xfId="0" applyNumberFormat="1" applyFill="1" applyBorder="1" applyAlignment="1">
      <alignment/>
    </xf>
    <xf numFmtId="1" fontId="0" fillId="0" borderId="75" xfId="0" applyNumberFormat="1" applyFill="1" applyBorder="1" applyAlignment="1">
      <alignment/>
    </xf>
    <xf numFmtId="3" fontId="0" fillId="0" borderId="75" xfId="0" applyNumberFormat="1" applyFill="1" applyBorder="1" applyAlignment="1">
      <alignment/>
    </xf>
    <xf numFmtId="10" fontId="0" fillId="0" borderId="75" xfId="0" applyNumberFormat="1" applyFill="1" applyBorder="1" applyAlignment="1">
      <alignment/>
    </xf>
    <xf numFmtId="3" fontId="1" fillId="0" borderId="75" xfId="0" applyNumberFormat="1" applyFont="1" applyFill="1" applyBorder="1" applyAlignment="1">
      <alignment/>
    </xf>
    <xf numFmtId="3" fontId="1" fillId="0" borderId="7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77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78" xfId="0" applyNumberFormat="1" applyFont="1" applyFill="1" applyBorder="1" applyAlignment="1">
      <alignment/>
    </xf>
    <xf numFmtId="1" fontId="0" fillId="0" borderId="79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4" fontId="0" fillId="0" borderId="8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14" fontId="0" fillId="0" borderId="81" xfId="0" applyNumberFormat="1" applyFill="1" applyBorder="1" applyAlignment="1">
      <alignment/>
    </xf>
    <xf numFmtId="3" fontId="0" fillId="0" borderId="79" xfId="0" applyNumberFormat="1" applyFill="1" applyBorder="1" applyAlignment="1">
      <alignment/>
    </xf>
    <xf numFmtId="3" fontId="0" fillId="0" borderId="82" xfId="0" applyNumberFormat="1" applyFill="1" applyBorder="1" applyAlignment="1">
      <alignment/>
    </xf>
    <xf numFmtId="10" fontId="0" fillId="0" borderId="79" xfId="0" applyNumberFormat="1" applyFill="1" applyBorder="1" applyAlignment="1">
      <alignment/>
    </xf>
    <xf numFmtId="3" fontId="1" fillId="0" borderId="82" xfId="0" applyNumberFormat="1" applyFont="1" applyFill="1" applyBorder="1" applyAlignment="1">
      <alignment/>
    </xf>
    <xf numFmtId="3" fontId="1" fillId="0" borderId="83" xfId="0" applyNumberFormat="1" applyFont="1" applyFill="1" applyBorder="1" applyAlignment="1">
      <alignment/>
    </xf>
    <xf numFmtId="14" fontId="0" fillId="0" borderId="8" xfId="0" applyNumberFormat="1" applyFill="1" applyBorder="1" applyAlignment="1">
      <alignment/>
    </xf>
    <xf numFmtId="1" fontId="0" fillId="0" borderId="48" xfId="0" applyNumberFormat="1" applyFill="1" applyBorder="1" applyAlignment="1">
      <alignment/>
    </xf>
    <xf numFmtId="10" fontId="0" fillId="0" borderId="48" xfId="0" applyNumberForma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10" fontId="0" fillId="0" borderId="35" xfId="0" applyNumberForma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10" fontId="0" fillId="0" borderId="37" xfId="0" applyNumberFormat="1" applyFill="1" applyBorder="1" applyAlignment="1">
      <alignment/>
    </xf>
    <xf numFmtId="0" fontId="0" fillId="0" borderId="42" xfId="0" applyFill="1" applyBorder="1" applyAlignment="1">
      <alignment/>
    </xf>
    <xf numFmtId="10" fontId="0" fillId="0" borderId="51" xfId="0" applyNumberFormat="1" applyFill="1" applyBorder="1" applyAlignment="1">
      <alignment/>
    </xf>
    <xf numFmtId="172" fontId="1" fillId="0" borderId="0" xfId="0" applyNumberFormat="1" applyFont="1" applyFill="1" applyAlignment="1">
      <alignment/>
    </xf>
    <xf numFmtId="0" fontId="0" fillId="0" borderId="5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0" xfId="0" applyFill="1" applyBorder="1" applyAlignment="1">
      <alignment/>
    </xf>
    <xf numFmtId="166" fontId="0" fillId="0" borderId="60" xfId="19" applyNumberFormat="1" applyFill="1" applyBorder="1" applyAlignment="1">
      <alignment/>
    </xf>
    <xf numFmtId="0" fontId="0" fillId="0" borderId="57" xfId="0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47" xfId="0" applyFill="1" applyBorder="1" applyAlignment="1">
      <alignment/>
    </xf>
    <xf numFmtId="14" fontId="0" fillId="0" borderId="6" xfId="0" applyNumberFormat="1" applyFill="1" applyBorder="1" applyAlignment="1">
      <alignment/>
    </xf>
    <xf numFmtId="166" fontId="0" fillId="0" borderId="48" xfId="19" applyNumberForma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0" fontId="0" fillId="0" borderId="53" xfId="0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14" xfId="0" applyFill="1" applyBorder="1" applyAlignment="1">
      <alignment/>
    </xf>
    <xf numFmtId="10" fontId="0" fillId="0" borderId="53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0" fontId="0" fillId="0" borderId="0" xfId="19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66" fontId="0" fillId="0" borderId="57" xfId="19" applyNumberFormat="1" applyFill="1" applyBorder="1" applyAlignment="1">
      <alignment/>
    </xf>
    <xf numFmtId="166" fontId="0" fillId="0" borderId="55" xfId="19" applyNumberForma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0" fillId="0" borderId="35" xfId="0" applyFill="1" applyBorder="1" applyAlignment="1">
      <alignment/>
    </xf>
    <xf numFmtId="14" fontId="0" fillId="0" borderId="21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10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4" fontId="0" fillId="0" borderId="84" xfId="0" applyNumberFormat="1" applyFill="1" applyBorder="1" applyAlignment="1">
      <alignment/>
    </xf>
    <xf numFmtId="0" fontId="0" fillId="0" borderId="27" xfId="0" applyFill="1" applyBorder="1" applyAlignment="1">
      <alignment/>
    </xf>
    <xf numFmtId="166" fontId="0" fillId="0" borderId="27" xfId="19" applyNumberFormat="1" applyFill="1" applyBorder="1" applyAlignment="1">
      <alignment/>
    </xf>
    <xf numFmtId="0" fontId="0" fillId="0" borderId="77" xfId="0" applyFill="1" applyBorder="1" applyAlignment="1">
      <alignment/>
    </xf>
    <xf numFmtId="10" fontId="0" fillId="0" borderId="49" xfId="0" applyNumberFormat="1" applyFill="1" applyBorder="1" applyAlignment="1">
      <alignment/>
    </xf>
    <xf numFmtId="166" fontId="0" fillId="0" borderId="66" xfId="19" applyNumberFormat="1" applyFill="1" applyBorder="1" applyAlignment="1">
      <alignment/>
    </xf>
    <xf numFmtId="14" fontId="0" fillId="0" borderId="85" xfId="0" applyNumberFormat="1" applyFill="1" applyBorder="1" applyAlignment="1">
      <alignment/>
    </xf>
    <xf numFmtId="0" fontId="0" fillId="0" borderId="75" xfId="0" applyFill="1" applyBorder="1" applyAlignment="1">
      <alignment/>
    </xf>
    <xf numFmtId="166" fontId="0" fillId="0" borderId="75" xfId="19" applyNumberFormat="1" applyFill="1" applyBorder="1" applyAlignment="1">
      <alignment/>
    </xf>
    <xf numFmtId="10" fontId="0" fillId="0" borderId="37" xfId="19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10" fontId="1" fillId="0" borderId="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0" fillId="0" borderId="79" xfId="0" applyFill="1" applyBorder="1" applyAlignment="1">
      <alignment/>
    </xf>
    <xf numFmtId="166" fontId="0" fillId="0" borderId="79" xfId="19" applyNumberFormat="1" applyFill="1" applyBorder="1" applyAlignment="1">
      <alignment/>
    </xf>
    <xf numFmtId="3" fontId="1" fillId="0" borderId="79" xfId="0" applyNumberFormat="1" applyFont="1" applyFill="1" applyBorder="1" applyAlignment="1">
      <alignment/>
    </xf>
    <xf numFmtId="3" fontId="1" fillId="0" borderId="86" xfId="0" applyNumberFormat="1" applyFont="1" applyFill="1" applyBorder="1" applyAlignment="1">
      <alignment/>
    </xf>
    <xf numFmtId="14" fontId="0" fillId="0" borderId="87" xfId="0" applyNumberFormat="1" applyFill="1" applyBorder="1" applyAlignment="1">
      <alignment/>
    </xf>
    <xf numFmtId="0" fontId="0" fillId="0" borderId="29" xfId="0" applyFill="1" applyBorder="1" applyAlignment="1">
      <alignment/>
    </xf>
    <xf numFmtId="166" fontId="0" fillId="0" borderId="29" xfId="19" applyNumberForma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1" fontId="1" fillId="0" borderId="54" xfId="0" applyNumberFormat="1" applyFont="1" applyFill="1" applyBorder="1" applyAlignment="1">
      <alignment/>
    </xf>
    <xf numFmtId="0" fontId="0" fillId="0" borderId="88" xfId="0" applyFill="1" applyBorder="1" applyAlignment="1">
      <alignment/>
    </xf>
    <xf numFmtId="10" fontId="0" fillId="0" borderId="8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3" fontId="0" fillId="0" borderId="88" xfId="0" applyNumberFormat="1" applyFill="1" applyBorder="1" applyAlignment="1">
      <alignment/>
    </xf>
    <xf numFmtId="18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88" xfId="0" applyNumberFormat="1" applyFill="1" applyBorder="1" applyAlignment="1">
      <alignment/>
    </xf>
    <xf numFmtId="0" fontId="0" fillId="0" borderId="0" xfId="0" applyFill="1" applyAlignment="1">
      <alignment horizontal="right"/>
    </xf>
    <xf numFmtId="14" fontId="1" fillId="0" borderId="0" xfId="0" applyNumberFormat="1" applyFont="1" applyFill="1" applyBorder="1" applyAlignment="1">
      <alignment/>
    </xf>
    <xf numFmtId="14" fontId="1" fillId="0" borderId="41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 horizontal="centerContinuous"/>
    </xf>
    <xf numFmtId="3" fontId="0" fillId="0" borderId="56" xfId="0" applyNumberFormat="1" applyFont="1" applyFill="1" applyBorder="1" applyAlignment="1">
      <alignment horizontal="centerContinuous"/>
    </xf>
    <xf numFmtId="170" fontId="0" fillId="0" borderId="8" xfId="0" applyNumberFormat="1" applyFont="1" applyFill="1" applyBorder="1" applyAlignment="1">
      <alignment horizontal="center"/>
    </xf>
    <xf numFmtId="170" fontId="0" fillId="0" borderId="9" xfId="0" applyNumberFormat="1" applyFont="1" applyFill="1" applyBorder="1" applyAlignment="1">
      <alignment horizontal="center"/>
    </xf>
    <xf numFmtId="3" fontId="0" fillId="0" borderId="46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6" xfId="0" applyNumberFormat="1" applyFill="1" applyBorder="1" applyAlignment="1">
      <alignment horizontal="centerContinuous"/>
    </xf>
    <xf numFmtId="3" fontId="0" fillId="0" borderId="56" xfId="0" applyNumberFormat="1" applyFill="1" applyBorder="1" applyAlignment="1">
      <alignment horizontal="centerContinuous"/>
    </xf>
    <xf numFmtId="164" fontId="0" fillId="0" borderId="8" xfId="19" applyNumberFormat="1" applyFont="1" applyFill="1" applyBorder="1" applyAlignment="1">
      <alignment horizontal="center"/>
    </xf>
    <xf numFmtId="164" fontId="0" fillId="0" borderId="9" xfId="19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84" xfId="0" applyNumberFormat="1" applyFill="1" applyBorder="1" applyAlignment="1">
      <alignment/>
    </xf>
    <xf numFmtId="3" fontId="0" fillId="0" borderId="77" xfId="0" applyNumberFormat="1" applyFill="1" applyBorder="1" applyAlignment="1">
      <alignment/>
    </xf>
    <xf numFmtId="3" fontId="0" fillId="0" borderId="80" xfId="0" applyNumberFormat="1" applyFill="1" applyBorder="1" applyAlignment="1">
      <alignment/>
    </xf>
    <xf numFmtId="3" fontId="0" fillId="0" borderId="89" xfId="0" applyNumberFormat="1" applyFill="1" applyBorder="1" applyAlignment="1">
      <alignment/>
    </xf>
    <xf numFmtId="3" fontId="0" fillId="0" borderId="87" xfId="0" applyNumberFormat="1" applyFill="1" applyBorder="1" applyAlignment="1">
      <alignment/>
    </xf>
    <xf numFmtId="3" fontId="0" fillId="0" borderId="78" xfId="0" applyNumberFormat="1" applyFill="1" applyBorder="1" applyAlignment="1">
      <alignment/>
    </xf>
    <xf numFmtId="3" fontId="0" fillId="0" borderId="85" xfId="0" applyNumberFormat="1" applyFill="1" applyBorder="1" applyAlignment="1">
      <alignment/>
    </xf>
    <xf numFmtId="3" fontId="0" fillId="0" borderId="76" xfId="0" applyNumberFormat="1" applyFill="1" applyBorder="1" applyAlignment="1">
      <alignment/>
    </xf>
    <xf numFmtId="3" fontId="0" fillId="0" borderId="81" xfId="0" applyNumberFormat="1" applyFill="1" applyBorder="1" applyAlignment="1">
      <alignment/>
    </xf>
    <xf numFmtId="3" fontId="0" fillId="0" borderId="86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41" xfId="0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3" fontId="0" fillId="0" borderId="49" xfId="0" applyNumberFormat="1" applyFill="1" applyBorder="1" applyAlignment="1">
      <alignment horizontal="center"/>
    </xf>
    <xf numFmtId="3" fontId="0" fillId="0" borderId="64" xfId="0" applyNumberFormat="1" applyFill="1" applyBorder="1" applyAlignment="1">
      <alignment horizontal="center"/>
    </xf>
    <xf numFmtId="14" fontId="1" fillId="0" borderId="6" xfId="0" applyNumberFormat="1" applyFont="1" applyFill="1" applyBorder="1" applyAlignment="1">
      <alignment/>
    </xf>
    <xf numFmtId="166" fontId="0" fillId="0" borderId="26" xfId="19" applyNumberForma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0" fontId="0" fillId="0" borderId="90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91" xfId="0" applyNumberFormat="1" applyBorder="1" applyAlignment="1">
      <alignment/>
    </xf>
    <xf numFmtId="3" fontId="0" fillId="0" borderId="92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70" fontId="0" fillId="0" borderId="25" xfId="19" applyNumberFormat="1" applyFill="1" applyBorder="1" applyAlignment="1">
      <alignment/>
    </xf>
    <xf numFmtId="170" fontId="0" fillId="0" borderId="44" xfId="19" applyNumberFormat="1" applyFill="1" applyBorder="1" applyAlignment="1">
      <alignment/>
    </xf>
    <xf numFmtId="170" fontId="0" fillId="0" borderId="26" xfId="19" applyNumberFormat="1" applyFill="1" applyBorder="1" applyAlignment="1">
      <alignment/>
    </xf>
    <xf numFmtId="170" fontId="0" fillId="0" borderId="48" xfId="19" applyNumberForma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0" fillId="0" borderId="44" xfId="0" applyNumberFormat="1" applyFill="1" applyBorder="1" applyAlignment="1">
      <alignment/>
    </xf>
    <xf numFmtId="0" fontId="0" fillId="0" borderId="48" xfId="0" applyNumberFormat="1" applyFill="1" applyBorder="1" applyAlignment="1">
      <alignment/>
    </xf>
    <xf numFmtId="14" fontId="0" fillId="0" borderId="38" xfId="0" applyNumberFormat="1" applyFont="1" applyFill="1" applyBorder="1" applyAlignment="1">
      <alignment/>
    </xf>
    <xf numFmtId="0" fontId="0" fillId="0" borderId="4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170" fontId="0" fillId="0" borderId="39" xfId="19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70" fontId="0" fillId="0" borderId="28" xfId="19" applyNumberForma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89" xfId="0" applyNumberFormat="1" applyFont="1" applyFill="1" applyBorder="1" applyAlignment="1">
      <alignment/>
    </xf>
    <xf numFmtId="0" fontId="0" fillId="0" borderId="63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1" fillId="0" borderId="54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" fillId="0" borderId="30" xfId="0" applyNumberFormat="1" applyFont="1" applyFill="1" applyBorder="1" applyAlignment="1">
      <alignment horizontal="center"/>
    </xf>
    <xf numFmtId="14" fontId="1" fillId="0" borderId="17" xfId="0" applyNumberFormat="1" applyFont="1" applyFill="1" applyBorder="1" applyAlignment="1">
      <alignment horizontal="center"/>
    </xf>
    <xf numFmtId="14" fontId="1" fillId="0" borderId="62" xfId="0" applyNumberFormat="1" applyFont="1" applyFill="1" applyBorder="1" applyAlignment="1">
      <alignment horizontal="center"/>
    </xf>
    <xf numFmtId="14" fontId="1" fillId="0" borderId="30" xfId="0" applyNumberFormat="1" applyFont="1" applyFill="1" applyBorder="1" applyAlignment="1">
      <alignment horizontal="center"/>
    </xf>
    <xf numFmtId="14" fontId="1" fillId="0" borderId="17" xfId="0" applyNumberFormat="1" applyFont="1" applyFill="1" applyBorder="1" applyAlignment="1">
      <alignment horizontal="center"/>
    </xf>
    <xf numFmtId="14" fontId="1" fillId="0" borderId="62" xfId="0" applyNumberFormat="1" applyFont="1" applyFill="1" applyBorder="1" applyAlignment="1">
      <alignment horizontal="center"/>
    </xf>
    <xf numFmtId="183" fontId="1" fillId="0" borderId="0" xfId="0" applyNumberFormat="1" applyFont="1" applyFill="1" applyAlignment="1">
      <alignment horizontal="right"/>
    </xf>
    <xf numFmtId="0" fontId="1" fillId="0" borderId="93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3" fontId="1" fillId="0" borderId="93" xfId="0" applyNumberFormat="1" applyFont="1" applyBorder="1" applyAlignment="1">
      <alignment horizontal="center"/>
    </xf>
    <xf numFmtId="3" fontId="1" fillId="0" borderId="56" xfId="0" applyNumberFormat="1" applyFont="1" applyBorder="1" applyAlignment="1">
      <alignment horizontal="center"/>
    </xf>
    <xf numFmtId="3" fontId="1" fillId="0" borderId="9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25"/>
  <sheetViews>
    <sheetView workbookViewId="0" topLeftCell="A13">
      <selection activeCell="A1" sqref="A1"/>
    </sheetView>
  </sheetViews>
  <sheetFormatPr defaultColWidth="9.00390625" defaultRowHeight="12.75"/>
  <sheetData>
    <row r="15" spans="1:9" ht="30">
      <c r="A15" s="420" t="s">
        <v>95</v>
      </c>
      <c r="B15" s="420"/>
      <c r="C15" s="420"/>
      <c r="D15" s="420"/>
      <c r="E15" s="420"/>
      <c r="F15" s="420"/>
      <c r="G15" s="420"/>
      <c r="H15" s="420"/>
      <c r="I15" s="420"/>
    </row>
    <row r="16" spans="1:9" ht="30">
      <c r="A16" s="420" t="s">
        <v>96</v>
      </c>
      <c r="B16" s="420"/>
      <c r="C16" s="420"/>
      <c r="D16" s="420"/>
      <c r="E16" s="420"/>
      <c r="F16" s="420"/>
      <c r="G16" s="420"/>
      <c r="H16" s="420"/>
      <c r="I16" s="420"/>
    </row>
    <row r="19" spans="1:9" ht="18.75">
      <c r="A19" s="421" t="s">
        <v>107</v>
      </c>
      <c r="B19" s="421"/>
      <c r="C19" s="421"/>
      <c r="D19" s="421"/>
      <c r="E19" s="421"/>
      <c r="F19" s="421"/>
      <c r="G19" s="421"/>
      <c r="H19" s="421"/>
      <c r="I19" s="421"/>
    </row>
    <row r="21" spans="1:9" ht="15.75">
      <c r="A21" s="419" t="s">
        <v>197</v>
      </c>
      <c r="B21" s="419"/>
      <c r="C21" s="419"/>
      <c r="D21" s="419"/>
      <c r="E21" s="419"/>
      <c r="F21" s="419"/>
      <c r="G21" s="419"/>
      <c r="H21" s="419"/>
      <c r="I21" s="419"/>
    </row>
    <row r="24" spans="1:9" ht="15.75">
      <c r="A24" s="419" t="s">
        <v>198</v>
      </c>
      <c r="B24" s="419"/>
      <c r="C24" s="419"/>
      <c r="D24" s="419"/>
      <c r="E24" s="419"/>
      <c r="F24" s="419"/>
      <c r="G24" s="419"/>
      <c r="H24" s="419"/>
      <c r="I24" s="419"/>
    </row>
    <row r="25" spans="1:9" ht="15.75">
      <c r="A25" s="419" t="s">
        <v>199</v>
      </c>
      <c r="B25" s="419"/>
      <c r="C25" s="419"/>
      <c r="D25" s="419"/>
      <c r="E25" s="419"/>
      <c r="F25" s="419"/>
      <c r="G25" s="419"/>
      <c r="H25" s="419"/>
      <c r="I25" s="419"/>
    </row>
  </sheetData>
  <mergeCells count="6">
    <mergeCell ref="A25:I25"/>
    <mergeCell ref="A24:I24"/>
    <mergeCell ref="A15:I15"/>
    <mergeCell ref="A16:I16"/>
    <mergeCell ref="A19:I19"/>
    <mergeCell ref="A21:I21"/>
  </mergeCells>
  <printOptions horizontalCentered="1"/>
  <pageMargins left="0.7874015748031497" right="0.7874015748031497" top="0.984251968503937" bottom="0.984251968503937" header="0.5118110236220472" footer="0.5118110236220472"/>
  <pageSetup horizontalDpi="150" verticalDpi="15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0">
      <selection activeCell="A1" sqref="A1"/>
    </sheetView>
  </sheetViews>
  <sheetFormatPr defaultColWidth="9.00390625" defaultRowHeight="12.75"/>
  <cols>
    <col min="1" max="1" width="11.375" style="81" customWidth="1"/>
    <col min="2" max="2" width="6.875" style="147" customWidth="1"/>
    <col min="3" max="3" width="11.375" style="147" customWidth="1"/>
    <col min="4" max="4" width="12.625" style="147" customWidth="1"/>
    <col min="5" max="5" width="8.00390625" style="148" customWidth="1"/>
    <col min="6" max="6" width="12.625" style="81" customWidth="1"/>
    <col min="7" max="7" width="15.00390625" style="147" bestFit="1" customWidth="1"/>
    <col min="8" max="8" width="12.625" style="81" customWidth="1"/>
    <col min="9" max="9" width="14.375" style="147" customWidth="1"/>
    <col min="10" max="10" width="9.375" style="81" customWidth="1"/>
    <col min="11" max="11" width="11.125" style="81" customWidth="1"/>
    <col min="12" max="16384" width="9.375" style="81" customWidth="1"/>
  </cols>
  <sheetData>
    <row r="1" spans="1:9" ht="12.75">
      <c r="A1" s="77" t="s">
        <v>116</v>
      </c>
      <c r="B1" s="154"/>
      <c r="C1" s="154"/>
      <c r="D1" s="77"/>
      <c r="E1" s="335" t="s">
        <v>156</v>
      </c>
      <c r="F1" s="79"/>
      <c r="G1" s="77"/>
      <c r="H1" s="80"/>
      <c r="I1" s="80"/>
    </row>
    <row r="2" spans="1:9" ht="12.75">
      <c r="A2" s="82" t="s">
        <v>15</v>
      </c>
      <c r="B2" s="83"/>
      <c r="C2" s="83"/>
      <c r="D2" s="83"/>
      <c r="E2" s="84"/>
      <c r="F2" s="83"/>
      <c r="G2" s="83"/>
      <c r="H2" s="83"/>
      <c r="I2" s="83"/>
    </row>
    <row r="3" spans="1:9" ht="12.75">
      <c r="A3" s="82" t="s">
        <v>113</v>
      </c>
      <c r="B3" s="83"/>
      <c r="C3" s="83"/>
      <c r="D3" s="83"/>
      <c r="E3" s="84"/>
      <c r="F3" s="83"/>
      <c r="G3" s="83"/>
      <c r="H3" s="83"/>
      <c r="I3" s="83"/>
    </row>
    <row r="4" spans="2:9" ht="12.75">
      <c r="B4" s="86"/>
      <c r="C4" s="86"/>
      <c r="D4" s="87"/>
      <c r="E4" s="88"/>
      <c r="F4" s="87"/>
      <c r="G4" s="87"/>
      <c r="H4" s="87"/>
      <c r="I4" s="87" t="s">
        <v>2</v>
      </c>
    </row>
    <row r="5" spans="1:9" ht="12.75">
      <c r="A5" s="89" t="s">
        <v>3</v>
      </c>
      <c r="B5" s="90" t="s">
        <v>4</v>
      </c>
      <c r="C5" s="91" t="s">
        <v>5</v>
      </c>
      <c r="D5" s="91" t="s">
        <v>21</v>
      </c>
      <c r="E5" s="91" t="s">
        <v>18</v>
      </c>
      <c r="F5" s="92" t="s">
        <v>20</v>
      </c>
      <c r="G5" s="93" t="s">
        <v>6</v>
      </c>
      <c r="H5" s="93" t="s">
        <v>6</v>
      </c>
      <c r="I5" s="94" t="s">
        <v>6</v>
      </c>
    </row>
    <row r="6" spans="1:9" ht="12.75">
      <c r="A6" s="95"/>
      <c r="B6" s="96" t="s">
        <v>7</v>
      </c>
      <c r="C6" s="97" t="s">
        <v>8</v>
      </c>
      <c r="D6" s="97" t="s">
        <v>13</v>
      </c>
      <c r="E6" s="97" t="s">
        <v>19</v>
      </c>
      <c r="F6" s="98" t="s">
        <v>13</v>
      </c>
      <c r="G6" s="99" t="s">
        <v>9</v>
      </c>
      <c r="H6" s="99" t="s">
        <v>11</v>
      </c>
      <c r="I6" s="100" t="s">
        <v>10</v>
      </c>
    </row>
    <row r="7" spans="1:9" ht="12.75">
      <c r="A7" s="101"/>
      <c r="B7" s="102"/>
      <c r="C7" s="103"/>
      <c r="D7" s="103"/>
      <c r="E7" s="103"/>
      <c r="F7" s="104"/>
      <c r="G7" s="104"/>
      <c r="H7" s="105" t="s">
        <v>13</v>
      </c>
      <c r="I7" s="106" t="s">
        <v>12</v>
      </c>
    </row>
    <row r="8" spans="1:9" ht="12.75">
      <c r="A8" s="336">
        <v>38252</v>
      </c>
      <c r="B8" s="114"/>
      <c r="C8" s="55">
        <v>212164432</v>
      </c>
      <c r="D8" s="55"/>
      <c r="E8" s="115"/>
      <c r="F8" s="55"/>
      <c r="G8" s="116"/>
      <c r="H8" s="116"/>
      <c r="I8" s="117"/>
    </row>
    <row r="9" spans="1:9" ht="12.75">
      <c r="A9" s="113">
        <v>38260</v>
      </c>
      <c r="B9" s="114">
        <f aca="true" t="shared" si="0" ref="B9:B65">A9-A8</f>
        <v>8</v>
      </c>
      <c r="C9" s="55">
        <v>212164432</v>
      </c>
      <c r="D9" s="55"/>
      <c r="E9" s="115">
        <v>0.1117</v>
      </c>
      <c r="F9" s="55">
        <v>526639</v>
      </c>
      <c r="G9" s="116"/>
      <c r="H9" s="116"/>
      <c r="I9" s="117"/>
    </row>
    <row r="10" spans="1:9" ht="12.75">
      <c r="A10" s="336">
        <v>38339</v>
      </c>
      <c r="B10" s="114">
        <f t="shared" si="0"/>
        <v>79</v>
      </c>
      <c r="C10" s="55">
        <f>C9+243593559</f>
        <v>455757991</v>
      </c>
      <c r="D10" s="55"/>
      <c r="E10" s="115"/>
      <c r="F10" s="114"/>
      <c r="G10" s="55"/>
      <c r="H10" s="114"/>
      <c r="I10" s="119"/>
    </row>
    <row r="11" spans="1:9" ht="12.75">
      <c r="A11" s="380">
        <v>38351</v>
      </c>
      <c r="B11" s="114">
        <f t="shared" si="0"/>
        <v>12</v>
      </c>
      <c r="C11" s="130">
        <f>455757991+10240292</f>
        <v>465998283</v>
      </c>
      <c r="D11" s="130"/>
      <c r="E11" s="278"/>
      <c r="F11" s="131"/>
      <c r="G11" s="130"/>
      <c r="H11" s="131"/>
      <c r="I11" s="132"/>
    </row>
    <row r="12" spans="1:9" ht="12.75">
      <c r="A12" s="120">
        <v>38352</v>
      </c>
      <c r="B12" s="121">
        <f t="shared" si="0"/>
        <v>1</v>
      </c>
      <c r="C12" s="122">
        <f>C11-D12</f>
        <v>465998283</v>
      </c>
      <c r="D12" s="122"/>
      <c r="E12" s="123">
        <v>0.111</v>
      </c>
      <c r="F12" s="122">
        <v>6998372</v>
      </c>
      <c r="G12" s="124">
        <f>SUM(F8:F12)</f>
        <v>7525011</v>
      </c>
      <c r="H12" s="124">
        <f>SUM(D8:D12)</f>
        <v>0</v>
      </c>
      <c r="I12" s="125">
        <f>SUM(G12:H12)</f>
        <v>7525011</v>
      </c>
    </row>
    <row r="13" spans="1:9" ht="12.75">
      <c r="A13" s="107">
        <v>38442</v>
      </c>
      <c r="B13" s="108">
        <f t="shared" si="0"/>
        <v>90</v>
      </c>
      <c r="C13" s="109">
        <f aca="true" t="shared" si="1" ref="C13:C57">C12-D13</f>
        <v>465998283</v>
      </c>
      <c r="D13" s="109"/>
      <c r="E13" s="110">
        <v>0.0946</v>
      </c>
      <c r="F13" s="109">
        <v>11042088</v>
      </c>
      <c r="G13" s="111"/>
      <c r="H13" s="111"/>
      <c r="I13" s="112"/>
    </row>
    <row r="14" spans="1:9" ht="12.75">
      <c r="A14" s="113">
        <v>38533</v>
      </c>
      <c r="B14" s="108">
        <f t="shared" si="0"/>
        <v>91</v>
      </c>
      <c r="C14" s="109">
        <f t="shared" si="1"/>
        <v>465998283</v>
      </c>
      <c r="D14" s="55"/>
      <c r="E14" s="115">
        <v>0.0784</v>
      </c>
      <c r="F14" s="55">
        <v>9256020</v>
      </c>
      <c r="G14" s="116"/>
      <c r="H14" s="116"/>
      <c r="I14" s="117"/>
    </row>
    <row r="15" spans="1:9" ht="12.75">
      <c r="A15" s="113">
        <v>38623</v>
      </c>
      <c r="B15" s="108">
        <f t="shared" si="0"/>
        <v>90</v>
      </c>
      <c r="C15" s="109">
        <f t="shared" si="1"/>
        <v>446015283</v>
      </c>
      <c r="D15" s="55">
        <v>19983000</v>
      </c>
      <c r="E15" s="115"/>
      <c r="F15" s="55"/>
      <c r="G15" s="116"/>
      <c r="H15" s="116"/>
      <c r="I15" s="117"/>
    </row>
    <row r="16" spans="1:9" ht="12.75">
      <c r="A16" s="113">
        <v>38625</v>
      </c>
      <c r="B16" s="108">
        <f t="shared" si="0"/>
        <v>2</v>
      </c>
      <c r="C16" s="55">
        <f>C15-D16</f>
        <v>446015283</v>
      </c>
      <c r="D16" s="55"/>
      <c r="E16" s="115">
        <v>0.0702</v>
      </c>
      <c r="F16" s="55">
        <v>8362830</v>
      </c>
      <c r="G16" s="116"/>
      <c r="H16" s="116"/>
      <c r="I16" s="117"/>
    </row>
    <row r="17" spans="1:9" ht="12.75">
      <c r="A17" s="336">
        <v>38653</v>
      </c>
      <c r="B17" s="108">
        <f t="shared" si="0"/>
        <v>28</v>
      </c>
      <c r="C17" s="109">
        <f>C16-D17+252794717</f>
        <v>698810000</v>
      </c>
      <c r="D17" s="55"/>
      <c r="E17" s="115"/>
      <c r="F17" s="55"/>
      <c r="G17" s="116"/>
      <c r="H17" s="116"/>
      <c r="I17" s="117"/>
    </row>
    <row r="18" spans="1:9" ht="12.75">
      <c r="A18" s="113">
        <v>38714</v>
      </c>
      <c r="B18" s="108">
        <f t="shared" si="0"/>
        <v>61</v>
      </c>
      <c r="C18" s="55">
        <f>C17-D18</f>
        <v>678844000</v>
      </c>
      <c r="D18" s="55">
        <v>19966000</v>
      </c>
      <c r="E18" s="115"/>
      <c r="F18" s="55"/>
      <c r="G18" s="116"/>
      <c r="H18" s="116"/>
      <c r="I18" s="117"/>
    </row>
    <row r="19" spans="1:9" ht="12.75">
      <c r="A19" s="120">
        <v>38717</v>
      </c>
      <c r="B19" s="121">
        <f t="shared" si="0"/>
        <v>3</v>
      </c>
      <c r="C19" s="122">
        <f t="shared" si="1"/>
        <v>678844000</v>
      </c>
      <c r="D19" s="122"/>
      <c r="E19" s="123">
        <v>0.061</v>
      </c>
      <c r="F19" s="122">
        <f>((C18+D18)*E19/360*B18)+((C19+D19)*E19/360*B19)</f>
        <v>7568056.838888888</v>
      </c>
      <c r="G19" s="124">
        <f>SUM(F13:F19)</f>
        <v>36228994.83888889</v>
      </c>
      <c r="H19" s="124">
        <f>SUM(D13:D19)</f>
        <v>39949000</v>
      </c>
      <c r="I19" s="125">
        <f>SUM(G19:H19)</f>
        <v>76177994.83888888</v>
      </c>
    </row>
    <row r="20" spans="1:9" ht="12.75">
      <c r="A20" s="126">
        <v>38804</v>
      </c>
      <c r="B20" s="127">
        <f t="shared" si="0"/>
        <v>87</v>
      </c>
      <c r="C20" s="56">
        <f t="shared" si="1"/>
        <v>658878000</v>
      </c>
      <c r="D20" s="56">
        <f>D18</f>
        <v>19966000</v>
      </c>
      <c r="E20" s="128"/>
      <c r="F20" s="127"/>
      <c r="G20" s="56"/>
      <c r="H20" s="127"/>
      <c r="I20" s="129"/>
    </row>
    <row r="21" spans="1:9" ht="12.75">
      <c r="A21" s="113">
        <v>38807</v>
      </c>
      <c r="B21" s="114">
        <f t="shared" si="0"/>
        <v>3</v>
      </c>
      <c r="C21" s="55">
        <f t="shared" si="1"/>
        <v>658878000</v>
      </c>
      <c r="D21" s="55"/>
      <c r="E21" s="115">
        <f>E19</f>
        <v>0.061</v>
      </c>
      <c r="F21" s="55">
        <f>((C20+D20)*E21/360*B20)+((C21+D21)*E21/360*B21)</f>
        <v>10342221.616666667</v>
      </c>
      <c r="G21" s="55"/>
      <c r="H21" s="114"/>
      <c r="I21" s="119"/>
    </row>
    <row r="22" spans="1:9" ht="12.75">
      <c r="A22" s="113">
        <v>38896</v>
      </c>
      <c r="B22" s="114">
        <f t="shared" si="0"/>
        <v>89</v>
      </c>
      <c r="C22" s="55">
        <f t="shared" si="1"/>
        <v>638912000</v>
      </c>
      <c r="D22" s="55">
        <f>D20</f>
        <v>19966000</v>
      </c>
      <c r="E22" s="118"/>
      <c r="F22" s="114"/>
      <c r="G22" s="55"/>
      <c r="H22" s="114"/>
      <c r="I22" s="119"/>
    </row>
    <row r="23" spans="1:9" ht="12.75">
      <c r="A23" s="113">
        <v>38898</v>
      </c>
      <c r="B23" s="114">
        <f t="shared" si="0"/>
        <v>2</v>
      </c>
      <c r="C23" s="55">
        <f t="shared" si="1"/>
        <v>638912000</v>
      </c>
      <c r="D23" s="55"/>
      <c r="E23" s="115">
        <f>E21</f>
        <v>0.061</v>
      </c>
      <c r="F23" s="55">
        <f>((C22+D22)*E23/360*B22)+((C23+D23)*E23/360*B23)</f>
        <v>10152766.461111112</v>
      </c>
      <c r="G23" s="55"/>
      <c r="H23" s="114"/>
      <c r="I23" s="119"/>
    </row>
    <row r="24" spans="1:9" ht="12.75">
      <c r="A24" s="113">
        <v>38988</v>
      </c>
      <c r="B24" s="114">
        <f t="shared" si="0"/>
        <v>90</v>
      </c>
      <c r="C24" s="55">
        <f t="shared" si="1"/>
        <v>618946000</v>
      </c>
      <c r="D24" s="55">
        <f>D22</f>
        <v>19966000</v>
      </c>
      <c r="E24" s="118"/>
      <c r="F24" s="114"/>
      <c r="G24" s="55"/>
      <c r="H24" s="114"/>
      <c r="I24" s="119"/>
    </row>
    <row r="25" spans="1:9" ht="12.75">
      <c r="A25" s="113">
        <v>38990</v>
      </c>
      <c r="B25" s="114">
        <f t="shared" si="0"/>
        <v>2</v>
      </c>
      <c r="C25" s="55">
        <f t="shared" si="1"/>
        <v>618946000</v>
      </c>
      <c r="D25" s="55"/>
      <c r="E25" s="115">
        <f>E23</f>
        <v>0.061</v>
      </c>
      <c r="F25" s="55">
        <f>((C24+D24)*E25/360*B24)+((C25+D25)*E25/360*B25)</f>
        <v>9953161.922222223</v>
      </c>
      <c r="G25" s="55"/>
      <c r="H25" s="114"/>
      <c r="I25" s="119"/>
    </row>
    <row r="26" spans="1:9" ht="12.75">
      <c r="A26" s="113">
        <v>39079</v>
      </c>
      <c r="B26" s="114">
        <f t="shared" si="0"/>
        <v>89</v>
      </c>
      <c r="C26" s="55">
        <f t="shared" si="1"/>
        <v>598980000</v>
      </c>
      <c r="D26" s="55">
        <f>D24</f>
        <v>19966000</v>
      </c>
      <c r="E26" s="118"/>
      <c r="F26" s="114"/>
      <c r="G26" s="55"/>
      <c r="H26" s="114"/>
      <c r="I26" s="119"/>
    </row>
    <row r="27" spans="1:9" ht="12.75">
      <c r="A27" s="120">
        <v>39082</v>
      </c>
      <c r="B27" s="121">
        <f t="shared" si="0"/>
        <v>3</v>
      </c>
      <c r="C27" s="122">
        <f t="shared" si="1"/>
        <v>598980000</v>
      </c>
      <c r="D27" s="122"/>
      <c r="E27" s="123">
        <f>E25</f>
        <v>0.061</v>
      </c>
      <c r="F27" s="122">
        <f>((C26+D26)*E27/360*B26)+((C27+D27)*E27/360*B27)</f>
        <v>9638531.038888888</v>
      </c>
      <c r="G27" s="124">
        <f>SUM(F21:F27)</f>
        <v>40086681.038888894</v>
      </c>
      <c r="H27" s="124">
        <f>SUM(D20:D27)</f>
        <v>79864000</v>
      </c>
      <c r="I27" s="125">
        <f>SUM(G27:H27)</f>
        <v>119950681.0388889</v>
      </c>
    </row>
    <row r="28" spans="1:9" ht="12.75">
      <c r="A28" s="126">
        <v>39169</v>
      </c>
      <c r="B28" s="127">
        <f t="shared" si="0"/>
        <v>87</v>
      </c>
      <c r="C28" s="56">
        <f t="shared" si="1"/>
        <v>579014000</v>
      </c>
      <c r="D28" s="56">
        <f>D26</f>
        <v>19966000</v>
      </c>
      <c r="E28" s="128"/>
      <c r="F28" s="127"/>
      <c r="G28" s="56"/>
      <c r="H28" s="127"/>
      <c r="I28" s="129"/>
    </row>
    <row r="29" spans="1:9" ht="12.75">
      <c r="A29" s="113">
        <v>39172</v>
      </c>
      <c r="B29" s="114">
        <f t="shared" si="0"/>
        <v>3</v>
      </c>
      <c r="C29" s="55">
        <f t="shared" si="1"/>
        <v>579014000</v>
      </c>
      <c r="D29" s="55"/>
      <c r="E29" s="115">
        <f>E27</f>
        <v>0.061</v>
      </c>
      <c r="F29" s="55">
        <f>((C28+D28)*E29/360*B28)+((C29+D29)*E29/360*B29)</f>
        <v>9124295.616666667</v>
      </c>
      <c r="G29" s="55"/>
      <c r="H29" s="114"/>
      <c r="I29" s="119"/>
    </row>
    <row r="30" spans="1:9" ht="12.75">
      <c r="A30" s="113">
        <v>39261</v>
      </c>
      <c r="B30" s="114">
        <f t="shared" si="0"/>
        <v>89</v>
      </c>
      <c r="C30" s="55">
        <f t="shared" si="1"/>
        <v>559048000</v>
      </c>
      <c r="D30" s="55">
        <f>D28</f>
        <v>19966000</v>
      </c>
      <c r="E30" s="118"/>
      <c r="F30" s="114"/>
      <c r="G30" s="55"/>
      <c r="H30" s="114"/>
      <c r="I30" s="119"/>
    </row>
    <row r="31" spans="1:9" ht="12.75">
      <c r="A31" s="113">
        <v>39263</v>
      </c>
      <c r="B31" s="114">
        <f t="shared" si="0"/>
        <v>2</v>
      </c>
      <c r="C31" s="55">
        <f t="shared" si="1"/>
        <v>559048000</v>
      </c>
      <c r="D31" s="55"/>
      <c r="E31" s="115">
        <f>E29</f>
        <v>0.061</v>
      </c>
      <c r="F31" s="55">
        <f>((C30+D30)*E31/360*B30)+((C31+D31)*E31/360*B31)</f>
        <v>8921307.95</v>
      </c>
      <c r="G31" s="55"/>
      <c r="H31" s="114"/>
      <c r="I31" s="119"/>
    </row>
    <row r="32" spans="1:9" ht="12.75">
      <c r="A32" s="113">
        <v>39353</v>
      </c>
      <c r="B32" s="114">
        <f t="shared" si="0"/>
        <v>90</v>
      </c>
      <c r="C32" s="55">
        <f t="shared" si="1"/>
        <v>539082000</v>
      </c>
      <c r="D32" s="55">
        <f>D30</f>
        <v>19966000</v>
      </c>
      <c r="E32" s="118"/>
      <c r="F32" s="114"/>
      <c r="G32" s="55"/>
      <c r="H32" s="114"/>
      <c r="I32" s="119"/>
    </row>
    <row r="33" spans="1:9" ht="12.75">
      <c r="A33" s="113">
        <v>39355</v>
      </c>
      <c r="B33" s="114">
        <f t="shared" si="0"/>
        <v>2</v>
      </c>
      <c r="C33" s="55">
        <f t="shared" si="1"/>
        <v>539082000</v>
      </c>
      <c r="D33" s="55"/>
      <c r="E33" s="115">
        <f>E31</f>
        <v>0.061</v>
      </c>
      <c r="F33" s="55">
        <f>((C32+D32)*E33/360*B32)+((C33+D33)*E33/360*B33)</f>
        <v>8708170.9</v>
      </c>
      <c r="G33" s="55"/>
      <c r="H33" s="114"/>
      <c r="I33" s="119"/>
    </row>
    <row r="34" spans="1:9" ht="12.75">
      <c r="A34" s="113">
        <v>39444</v>
      </c>
      <c r="B34" s="114">
        <f t="shared" si="0"/>
        <v>89</v>
      </c>
      <c r="C34" s="55">
        <f t="shared" si="1"/>
        <v>519116000</v>
      </c>
      <c r="D34" s="55">
        <f>D32</f>
        <v>19966000</v>
      </c>
      <c r="E34" s="118"/>
      <c r="F34" s="114"/>
      <c r="G34" s="55"/>
      <c r="H34" s="114"/>
      <c r="I34" s="119"/>
    </row>
    <row r="35" spans="1:9" ht="12.75">
      <c r="A35" s="120">
        <v>39447</v>
      </c>
      <c r="B35" s="121">
        <f t="shared" si="0"/>
        <v>3</v>
      </c>
      <c r="C35" s="122">
        <f t="shared" si="1"/>
        <v>519116000</v>
      </c>
      <c r="D35" s="122"/>
      <c r="E35" s="123">
        <f>E33</f>
        <v>0.061</v>
      </c>
      <c r="F35" s="122">
        <f>((C34+D34)*E35/360*B34)+((C35+D35)*E35/360*B35)</f>
        <v>8393540.016666666</v>
      </c>
      <c r="G35" s="124">
        <f>SUM(F29:F35)</f>
        <v>35147314.483333334</v>
      </c>
      <c r="H35" s="124">
        <f>SUM(D28:D35)</f>
        <v>79864000</v>
      </c>
      <c r="I35" s="125">
        <f>SUM(G35:H35)</f>
        <v>115011314.48333333</v>
      </c>
    </row>
    <row r="36" spans="1:9" ht="12.75">
      <c r="A36" s="126">
        <v>39535</v>
      </c>
      <c r="B36" s="127">
        <f t="shared" si="0"/>
        <v>88</v>
      </c>
      <c r="C36" s="56">
        <f t="shared" si="1"/>
        <v>499150000</v>
      </c>
      <c r="D36" s="56">
        <f>D34</f>
        <v>19966000</v>
      </c>
      <c r="E36" s="128"/>
      <c r="F36" s="127"/>
      <c r="G36" s="56"/>
      <c r="H36" s="127"/>
      <c r="I36" s="129"/>
    </row>
    <row r="37" spans="1:9" ht="12.75">
      <c r="A37" s="113">
        <v>39538</v>
      </c>
      <c r="B37" s="114">
        <f t="shared" si="0"/>
        <v>3</v>
      </c>
      <c r="C37" s="55">
        <f t="shared" si="1"/>
        <v>499150000</v>
      </c>
      <c r="D37" s="55"/>
      <c r="E37" s="115">
        <f>E35</f>
        <v>0.061</v>
      </c>
      <c r="F37" s="55">
        <f>((C36+D36)*E37/360*B36)+((C37+D37)*E37/360*B37)</f>
        <v>7994330.938888889</v>
      </c>
      <c r="G37" s="55"/>
      <c r="H37" s="114"/>
      <c r="I37" s="119"/>
    </row>
    <row r="38" spans="1:9" ht="12.75">
      <c r="A38" s="113">
        <v>39627</v>
      </c>
      <c r="B38" s="114">
        <f t="shared" si="0"/>
        <v>89</v>
      </c>
      <c r="C38" s="55">
        <f t="shared" si="1"/>
        <v>479184000</v>
      </c>
      <c r="D38" s="55">
        <f>D36</f>
        <v>19966000</v>
      </c>
      <c r="E38" s="118"/>
      <c r="F38" s="114"/>
      <c r="G38" s="55"/>
      <c r="H38" s="114"/>
      <c r="I38" s="119"/>
    </row>
    <row r="39" spans="1:9" ht="12.75">
      <c r="A39" s="113">
        <v>39629</v>
      </c>
      <c r="B39" s="114">
        <f t="shared" si="0"/>
        <v>2</v>
      </c>
      <c r="C39" s="55">
        <f t="shared" si="1"/>
        <v>479184000</v>
      </c>
      <c r="D39" s="55"/>
      <c r="E39" s="115">
        <f>E37</f>
        <v>0.061</v>
      </c>
      <c r="F39" s="55">
        <f>((C38+D38)*E39/360*B38)+((C39+D39)*E39/360*B39)</f>
        <v>7689849.438888889</v>
      </c>
      <c r="G39" s="55"/>
      <c r="H39" s="114"/>
      <c r="I39" s="119"/>
    </row>
    <row r="40" spans="1:9" ht="12.75">
      <c r="A40" s="113">
        <v>39719</v>
      </c>
      <c r="B40" s="114">
        <f t="shared" si="0"/>
        <v>90</v>
      </c>
      <c r="C40" s="55">
        <f t="shared" si="1"/>
        <v>459218000</v>
      </c>
      <c r="D40" s="55">
        <f>D38</f>
        <v>19966000</v>
      </c>
      <c r="E40" s="118"/>
      <c r="F40" s="114"/>
      <c r="G40" s="55"/>
      <c r="H40" s="114"/>
      <c r="I40" s="119"/>
    </row>
    <row r="41" spans="1:9" ht="12.75">
      <c r="A41" s="113">
        <v>39721</v>
      </c>
      <c r="B41" s="114">
        <f t="shared" si="0"/>
        <v>2</v>
      </c>
      <c r="C41" s="55">
        <f t="shared" si="1"/>
        <v>459218000</v>
      </c>
      <c r="D41" s="55"/>
      <c r="E41" s="115">
        <f>E39</f>
        <v>0.061</v>
      </c>
      <c r="F41" s="55">
        <f>((C40+D40)*E41/360*B40)+((C41+D41)*E41/360*B41)</f>
        <v>7463179.877777778</v>
      </c>
      <c r="G41" s="55"/>
      <c r="H41" s="114"/>
      <c r="I41" s="119"/>
    </row>
    <row r="42" spans="1:9" ht="12.75">
      <c r="A42" s="113">
        <v>39810</v>
      </c>
      <c r="B42" s="114">
        <f t="shared" si="0"/>
        <v>89</v>
      </c>
      <c r="C42" s="55">
        <f t="shared" si="1"/>
        <v>439252000</v>
      </c>
      <c r="D42" s="55">
        <f>D40</f>
        <v>19966000</v>
      </c>
      <c r="E42" s="118"/>
      <c r="F42" s="114"/>
      <c r="G42" s="55"/>
      <c r="H42" s="114"/>
      <c r="I42" s="119"/>
    </row>
    <row r="43" spans="1:9" ht="12.75">
      <c r="A43" s="120">
        <v>39813</v>
      </c>
      <c r="B43" s="121">
        <f t="shared" si="0"/>
        <v>3</v>
      </c>
      <c r="C43" s="122">
        <f t="shared" si="1"/>
        <v>439252000</v>
      </c>
      <c r="D43" s="122"/>
      <c r="E43" s="123">
        <f>E41</f>
        <v>0.061</v>
      </c>
      <c r="F43" s="122">
        <f>((C42+D42)*E43/360*B42)+((C43+D43)*E43/360*B43)</f>
        <v>7148548.994444445</v>
      </c>
      <c r="G43" s="124">
        <f>SUM(F37:F43)</f>
        <v>30295909.25</v>
      </c>
      <c r="H43" s="124">
        <f>SUM(D36:D43)</f>
        <v>79864000</v>
      </c>
      <c r="I43" s="125">
        <f>SUM(G43:H43)</f>
        <v>110159909.25</v>
      </c>
    </row>
    <row r="44" spans="1:9" ht="12.75">
      <c r="A44" s="126">
        <v>39900</v>
      </c>
      <c r="B44" s="127">
        <f t="shared" si="0"/>
        <v>87</v>
      </c>
      <c r="C44" s="56">
        <f t="shared" si="1"/>
        <v>419286000</v>
      </c>
      <c r="D44" s="56">
        <f>D42</f>
        <v>19966000</v>
      </c>
      <c r="E44" s="128"/>
      <c r="F44" s="127"/>
      <c r="G44" s="56"/>
      <c r="H44" s="127"/>
      <c r="I44" s="129"/>
    </row>
    <row r="45" spans="1:9" ht="12.75">
      <c r="A45" s="113">
        <v>39903</v>
      </c>
      <c r="B45" s="114">
        <f t="shared" si="0"/>
        <v>3</v>
      </c>
      <c r="C45" s="55">
        <f t="shared" si="1"/>
        <v>419286000</v>
      </c>
      <c r="D45" s="55"/>
      <c r="E45" s="115">
        <f>E43</f>
        <v>0.061</v>
      </c>
      <c r="F45" s="55">
        <f>((C44+D44)*E45/360*B44)+((C45+D45)*E45/360*B45)</f>
        <v>6688443.616666666</v>
      </c>
      <c r="G45" s="55"/>
      <c r="H45" s="114"/>
      <c r="I45" s="119"/>
    </row>
    <row r="46" spans="1:9" ht="12.75">
      <c r="A46" s="113">
        <v>39992</v>
      </c>
      <c r="B46" s="114">
        <f t="shared" si="0"/>
        <v>89</v>
      </c>
      <c r="C46" s="55">
        <f t="shared" si="1"/>
        <v>399320000</v>
      </c>
      <c r="D46" s="55">
        <f>D44</f>
        <v>19966000</v>
      </c>
      <c r="E46" s="118"/>
      <c r="F46" s="114"/>
      <c r="G46" s="55"/>
      <c r="H46" s="114"/>
      <c r="I46" s="119"/>
    </row>
    <row r="47" spans="1:9" ht="12.75">
      <c r="A47" s="113">
        <v>39994</v>
      </c>
      <c r="B47" s="114">
        <f t="shared" si="0"/>
        <v>2</v>
      </c>
      <c r="C47" s="55">
        <f t="shared" si="1"/>
        <v>399320000</v>
      </c>
      <c r="D47" s="55"/>
      <c r="E47" s="115">
        <f>E45</f>
        <v>0.061</v>
      </c>
      <c r="F47" s="55">
        <f>((C46+D46)*E47/360*B46)+((C47+D47)*E47/360*B47)</f>
        <v>6458390.927777777</v>
      </c>
      <c r="G47" s="55"/>
      <c r="H47" s="114"/>
      <c r="I47" s="119"/>
    </row>
    <row r="48" spans="1:9" ht="12.75">
      <c r="A48" s="113">
        <v>40084</v>
      </c>
      <c r="B48" s="114">
        <f t="shared" si="0"/>
        <v>90</v>
      </c>
      <c r="C48" s="55">
        <f t="shared" si="1"/>
        <v>379354000</v>
      </c>
      <c r="D48" s="55">
        <f>D46</f>
        <v>19966000</v>
      </c>
      <c r="E48" s="118"/>
      <c r="F48" s="114"/>
      <c r="G48" s="55"/>
      <c r="H48" s="114"/>
      <c r="I48" s="119"/>
    </row>
    <row r="49" spans="1:9" ht="12.75">
      <c r="A49" s="113">
        <v>40086</v>
      </c>
      <c r="B49" s="114">
        <f t="shared" si="0"/>
        <v>2</v>
      </c>
      <c r="C49" s="55">
        <f t="shared" si="1"/>
        <v>379354000</v>
      </c>
      <c r="D49" s="55"/>
      <c r="E49" s="115">
        <f>E47</f>
        <v>0.061</v>
      </c>
      <c r="F49" s="55">
        <f>((C48+D48)*E49/360*B48)+((C49+D49)*E49/360*B49)</f>
        <v>6218188.855555557</v>
      </c>
      <c r="G49" s="55"/>
      <c r="H49" s="114"/>
      <c r="I49" s="119"/>
    </row>
    <row r="50" spans="1:9" ht="12.75">
      <c r="A50" s="113">
        <v>40175</v>
      </c>
      <c r="B50" s="114">
        <f t="shared" si="0"/>
        <v>89</v>
      </c>
      <c r="C50" s="55">
        <f t="shared" si="1"/>
        <v>359388000</v>
      </c>
      <c r="D50" s="55">
        <f>D48</f>
        <v>19966000</v>
      </c>
      <c r="E50" s="118"/>
      <c r="F50" s="114"/>
      <c r="G50" s="55"/>
      <c r="H50" s="114"/>
      <c r="I50" s="119"/>
    </row>
    <row r="51" spans="1:9" ht="12.75">
      <c r="A51" s="120">
        <v>40178</v>
      </c>
      <c r="B51" s="121">
        <f t="shared" si="0"/>
        <v>3</v>
      </c>
      <c r="C51" s="122">
        <f t="shared" si="1"/>
        <v>359388000</v>
      </c>
      <c r="D51" s="122"/>
      <c r="E51" s="123">
        <f>E49</f>
        <v>0.061</v>
      </c>
      <c r="F51" s="122">
        <f>((C50+D50)*E51/360*B50)+((C51+D51)*E51/360*B51)</f>
        <v>5903557.972222222</v>
      </c>
      <c r="G51" s="124">
        <f>SUM(F45:F51)</f>
        <v>25268581.372222222</v>
      </c>
      <c r="H51" s="124">
        <f>SUM(D44:D51)</f>
        <v>79864000</v>
      </c>
      <c r="I51" s="125">
        <f>SUM(G51:H51)</f>
        <v>105132581.37222221</v>
      </c>
    </row>
    <row r="52" spans="1:9" ht="12.75">
      <c r="A52" s="126">
        <v>40265</v>
      </c>
      <c r="B52" s="127">
        <f t="shared" si="0"/>
        <v>87</v>
      </c>
      <c r="C52" s="56">
        <f t="shared" si="1"/>
        <v>339422000</v>
      </c>
      <c r="D52" s="56">
        <f>D50</f>
        <v>19966000</v>
      </c>
      <c r="E52" s="128"/>
      <c r="F52" s="127"/>
      <c r="G52" s="56"/>
      <c r="H52" s="127"/>
      <c r="I52" s="129"/>
    </row>
    <row r="53" spans="1:9" ht="12.75">
      <c r="A53" s="113">
        <v>40268</v>
      </c>
      <c r="B53" s="114">
        <f t="shared" si="0"/>
        <v>3</v>
      </c>
      <c r="C53" s="55">
        <f t="shared" si="1"/>
        <v>339422000</v>
      </c>
      <c r="D53" s="55"/>
      <c r="E53" s="115">
        <f>E51</f>
        <v>0.061</v>
      </c>
      <c r="F53" s="55">
        <f>((C52+D52)*E53/360*B52)+((C53+D53)*E53/360*B53)</f>
        <v>5470517.616666667</v>
      </c>
      <c r="G53" s="55"/>
      <c r="H53" s="114"/>
      <c r="I53" s="119"/>
    </row>
    <row r="54" spans="1:9" ht="12.75">
      <c r="A54" s="113">
        <v>40357</v>
      </c>
      <c r="B54" s="114">
        <f t="shared" si="0"/>
        <v>89</v>
      </c>
      <c r="C54" s="55">
        <f t="shared" si="1"/>
        <v>319456000</v>
      </c>
      <c r="D54" s="55">
        <f>D52</f>
        <v>19966000</v>
      </c>
      <c r="E54" s="115"/>
      <c r="F54" s="55"/>
      <c r="G54" s="55"/>
      <c r="H54" s="114"/>
      <c r="I54" s="119"/>
    </row>
    <row r="55" spans="1:9" ht="12.75">
      <c r="A55" s="113">
        <v>40359</v>
      </c>
      <c r="B55" s="114">
        <f t="shared" si="0"/>
        <v>2</v>
      </c>
      <c r="C55" s="55">
        <f t="shared" si="1"/>
        <v>319456000</v>
      </c>
      <c r="D55" s="55"/>
      <c r="E55" s="115">
        <f>E53</f>
        <v>0.061</v>
      </c>
      <c r="F55" s="55">
        <f>((C54+D54)*E55/360*B54)+((C55+D55)*E55/360*B55)</f>
        <v>5226932.416666667</v>
      </c>
      <c r="G55" s="55"/>
      <c r="H55" s="114"/>
      <c r="I55" s="119"/>
    </row>
    <row r="56" spans="1:9" ht="12.75">
      <c r="A56" s="113">
        <v>40449</v>
      </c>
      <c r="B56" s="114">
        <f t="shared" si="0"/>
        <v>90</v>
      </c>
      <c r="C56" s="55">
        <f t="shared" si="1"/>
        <v>299490000</v>
      </c>
      <c r="D56" s="55">
        <f>D54</f>
        <v>19966000</v>
      </c>
      <c r="E56" s="115"/>
      <c r="F56" s="55"/>
      <c r="G56" s="55"/>
      <c r="H56" s="114"/>
      <c r="I56" s="119"/>
    </row>
    <row r="57" spans="1:9" ht="12.75">
      <c r="A57" s="113">
        <v>40451</v>
      </c>
      <c r="B57" s="114">
        <f t="shared" si="0"/>
        <v>2</v>
      </c>
      <c r="C57" s="55">
        <f t="shared" si="1"/>
        <v>299490000</v>
      </c>
      <c r="D57" s="55"/>
      <c r="E57" s="115">
        <f>E55</f>
        <v>0.061</v>
      </c>
      <c r="F57" s="55">
        <f>((C56+D56)*E57/360*B56)+((C57+D57)*E57/360*B57)</f>
        <v>4973197.833333333</v>
      </c>
      <c r="G57" s="55"/>
      <c r="H57" s="114"/>
      <c r="I57" s="119"/>
    </row>
    <row r="58" spans="1:9" ht="12.75">
      <c r="A58" s="113">
        <v>40540</v>
      </c>
      <c r="B58" s="114">
        <f t="shared" si="0"/>
        <v>89</v>
      </c>
      <c r="C58" s="55">
        <f>C57-D58</f>
        <v>279524000</v>
      </c>
      <c r="D58" s="55">
        <f>D56</f>
        <v>19966000</v>
      </c>
      <c r="E58" s="118"/>
      <c r="F58" s="114"/>
      <c r="G58" s="55"/>
      <c r="H58" s="114"/>
      <c r="I58" s="119"/>
    </row>
    <row r="59" spans="1:9" ht="12.75">
      <c r="A59" s="120">
        <v>40543</v>
      </c>
      <c r="B59" s="121">
        <f t="shared" si="0"/>
        <v>3</v>
      </c>
      <c r="C59" s="122">
        <f>C58-D59</f>
        <v>279524000</v>
      </c>
      <c r="D59" s="122"/>
      <c r="E59" s="123">
        <f>E57</f>
        <v>0.061</v>
      </c>
      <c r="F59" s="122">
        <f>((C58+D58)*E59/360*B58)</f>
        <v>4516475.583333333</v>
      </c>
      <c r="G59" s="124">
        <f>SUM(F52:F59)</f>
        <v>20187123.45</v>
      </c>
      <c r="H59" s="124">
        <f>SUM(D52:D59)</f>
        <v>79864000</v>
      </c>
      <c r="I59" s="125">
        <f>SUM(G59:H59)</f>
        <v>100051123.45</v>
      </c>
    </row>
    <row r="60" spans="1:9" ht="12.75">
      <c r="A60" s="126">
        <v>40630</v>
      </c>
      <c r="B60" s="127">
        <f t="shared" si="0"/>
        <v>87</v>
      </c>
      <c r="C60" s="56">
        <f aca="true" t="shared" si="2" ref="C60:C65">C59-D60</f>
        <v>259558000</v>
      </c>
      <c r="D60" s="56">
        <f>D58</f>
        <v>19966000</v>
      </c>
      <c r="E60" s="128"/>
      <c r="F60" s="127"/>
      <c r="G60" s="56"/>
      <c r="H60" s="127"/>
      <c r="I60" s="129"/>
    </row>
    <row r="61" spans="1:9" ht="12.75">
      <c r="A61" s="113">
        <v>40633</v>
      </c>
      <c r="B61" s="114">
        <f t="shared" si="0"/>
        <v>3</v>
      </c>
      <c r="C61" s="55">
        <f t="shared" si="2"/>
        <v>259558000</v>
      </c>
      <c r="D61" s="55"/>
      <c r="E61" s="115">
        <f>E59</f>
        <v>0.061</v>
      </c>
      <c r="F61" s="55">
        <f>((C60+D60)*E61/360*B60)+((C61+D61)*E61/360*B61)</f>
        <v>4252591.616666667</v>
      </c>
      <c r="G61" s="55"/>
      <c r="H61" s="114"/>
      <c r="I61" s="119"/>
    </row>
    <row r="62" spans="1:9" ht="12.75">
      <c r="A62" s="113">
        <v>40722</v>
      </c>
      <c r="B62" s="114">
        <f t="shared" si="0"/>
        <v>89</v>
      </c>
      <c r="C62" s="55">
        <f t="shared" si="2"/>
        <v>239592000</v>
      </c>
      <c r="D62" s="55">
        <f>D60</f>
        <v>19966000</v>
      </c>
      <c r="E62" s="115"/>
      <c r="F62" s="55"/>
      <c r="G62" s="55"/>
      <c r="H62" s="114"/>
      <c r="I62" s="119"/>
    </row>
    <row r="63" spans="1:9" ht="12.75">
      <c r="A63" s="113">
        <v>40724</v>
      </c>
      <c r="B63" s="114">
        <f t="shared" si="0"/>
        <v>2</v>
      </c>
      <c r="C63" s="55">
        <f t="shared" si="2"/>
        <v>239592000</v>
      </c>
      <c r="D63" s="55"/>
      <c r="E63" s="115">
        <f>E61</f>
        <v>0.061</v>
      </c>
      <c r="F63" s="55">
        <f>((C62+D62)*E63/360*B62)+((C63+D63)*E63/360*B63)</f>
        <v>3995473.905555556</v>
      </c>
      <c r="G63" s="55"/>
      <c r="H63" s="114"/>
      <c r="I63" s="119"/>
    </row>
    <row r="64" spans="1:9" ht="12.75">
      <c r="A64" s="113">
        <v>40814</v>
      </c>
      <c r="B64" s="114">
        <f t="shared" si="0"/>
        <v>90</v>
      </c>
      <c r="C64" s="55">
        <f t="shared" si="2"/>
        <v>219626000</v>
      </c>
      <c r="D64" s="55">
        <f>D62</f>
        <v>19966000</v>
      </c>
      <c r="E64" s="115"/>
      <c r="F64" s="55"/>
      <c r="G64" s="55"/>
      <c r="H64" s="114"/>
      <c r="I64" s="119"/>
    </row>
    <row r="65" spans="1:9" ht="12.75">
      <c r="A65" s="113">
        <v>40816</v>
      </c>
      <c r="B65" s="114">
        <f t="shared" si="0"/>
        <v>2</v>
      </c>
      <c r="C65" s="55">
        <f t="shared" si="2"/>
        <v>219626000</v>
      </c>
      <c r="D65" s="55"/>
      <c r="E65" s="115">
        <f>E63</f>
        <v>0.061</v>
      </c>
      <c r="F65" s="55">
        <f>((C64+D64)*E65/360*B64)+((C65+D65)*E65/360*B65)</f>
        <v>3728206.811111111</v>
      </c>
      <c r="G65" s="55"/>
      <c r="H65" s="114"/>
      <c r="I65" s="119"/>
    </row>
    <row r="66" spans="1:9" ht="12.75">
      <c r="A66" s="113">
        <v>40905</v>
      </c>
      <c r="B66" s="114">
        <f>A66-A65</f>
        <v>89</v>
      </c>
      <c r="C66" s="55">
        <f>C65-D66</f>
        <v>199660000</v>
      </c>
      <c r="D66" s="55">
        <f>D64</f>
        <v>19966000</v>
      </c>
      <c r="E66" s="118"/>
      <c r="F66" s="114"/>
      <c r="G66" s="55"/>
      <c r="H66" s="114"/>
      <c r="I66" s="119"/>
    </row>
    <row r="67" spans="1:9" ht="12.75">
      <c r="A67" s="120">
        <v>40908</v>
      </c>
      <c r="B67" s="121">
        <f>A67-A66</f>
        <v>3</v>
      </c>
      <c r="C67" s="122">
        <f>C66-D67</f>
        <v>199660000</v>
      </c>
      <c r="D67" s="122"/>
      <c r="E67" s="123">
        <f>E65</f>
        <v>0.061</v>
      </c>
      <c r="F67" s="122">
        <f>((C66+D66)*E67/360*B66)</f>
        <v>3312082.0944444444</v>
      </c>
      <c r="G67" s="124">
        <f>SUM(F60:F67)</f>
        <v>15288354.427777778</v>
      </c>
      <c r="H67" s="124">
        <f>SUM(D60:D67)</f>
        <v>79864000</v>
      </c>
      <c r="I67" s="125">
        <f>SUM(G67:H67)</f>
        <v>95152354.42777778</v>
      </c>
    </row>
    <row r="68" spans="1:9" ht="12.75">
      <c r="A68" s="126">
        <v>40996</v>
      </c>
      <c r="B68" s="127">
        <f aca="true" t="shared" si="3" ref="B68:B86">A68-A67</f>
        <v>88</v>
      </c>
      <c r="C68" s="56">
        <f aca="true" t="shared" si="4" ref="C68:C86">C67-D68</f>
        <v>179694000</v>
      </c>
      <c r="D68" s="56">
        <f>D66</f>
        <v>19966000</v>
      </c>
      <c r="E68" s="128"/>
      <c r="F68" s="127"/>
      <c r="G68" s="56"/>
      <c r="H68" s="127"/>
      <c r="I68" s="129"/>
    </row>
    <row r="69" spans="1:9" ht="12.75">
      <c r="A69" s="113">
        <v>40999</v>
      </c>
      <c r="B69" s="114">
        <f t="shared" si="3"/>
        <v>3</v>
      </c>
      <c r="C69" s="55">
        <f t="shared" si="4"/>
        <v>179694000</v>
      </c>
      <c r="D69" s="55"/>
      <c r="E69" s="115">
        <f>E67</f>
        <v>0.061</v>
      </c>
      <c r="F69" s="55">
        <f>((C68+D68)*E69/360*B68)+((C69+D69)*E69/360*B69)</f>
        <v>3068496.894444445</v>
      </c>
      <c r="G69" s="55"/>
      <c r="H69" s="114"/>
      <c r="I69" s="119"/>
    </row>
    <row r="70" spans="1:9" ht="12.75">
      <c r="A70" s="113">
        <v>41088</v>
      </c>
      <c r="B70" s="114">
        <f t="shared" si="3"/>
        <v>89</v>
      </c>
      <c r="C70" s="55">
        <f t="shared" si="4"/>
        <v>159728000</v>
      </c>
      <c r="D70" s="55">
        <f>D68</f>
        <v>19966000</v>
      </c>
      <c r="E70" s="115"/>
      <c r="F70" s="55"/>
      <c r="G70" s="55"/>
      <c r="H70" s="114"/>
      <c r="I70" s="119"/>
    </row>
    <row r="71" spans="1:9" ht="12.75">
      <c r="A71" s="113">
        <v>41090</v>
      </c>
      <c r="B71" s="114">
        <f t="shared" si="3"/>
        <v>2</v>
      </c>
      <c r="C71" s="55">
        <f t="shared" si="4"/>
        <v>159728000</v>
      </c>
      <c r="D71" s="55"/>
      <c r="E71" s="115">
        <f>E69</f>
        <v>0.061</v>
      </c>
      <c r="F71" s="55">
        <f>((C70+D70)*E71/360*B70)+((C71+D71)*E71/360*B71)</f>
        <v>2764015.3944444447</v>
      </c>
      <c r="G71" s="55"/>
      <c r="H71" s="114"/>
      <c r="I71" s="119"/>
    </row>
    <row r="72" spans="1:9" ht="12.75">
      <c r="A72" s="113">
        <v>41180</v>
      </c>
      <c r="B72" s="114">
        <f t="shared" si="3"/>
        <v>90</v>
      </c>
      <c r="C72" s="55">
        <f t="shared" si="4"/>
        <v>139762000</v>
      </c>
      <c r="D72" s="55">
        <f>D70</f>
        <v>19966000</v>
      </c>
      <c r="E72" s="115"/>
      <c r="F72" s="55"/>
      <c r="G72" s="55"/>
      <c r="H72" s="114"/>
      <c r="I72" s="119"/>
    </row>
    <row r="73" spans="1:9" ht="12.75">
      <c r="A73" s="113">
        <v>41182</v>
      </c>
      <c r="B73" s="114">
        <f t="shared" si="3"/>
        <v>2</v>
      </c>
      <c r="C73" s="55">
        <f t="shared" si="4"/>
        <v>139762000</v>
      </c>
      <c r="D73" s="55"/>
      <c r="E73" s="115">
        <f>E71</f>
        <v>0.061</v>
      </c>
      <c r="F73" s="55">
        <f>((C72+D72)*E73/360*B72)+((C73+D73)*E73/360*B73)</f>
        <v>2483215.788888889</v>
      </c>
      <c r="G73" s="55"/>
      <c r="H73" s="114"/>
      <c r="I73" s="119"/>
    </row>
    <row r="74" spans="1:9" ht="12.75">
      <c r="A74" s="113">
        <v>41271</v>
      </c>
      <c r="B74" s="114">
        <f t="shared" si="3"/>
        <v>89</v>
      </c>
      <c r="C74" s="55">
        <f t="shared" si="4"/>
        <v>119796000</v>
      </c>
      <c r="D74" s="55">
        <f>D72</f>
        <v>19966000</v>
      </c>
      <c r="E74" s="118"/>
      <c r="F74" s="114"/>
      <c r="G74" s="55"/>
      <c r="H74" s="114"/>
      <c r="I74" s="119"/>
    </row>
    <row r="75" spans="1:9" ht="12.75">
      <c r="A75" s="120">
        <v>41274</v>
      </c>
      <c r="B75" s="121">
        <f t="shared" si="3"/>
        <v>3</v>
      </c>
      <c r="C75" s="122">
        <f t="shared" si="4"/>
        <v>119796000</v>
      </c>
      <c r="D75" s="122"/>
      <c r="E75" s="123">
        <f>E73</f>
        <v>0.061</v>
      </c>
      <c r="F75" s="122">
        <f>((C74+D74)*E75/360*B74)</f>
        <v>2107688.605555556</v>
      </c>
      <c r="G75" s="124">
        <f>SUM(F68:F75)</f>
        <v>10423416.683333334</v>
      </c>
      <c r="H75" s="124">
        <f>SUM(D68:D75)</f>
        <v>79864000</v>
      </c>
      <c r="I75" s="125">
        <f>SUM(G75:H75)</f>
        <v>90287416.68333334</v>
      </c>
    </row>
    <row r="76" spans="1:9" ht="12.75">
      <c r="A76" s="126">
        <v>41361</v>
      </c>
      <c r="B76" s="127">
        <f t="shared" si="3"/>
        <v>87</v>
      </c>
      <c r="C76" s="56">
        <f t="shared" si="4"/>
        <v>99830000</v>
      </c>
      <c r="D76" s="56">
        <f>D74</f>
        <v>19966000</v>
      </c>
      <c r="E76" s="128"/>
      <c r="F76" s="127"/>
      <c r="G76" s="56"/>
      <c r="H76" s="127"/>
      <c r="I76" s="129"/>
    </row>
    <row r="77" spans="1:9" ht="12.75">
      <c r="A77" s="113">
        <v>41364</v>
      </c>
      <c r="B77" s="114">
        <f t="shared" si="3"/>
        <v>3</v>
      </c>
      <c r="C77" s="55">
        <f t="shared" si="4"/>
        <v>99830000</v>
      </c>
      <c r="D77" s="55"/>
      <c r="E77" s="115">
        <f>E75</f>
        <v>0.061</v>
      </c>
      <c r="F77" s="55">
        <f>((C76+D76)*E77/360*B76)+((C77+D77)*E77/360*B77)</f>
        <v>1816739.6166666667</v>
      </c>
      <c r="G77" s="55"/>
      <c r="H77" s="114"/>
      <c r="I77" s="119"/>
    </row>
    <row r="78" spans="1:9" ht="12.75">
      <c r="A78" s="113">
        <v>41453</v>
      </c>
      <c r="B78" s="114">
        <f t="shared" si="3"/>
        <v>89</v>
      </c>
      <c r="C78" s="55">
        <f t="shared" si="4"/>
        <v>79864000</v>
      </c>
      <c r="D78" s="55">
        <f>D76</f>
        <v>19966000</v>
      </c>
      <c r="E78" s="115"/>
      <c r="F78" s="55"/>
      <c r="G78" s="55"/>
      <c r="H78" s="114"/>
      <c r="I78" s="119"/>
    </row>
    <row r="79" spans="1:9" ht="12.75">
      <c r="A79" s="113">
        <v>41455</v>
      </c>
      <c r="B79" s="114">
        <f t="shared" si="3"/>
        <v>2</v>
      </c>
      <c r="C79" s="55">
        <f t="shared" si="4"/>
        <v>79864000</v>
      </c>
      <c r="D79" s="55"/>
      <c r="E79" s="115">
        <f>E77</f>
        <v>0.061</v>
      </c>
      <c r="F79" s="55">
        <f>((C78+D78)*E79/360*B78)+((C79+D79)*E79/360*B79)</f>
        <v>1532556.8833333335</v>
      </c>
      <c r="G79" s="55"/>
      <c r="H79" s="114"/>
      <c r="I79" s="119"/>
    </row>
    <row r="80" spans="1:9" ht="12.75">
      <c r="A80" s="113">
        <v>41545</v>
      </c>
      <c r="B80" s="114">
        <f t="shared" si="3"/>
        <v>90</v>
      </c>
      <c r="C80" s="55">
        <f t="shared" si="4"/>
        <v>59898000</v>
      </c>
      <c r="D80" s="55">
        <f>D78</f>
        <v>19966000</v>
      </c>
      <c r="E80" s="115"/>
      <c r="F80" s="55"/>
      <c r="G80" s="130"/>
      <c r="H80" s="131"/>
      <c r="I80" s="132"/>
    </row>
    <row r="81" spans="1:9" ht="12.75">
      <c r="A81" s="113">
        <v>41547</v>
      </c>
      <c r="B81" s="114">
        <f t="shared" si="3"/>
        <v>2</v>
      </c>
      <c r="C81" s="55">
        <f t="shared" si="4"/>
        <v>59898000</v>
      </c>
      <c r="D81" s="55"/>
      <c r="E81" s="115">
        <f>E79</f>
        <v>0.061</v>
      </c>
      <c r="F81" s="55">
        <f>((C80+D80)*E81/360*B80)+((C81+D81)*E81/360*B81)</f>
        <v>1238224.7666666666</v>
      </c>
      <c r="G81" s="130"/>
      <c r="H81" s="131"/>
      <c r="I81" s="132"/>
    </row>
    <row r="82" spans="1:9" ht="12.75">
      <c r="A82" s="113">
        <v>41636</v>
      </c>
      <c r="B82" s="114">
        <f t="shared" si="3"/>
        <v>89</v>
      </c>
      <c r="C82" s="55">
        <f t="shared" si="4"/>
        <v>39932000</v>
      </c>
      <c r="D82" s="55">
        <f>D80</f>
        <v>19966000</v>
      </c>
      <c r="E82" s="115"/>
      <c r="F82" s="55"/>
      <c r="G82" s="130"/>
      <c r="H82" s="131"/>
      <c r="I82" s="132"/>
    </row>
    <row r="83" spans="1:9" ht="12.75">
      <c r="A83" s="120">
        <v>41639</v>
      </c>
      <c r="B83" s="121">
        <f t="shared" si="3"/>
        <v>3</v>
      </c>
      <c r="C83" s="122">
        <f t="shared" si="4"/>
        <v>39932000</v>
      </c>
      <c r="D83" s="122"/>
      <c r="E83" s="123">
        <f>E81</f>
        <v>0.061</v>
      </c>
      <c r="F83" s="122">
        <f>((C82+D82)*E83/360*B82)+((C83+D83)*E83/360*B83)</f>
        <v>923593.8833333334</v>
      </c>
      <c r="G83" s="124">
        <f>SUM(F76:F83)</f>
        <v>5511115.15</v>
      </c>
      <c r="H83" s="124">
        <f>SUM(D76:D83)</f>
        <v>79864000</v>
      </c>
      <c r="I83" s="125">
        <f>SUM(G83:H83)</f>
        <v>85375115.15</v>
      </c>
    </row>
    <row r="84" spans="1:9" ht="12.75">
      <c r="A84" s="107">
        <v>41726</v>
      </c>
      <c r="B84" s="108">
        <f t="shared" si="3"/>
        <v>87</v>
      </c>
      <c r="C84" s="109">
        <f t="shared" si="4"/>
        <v>19966000</v>
      </c>
      <c r="D84" s="109">
        <f>D82</f>
        <v>19966000</v>
      </c>
      <c r="E84" s="133"/>
      <c r="F84" s="108"/>
      <c r="G84" s="134"/>
      <c r="H84" s="135"/>
      <c r="I84" s="136"/>
    </row>
    <row r="85" spans="1:9" ht="12.75">
      <c r="A85" s="113">
        <v>41729</v>
      </c>
      <c r="B85" s="114">
        <f t="shared" si="3"/>
        <v>3</v>
      </c>
      <c r="C85" s="55">
        <f t="shared" si="4"/>
        <v>19966000</v>
      </c>
      <c r="D85" s="55"/>
      <c r="E85" s="115">
        <f>E83</f>
        <v>0.061</v>
      </c>
      <c r="F85" s="55">
        <f>((C84+D84)*E85/360*B84)+((C85+D85)*E85/360*B85)</f>
        <v>598813.6166666666</v>
      </c>
      <c r="G85" s="55"/>
      <c r="H85" s="114"/>
      <c r="I85" s="119"/>
    </row>
    <row r="86" spans="1:9" ht="13.5" thickBot="1">
      <c r="A86" s="137">
        <v>41818</v>
      </c>
      <c r="B86" s="138">
        <f t="shared" si="3"/>
        <v>89</v>
      </c>
      <c r="C86" s="139">
        <f t="shared" si="4"/>
        <v>0</v>
      </c>
      <c r="D86" s="139">
        <f>D84</f>
        <v>19966000</v>
      </c>
      <c r="E86" s="140">
        <f>E79</f>
        <v>0.061</v>
      </c>
      <c r="F86" s="139">
        <f>(C86+D86)*E86/360*B86</f>
        <v>301098.3722222222</v>
      </c>
      <c r="G86" s="141">
        <f>SUM(F84:F86)</f>
        <v>899911.9888888889</v>
      </c>
      <c r="H86" s="141">
        <f>SUM(D84:D86)</f>
        <v>39932000</v>
      </c>
      <c r="I86" s="142">
        <f>SUM(G86:H86)</f>
        <v>40831911.98888889</v>
      </c>
    </row>
    <row r="87" spans="1:9" ht="13.5" thickTop="1">
      <c r="A87" s="425" t="s">
        <v>14</v>
      </c>
      <c r="B87" s="426"/>
      <c r="C87" s="427"/>
      <c r="D87" s="143">
        <f>SUM(D8:D86)</f>
        <v>718793000</v>
      </c>
      <c r="E87" s="144"/>
      <c r="F87" s="143">
        <f>SUM(F8:F86)</f>
        <v>226862413.68333343</v>
      </c>
      <c r="G87" s="143">
        <f>SUM(G8:G86)</f>
        <v>226862413.6833333</v>
      </c>
      <c r="H87" s="143">
        <f>SUM(H8:H86)</f>
        <v>718793000</v>
      </c>
      <c r="I87" s="145">
        <f>SUM(I8:I86)</f>
        <v>945655413.6833334</v>
      </c>
    </row>
    <row r="88" ht="12.75">
      <c r="A88" s="146"/>
    </row>
    <row r="89" ht="12.75">
      <c r="A89" s="146"/>
    </row>
    <row r="90" spans="2:7" ht="12.75">
      <c r="B90" s="81" t="s">
        <v>114</v>
      </c>
      <c r="D90" s="81"/>
      <c r="E90" s="148" t="s">
        <v>117</v>
      </c>
      <c r="G90" s="149">
        <v>212164432</v>
      </c>
    </row>
    <row r="91" spans="2:7" ht="12.75">
      <c r="B91" s="81" t="s">
        <v>155</v>
      </c>
      <c r="D91" s="81"/>
      <c r="E91" s="148" t="s">
        <v>154</v>
      </c>
      <c r="G91" s="149">
        <v>243593559</v>
      </c>
    </row>
    <row r="92" spans="2:7" ht="12.75">
      <c r="B92" s="81" t="s">
        <v>166</v>
      </c>
      <c r="D92" s="81"/>
      <c r="E92" s="148" t="s">
        <v>167</v>
      </c>
      <c r="G92" s="149">
        <v>10240292</v>
      </c>
    </row>
    <row r="93" spans="2:7" ht="13.5" thickBot="1">
      <c r="B93" s="81" t="s">
        <v>168</v>
      </c>
      <c r="D93" s="81"/>
      <c r="E93" s="148" t="s">
        <v>196</v>
      </c>
      <c r="G93" s="149">
        <v>252794717</v>
      </c>
    </row>
    <row r="94" spans="2:7" ht="13.5" thickTop="1">
      <c r="B94" s="150" t="s">
        <v>14</v>
      </c>
      <c r="C94" s="155"/>
      <c r="D94" s="150"/>
      <c r="E94" s="151"/>
      <c r="F94" s="152"/>
      <c r="G94" s="153">
        <f>SUM(G90:G93)</f>
        <v>718793000</v>
      </c>
    </row>
    <row r="96" spans="2:7" ht="12.75">
      <c r="B96" s="81"/>
      <c r="E96" s="81"/>
      <c r="F96" s="147"/>
      <c r="G96" s="81"/>
    </row>
    <row r="97" spans="2:7" ht="12.75">
      <c r="B97" s="81"/>
      <c r="E97" s="81"/>
      <c r="F97" s="147"/>
      <c r="G97" s="81"/>
    </row>
    <row r="98" spans="2:7" ht="12.75">
      <c r="B98" s="81"/>
      <c r="E98" s="81"/>
      <c r="G98" s="81"/>
    </row>
    <row r="99" spans="2:7" ht="12.75">
      <c r="B99" s="81"/>
      <c r="E99" s="81"/>
      <c r="G99" s="81"/>
    </row>
    <row r="100" spans="2:7" ht="12.75">
      <c r="B100" s="81"/>
      <c r="E100" s="81"/>
      <c r="F100" s="147"/>
      <c r="G100" s="81"/>
    </row>
  </sheetData>
  <mergeCells count="1">
    <mergeCell ref="A87:C87"/>
  </mergeCells>
  <printOptions horizontalCentered="1"/>
  <pageMargins left="0.5905511811023623" right="0.5905511811023623" top="0.7874015748031497" bottom="0.5905511811023623" header="0.1968503937007874" footer="0.1968503937007874"/>
  <pageSetup horizontalDpi="150" verticalDpi="150" orientation="portrait" paperSize="9" scale="90" r:id="rId1"/>
  <headerFooter alignWithMargins="0">
    <oddHeader xml:space="preserve">&amp;C&amp;"Times New Roman CE,Félkövér"&amp;12Adósságszolgálat számítása az OTP tájékoztatása alapján 
&amp;"Times New Roman CE,Félkövér dőlt"2004. szeptemberben, októberben és decemberben felvételre tervezett 718.793 eFt  célhitel </oddHeader>
    <oddFooter>&amp;LNyomtatás dátuma: &amp;D
C:\Andi\adósságszolgálat\&amp;F\&amp;A&amp;R&amp;P/&amp;N</oddFooter>
  </headerFooter>
  <rowBreaks count="1" manualBreakCount="1"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2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1.00390625" style="81" customWidth="1"/>
    <col min="2" max="2" width="5.625" style="81" customWidth="1"/>
    <col min="3" max="3" width="12.50390625" style="147" customWidth="1"/>
    <col min="4" max="4" width="14.375" style="147" bestFit="1" customWidth="1"/>
    <col min="5" max="5" width="7.875" style="81" customWidth="1"/>
    <col min="6" max="6" width="12.625" style="81" customWidth="1"/>
    <col min="7" max="7" width="13.50390625" style="81" customWidth="1"/>
    <col min="8" max="9" width="14.375" style="81" bestFit="1" customWidth="1"/>
    <col min="10" max="10" width="9.375" style="81" customWidth="1"/>
    <col min="11" max="11" width="11.125" style="81" bestFit="1" customWidth="1"/>
    <col min="12" max="16384" width="9.375" style="81" customWidth="1"/>
  </cols>
  <sheetData>
    <row r="1" ht="12.75">
      <c r="A1" s="188" t="s">
        <v>202</v>
      </c>
    </row>
    <row r="2" spans="1:9" ht="12.75">
      <c r="A2" s="189" t="s">
        <v>169</v>
      </c>
      <c r="B2" s="188"/>
      <c r="C2" s="189" t="s">
        <v>170</v>
      </c>
      <c r="D2" s="189"/>
      <c r="G2" s="189"/>
      <c r="H2" s="189"/>
      <c r="I2" s="189"/>
    </row>
    <row r="3" spans="1:9" ht="12.75">
      <c r="A3" s="189" t="s">
        <v>203</v>
      </c>
      <c r="B3" s="159"/>
      <c r="C3" s="158"/>
      <c r="D3" s="158"/>
      <c r="E3" s="158"/>
      <c r="F3" s="158"/>
      <c r="G3" s="158"/>
      <c r="H3" s="158"/>
      <c r="I3" s="158"/>
    </row>
    <row r="4" spans="1:9" ht="12.75">
      <c r="A4" s="89" t="s">
        <v>3</v>
      </c>
      <c r="B4" s="90" t="s">
        <v>4</v>
      </c>
      <c r="C4" s="91" t="s">
        <v>5</v>
      </c>
      <c r="D4" s="91" t="s">
        <v>21</v>
      </c>
      <c r="E4" s="91" t="s">
        <v>18</v>
      </c>
      <c r="F4" s="92" t="s">
        <v>20</v>
      </c>
      <c r="G4" s="93" t="s">
        <v>6</v>
      </c>
      <c r="H4" s="93" t="s">
        <v>6</v>
      </c>
      <c r="I4" s="94" t="s">
        <v>6</v>
      </c>
    </row>
    <row r="5" spans="1:9" ht="12.75">
      <c r="A5" s="95"/>
      <c r="B5" s="96" t="s">
        <v>7</v>
      </c>
      <c r="C5" s="97" t="s">
        <v>8</v>
      </c>
      <c r="D5" s="97" t="s">
        <v>13</v>
      </c>
      <c r="E5" s="97" t="s">
        <v>19</v>
      </c>
      <c r="F5" s="98" t="s">
        <v>13</v>
      </c>
      <c r="G5" s="99" t="s">
        <v>9</v>
      </c>
      <c r="H5" s="99" t="s">
        <v>11</v>
      </c>
      <c r="I5" s="100" t="s">
        <v>10</v>
      </c>
    </row>
    <row r="6" spans="1:9" ht="12.75">
      <c r="A6" s="101"/>
      <c r="B6" s="102"/>
      <c r="C6" s="103"/>
      <c r="D6" s="103"/>
      <c r="E6" s="103"/>
      <c r="F6" s="104"/>
      <c r="G6" s="104"/>
      <c r="H6" s="105" t="s">
        <v>13</v>
      </c>
      <c r="I6" s="106" t="s">
        <v>12</v>
      </c>
    </row>
    <row r="7" spans="1:9" ht="12.75">
      <c r="A7" s="126">
        <v>38687</v>
      </c>
      <c r="B7" s="400"/>
      <c r="C7" s="55">
        <v>156673000</v>
      </c>
      <c r="D7" s="56"/>
      <c r="E7" s="381"/>
      <c r="F7" s="56"/>
      <c r="G7" s="178"/>
      <c r="H7" s="178"/>
      <c r="I7" s="179"/>
    </row>
    <row r="8" spans="1:9" ht="12.75">
      <c r="A8" s="120">
        <v>38717</v>
      </c>
      <c r="B8" s="402">
        <f>A8-A7</f>
        <v>30</v>
      </c>
      <c r="C8" s="122">
        <f>C7-D8</f>
        <v>156673000</v>
      </c>
      <c r="D8" s="122"/>
      <c r="E8" s="397">
        <v>0.03276</v>
      </c>
      <c r="F8" s="122">
        <f>((C8+D8)*E8/360*B8)</f>
        <v>427717.29</v>
      </c>
      <c r="G8" s="124">
        <f>SUM(F8:F8)</f>
        <v>427717.29</v>
      </c>
      <c r="H8" s="124">
        <f>SUM(D8:D8)</f>
        <v>0</v>
      </c>
      <c r="I8" s="125">
        <f>SUM(G8:H8)</f>
        <v>427717.29</v>
      </c>
    </row>
    <row r="9" spans="1:9" ht="13.5" thickBot="1">
      <c r="A9" s="247">
        <v>38746</v>
      </c>
      <c r="B9" s="416">
        <f aca="true" t="shared" si="0" ref="B9:B38">A9-A8</f>
        <v>29</v>
      </c>
      <c r="C9" s="62">
        <f>C8-D9</f>
        <v>156673000</v>
      </c>
      <c r="D9" s="62"/>
      <c r="E9" s="410"/>
      <c r="F9" s="62"/>
      <c r="G9" s="411"/>
      <c r="H9" s="411"/>
      <c r="I9" s="412"/>
    </row>
    <row r="10" spans="1:9" s="159" customFormat="1" ht="12.75">
      <c r="A10" s="404">
        <v>38747</v>
      </c>
      <c r="B10" s="405">
        <f t="shared" si="0"/>
        <v>1</v>
      </c>
      <c r="C10" s="109">
        <v>179173000</v>
      </c>
      <c r="D10" s="406"/>
      <c r="E10" s="407">
        <f>E8</f>
        <v>0.03276</v>
      </c>
      <c r="F10" s="406"/>
      <c r="G10" s="408"/>
      <c r="H10" s="408"/>
      <c r="I10" s="409"/>
    </row>
    <row r="11" spans="1:9" ht="12.75">
      <c r="A11" s="113">
        <v>38807</v>
      </c>
      <c r="B11" s="403">
        <f t="shared" si="0"/>
        <v>60</v>
      </c>
      <c r="C11" s="55">
        <f>C10-D11</f>
        <v>179173000</v>
      </c>
      <c r="D11" s="55"/>
      <c r="E11" s="396">
        <f aca="true" t="shared" si="1" ref="E11:E19">E10</f>
        <v>0.03276</v>
      </c>
      <c r="F11" s="55">
        <f>((C10+D10)*E11/360*B10)+((C11+D11)*E11/360*B11)+((C9+D9)*E11/360*B9)</f>
        <v>1408049.3699999999</v>
      </c>
      <c r="G11" s="114"/>
      <c r="H11" s="114"/>
      <c r="I11" s="265"/>
    </row>
    <row r="12" spans="1:9" ht="12.75">
      <c r="A12" s="113">
        <v>38898</v>
      </c>
      <c r="B12" s="401">
        <f t="shared" si="0"/>
        <v>91</v>
      </c>
      <c r="C12" s="55">
        <f aca="true" t="shared" si="2" ref="C12:C42">C11-D12</f>
        <v>179173000</v>
      </c>
      <c r="D12" s="55"/>
      <c r="E12" s="396">
        <f t="shared" si="1"/>
        <v>0.03276</v>
      </c>
      <c r="F12" s="55">
        <f>((C12+D12)*E12/360*B12)</f>
        <v>1483731.613</v>
      </c>
      <c r="G12" s="114"/>
      <c r="H12" s="114"/>
      <c r="I12" s="265"/>
    </row>
    <row r="13" spans="1:9" ht="12.75">
      <c r="A13" s="113">
        <v>38990</v>
      </c>
      <c r="B13" s="401">
        <f t="shared" si="0"/>
        <v>92</v>
      </c>
      <c r="C13" s="55">
        <f t="shared" si="2"/>
        <v>179173000</v>
      </c>
      <c r="D13" s="55"/>
      <c r="E13" s="396">
        <f t="shared" si="1"/>
        <v>0.03276</v>
      </c>
      <c r="F13" s="55">
        <f aca="true" t="shared" si="3" ref="F13:F19">((C13+D13)*E13/360*B13)</f>
        <v>1500036.356</v>
      </c>
      <c r="G13" s="114"/>
      <c r="H13" s="114"/>
      <c r="I13" s="265"/>
    </row>
    <row r="14" spans="1:9" ht="12.75">
      <c r="A14" s="120">
        <v>39082</v>
      </c>
      <c r="B14" s="402">
        <f t="shared" si="0"/>
        <v>92</v>
      </c>
      <c r="C14" s="122">
        <f t="shared" si="2"/>
        <v>179173000</v>
      </c>
      <c r="D14" s="122"/>
      <c r="E14" s="397">
        <f t="shared" si="1"/>
        <v>0.03276</v>
      </c>
      <c r="F14" s="122">
        <f t="shared" si="3"/>
        <v>1500036.356</v>
      </c>
      <c r="G14" s="382">
        <f>SUM(F11:F14)</f>
        <v>5891853.694999999</v>
      </c>
      <c r="H14" s="382">
        <f>SUM(D11:D14)</f>
        <v>0</v>
      </c>
      <c r="I14" s="383">
        <f>SUM(G14:H14)</f>
        <v>5891853.694999999</v>
      </c>
    </row>
    <row r="15" spans="1:9" ht="12.75">
      <c r="A15" s="113">
        <v>39172</v>
      </c>
      <c r="B15" s="403">
        <f t="shared" si="0"/>
        <v>90</v>
      </c>
      <c r="C15" s="55">
        <f t="shared" si="2"/>
        <v>179173000</v>
      </c>
      <c r="D15" s="55"/>
      <c r="E15" s="396">
        <f t="shared" si="1"/>
        <v>0.03276</v>
      </c>
      <c r="F15" s="55">
        <f t="shared" si="3"/>
        <v>1467426.8699999999</v>
      </c>
      <c r="G15" s="114"/>
      <c r="H15" s="114"/>
      <c r="I15" s="265"/>
    </row>
    <row r="16" spans="1:9" ht="12.75">
      <c r="A16" s="113">
        <v>39263</v>
      </c>
      <c r="B16" s="401">
        <f t="shared" si="0"/>
        <v>91</v>
      </c>
      <c r="C16" s="55">
        <f t="shared" si="2"/>
        <v>179173000</v>
      </c>
      <c r="D16" s="55"/>
      <c r="E16" s="396">
        <f t="shared" si="1"/>
        <v>0.03276</v>
      </c>
      <c r="F16" s="55">
        <f t="shared" si="3"/>
        <v>1483731.613</v>
      </c>
      <c r="G16" s="114"/>
      <c r="H16" s="114"/>
      <c r="I16" s="265"/>
    </row>
    <row r="17" spans="1:9" ht="12.75">
      <c r="A17" s="113">
        <v>39355</v>
      </c>
      <c r="B17" s="401">
        <f t="shared" si="0"/>
        <v>92</v>
      </c>
      <c r="C17" s="55">
        <f t="shared" si="2"/>
        <v>179173000</v>
      </c>
      <c r="D17" s="55"/>
      <c r="E17" s="396">
        <f t="shared" si="1"/>
        <v>0.03276</v>
      </c>
      <c r="F17" s="55">
        <f t="shared" si="3"/>
        <v>1500036.356</v>
      </c>
      <c r="G17" s="114"/>
      <c r="H17" s="114"/>
      <c r="I17" s="265"/>
    </row>
    <row r="18" spans="1:9" ht="12.75">
      <c r="A18" s="120">
        <v>39447</v>
      </c>
      <c r="B18" s="402">
        <f t="shared" si="0"/>
        <v>92</v>
      </c>
      <c r="C18" s="122">
        <f t="shared" si="2"/>
        <v>179173000</v>
      </c>
      <c r="D18" s="122"/>
      <c r="E18" s="397">
        <f t="shared" si="1"/>
        <v>0.03276</v>
      </c>
      <c r="F18" s="122">
        <f t="shared" si="3"/>
        <v>1500036.356</v>
      </c>
      <c r="G18" s="382">
        <f>SUM(F15:F18)</f>
        <v>5951231.194999999</v>
      </c>
      <c r="H18" s="382">
        <f>SUM(D15:D18)</f>
        <v>0</v>
      </c>
      <c r="I18" s="383">
        <f>SUM(G18:H18)</f>
        <v>5951231.194999999</v>
      </c>
    </row>
    <row r="19" spans="1:9" ht="12.75">
      <c r="A19" s="126">
        <v>39538</v>
      </c>
      <c r="B19" s="413">
        <f t="shared" si="0"/>
        <v>91</v>
      </c>
      <c r="C19" s="56">
        <f t="shared" si="2"/>
        <v>179173000</v>
      </c>
      <c r="D19" s="56"/>
      <c r="E19" s="398">
        <f t="shared" si="1"/>
        <v>0.03276</v>
      </c>
      <c r="F19" s="56">
        <f t="shared" si="3"/>
        <v>1483731.613</v>
      </c>
      <c r="G19" s="127"/>
      <c r="H19" s="127"/>
      <c r="I19" s="276"/>
    </row>
    <row r="20" spans="1:9" ht="12.75">
      <c r="A20" s="113">
        <v>39604</v>
      </c>
      <c r="B20" s="403">
        <f t="shared" si="0"/>
        <v>66</v>
      </c>
      <c r="C20" s="55">
        <f t="shared" si="2"/>
        <v>176573000</v>
      </c>
      <c r="D20" s="55">
        <v>2600000</v>
      </c>
      <c r="E20" s="396"/>
      <c r="F20" s="55"/>
      <c r="G20" s="114"/>
      <c r="H20" s="114"/>
      <c r="I20" s="265"/>
    </row>
    <row r="21" spans="1:9" ht="12.75">
      <c r="A21" s="113">
        <v>39629</v>
      </c>
      <c r="B21" s="403">
        <f t="shared" si="0"/>
        <v>25</v>
      </c>
      <c r="C21" s="55">
        <f t="shared" si="2"/>
        <v>176573000</v>
      </c>
      <c r="D21" s="55"/>
      <c r="E21" s="396">
        <f>E19</f>
        <v>0.03276</v>
      </c>
      <c r="F21" s="55">
        <f>((C20+D20)*E21/360*B20)+((C21+D21)*E21/360*B21)</f>
        <v>1477816.613</v>
      </c>
      <c r="G21" s="114"/>
      <c r="H21" s="114"/>
      <c r="I21" s="265"/>
    </row>
    <row r="22" spans="1:9" ht="12.75">
      <c r="A22" s="113">
        <v>39696</v>
      </c>
      <c r="B22" s="403">
        <f t="shared" si="0"/>
        <v>67</v>
      </c>
      <c r="C22" s="55">
        <f t="shared" si="2"/>
        <v>173973000</v>
      </c>
      <c r="D22" s="55">
        <f>D20</f>
        <v>2600000</v>
      </c>
      <c r="E22" s="396"/>
      <c r="F22" s="55"/>
      <c r="G22" s="114"/>
      <c r="H22" s="114"/>
      <c r="I22" s="265"/>
    </row>
    <row r="23" spans="1:9" ht="12.75">
      <c r="A23" s="113">
        <v>39721</v>
      </c>
      <c r="B23" s="403">
        <f t="shared" si="0"/>
        <v>25</v>
      </c>
      <c r="C23" s="55">
        <f t="shared" si="2"/>
        <v>173973000</v>
      </c>
      <c r="D23" s="55"/>
      <c r="E23" s="396">
        <f>E21</f>
        <v>0.03276</v>
      </c>
      <c r="F23" s="55">
        <f>((C22+D22)*E23/360*B22)+((C23+D23)*E23/360*B23)</f>
        <v>1472354.1559999997</v>
      </c>
      <c r="G23" s="114"/>
      <c r="H23" s="114"/>
      <c r="I23" s="265"/>
    </row>
    <row r="24" spans="1:9" ht="12.75">
      <c r="A24" s="277">
        <v>39787</v>
      </c>
      <c r="B24" s="403">
        <f t="shared" si="0"/>
        <v>66</v>
      </c>
      <c r="C24" s="55">
        <f t="shared" si="2"/>
        <v>171373000</v>
      </c>
      <c r="D24" s="55">
        <f>D22</f>
        <v>2600000</v>
      </c>
      <c r="E24" s="399"/>
      <c r="F24" s="130"/>
      <c r="G24" s="131"/>
      <c r="H24" s="131"/>
      <c r="I24" s="286"/>
    </row>
    <row r="25" spans="1:9" ht="12.75">
      <c r="A25" s="120">
        <v>39813</v>
      </c>
      <c r="B25" s="402">
        <f t="shared" si="0"/>
        <v>26</v>
      </c>
      <c r="C25" s="122">
        <f t="shared" si="2"/>
        <v>171373000</v>
      </c>
      <c r="D25" s="122"/>
      <c r="E25" s="397">
        <f>E23</f>
        <v>0.03276</v>
      </c>
      <c r="F25" s="122">
        <f>((C24+D24)*E25/360*B24)+((C25+D25)*E25/360*B25)</f>
        <v>1450350.356</v>
      </c>
      <c r="G25" s="382">
        <f>SUM(F19:F25)</f>
        <v>5884252.737999999</v>
      </c>
      <c r="H25" s="382">
        <f>SUM(D19:D25)</f>
        <v>7800000</v>
      </c>
      <c r="I25" s="383">
        <f>SUM(G25:H25)</f>
        <v>13684252.737999998</v>
      </c>
    </row>
    <row r="26" spans="1:9" ht="12.75">
      <c r="A26" s="126">
        <v>39877</v>
      </c>
      <c r="B26" s="400">
        <f t="shared" si="0"/>
        <v>64</v>
      </c>
      <c r="C26" s="56">
        <f t="shared" si="2"/>
        <v>168773000</v>
      </c>
      <c r="D26" s="55">
        <f>D24</f>
        <v>2600000</v>
      </c>
      <c r="E26" s="127"/>
      <c r="F26" s="127"/>
      <c r="G26" s="127"/>
      <c r="H26" s="127"/>
      <c r="I26" s="276"/>
    </row>
    <row r="27" spans="1:9" ht="12.75">
      <c r="A27" s="113">
        <v>39903</v>
      </c>
      <c r="B27" s="401">
        <f t="shared" si="0"/>
        <v>26</v>
      </c>
      <c r="C27" s="55">
        <f t="shared" si="2"/>
        <v>168773000</v>
      </c>
      <c r="D27" s="55"/>
      <c r="E27" s="396">
        <f>E25</f>
        <v>0.03276</v>
      </c>
      <c r="F27" s="55">
        <f>((C26+D26)*E27/360*B26)+((C27+D27)*E27/360*B27)</f>
        <v>1397393.27</v>
      </c>
      <c r="G27" s="114"/>
      <c r="H27" s="114"/>
      <c r="I27" s="265"/>
    </row>
    <row r="28" spans="1:9" ht="12.75">
      <c r="A28" s="113">
        <v>39969</v>
      </c>
      <c r="B28" s="401">
        <f t="shared" si="0"/>
        <v>66</v>
      </c>
      <c r="C28" s="55">
        <f t="shared" si="2"/>
        <v>166173000</v>
      </c>
      <c r="D28" s="55">
        <f>D26</f>
        <v>2600000</v>
      </c>
      <c r="E28" s="396"/>
      <c r="F28" s="55"/>
      <c r="G28" s="114"/>
      <c r="H28" s="114"/>
      <c r="I28" s="265"/>
    </row>
    <row r="29" spans="1:9" ht="12.75">
      <c r="A29" s="113">
        <v>39994</v>
      </c>
      <c r="B29" s="401">
        <f t="shared" si="0"/>
        <v>25</v>
      </c>
      <c r="C29" s="55">
        <f t="shared" si="2"/>
        <v>166173000</v>
      </c>
      <c r="D29" s="55"/>
      <c r="E29" s="396">
        <f>E27</f>
        <v>0.03276</v>
      </c>
      <c r="F29" s="55">
        <f>((C28+D28)*E29/360*B28)+((C29+D29)*E29/360*B29)</f>
        <v>1391694.213</v>
      </c>
      <c r="G29" s="114"/>
      <c r="H29" s="114"/>
      <c r="I29" s="265"/>
    </row>
    <row r="30" spans="1:9" ht="12.75">
      <c r="A30" s="113">
        <v>40061</v>
      </c>
      <c r="B30" s="401">
        <f t="shared" si="0"/>
        <v>67</v>
      </c>
      <c r="C30" s="55">
        <f t="shared" si="2"/>
        <v>163573000</v>
      </c>
      <c r="D30" s="55">
        <f>D28</f>
        <v>2600000</v>
      </c>
      <c r="E30" s="396"/>
      <c r="F30" s="55"/>
      <c r="G30" s="114"/>
      <c r="H30" s="114"/>
      <c r="I30" s="265"/>
    </row>
    <row r="31" spans="1:9" ht="12.75">
      <c r="A31" s="113">
        <v>40086</v>
      </c>
      <c r="B31" s="401">
        <f t="shared" si="0"/>
        <v>25</v>
      </c>
      <c r="C31" s="55">
        <f t="shared" si="2"/>
        <v>163573000</v>
      </c>
      <c r="D31" s="55"/>
      <c r="E31" s="396">
        <f>E29</f>
        <v>0.03276</v>
      </c>
      <c r="F31" s="55">
        <f>((C30+D30)*E31/360*B30)+((C31+D31)*E31/360*B31)</f>
        <v>1385285.356</v>
      </c>
      <c r="G31" s="114"/>
      <c r="H31" s="114"/>
      <c r="I31" s="265"/>
    </row>
    <row r="32" spans="1:9" ht="12.75">
      <c r="A32" s="113">
        <v>40152</v>
      </c>
      <c r="B32" s="401">
        <f t="shared" si="0"/>
        <v>66</v>
      </c>
      <c r="C32" s="55">
        <f t="shared" si="2"/>
        <v>160973000</v>
      </c>
      <c r="D32" s="55">
        <f>D30</f>
        <v>2600000</v>
      </c>
      <c r="E32" s="396"/>
      <c r="F32" s="55"/>
      <c r="G32" s="114"/>
      <c r="H32" s="114"/>
      <c r="I32" s="265"/>
    </row>
    <row r="33" spans="1:9" ht="12.75">
      <c r="A33" s="120">
        <v>40178</v>
      </c>
      <c r="B33" s="402">
        <f t="shared" si="0"/>
        <v>26</v>
      </c>
      <c r="C33" s="122">
        <f t="shared" si="2"/>
        <v>160973000</v>
      </c>
      <c r="D33" s="122"/>
      <c r="E33" s="397">
        <f>E31</f>
        <v>0.03276</v>
      </c>
      <c r="F33" s="122">
        <f>((C32+D32)*E33/360*B32)+((C33+D33)*E33/360*B33)</f>
        <v>1363281.5559999999</v>
      </c>
      <c r="G33" s="382">
        <f>SUM(F27:F33)</f>
        <v>5537654.395</v>
      </c>
      <c r="H33" s="382">
        <f>SUM(D26:D33)</f>
        <v>10400000</v>
      </c>
      <c r="I33" s="383">
        <f>SUM(G33:H33)</f>
        <v>15937654.395</v>
      </c>
    </row>
    <row r="34" spans="1:9" ht="12.75">
      <c r="A34" s="126">
        <v>40242</v>
      </c>
      <c r="B34" s="400">
        <f t="shared" si="0"/>
        <v>64</v>
      </c>
      <c r="C34" s="56">
        <f t="shared" si="2"/>
        <v>158373000</v>
      </c>
      <c r="D34" s="55">
        <f>D32</f>
        <v>2600000</v>
      </c>
      <c r="E34" s="127"/>
      <c r="F34" s="127"/>
      <c r="G34" s="127"/>
      <c r="H34" s="127"/>
      <c r="I34" s="276"/>
    </row>
    <row r="35" spans="1:9" ht="12.75">
      <c r="A35" s="113">
        <v>40268</v>
      </c>
      <c r="B35" s="401">
        <f t="shared" si="0"/>
        <v>26</v>
      </c>
      <c r="C35" s="55">
        <f t="shared" si="2"/>
        <v>158373000</v>
      </c>
      <c r="D35" s="55"/>
      <c r="E35" s="396">
        <f>E33</f>
        <v>0.03276</v>
      </c>
      <c r="F35" s="55">
        <f>((C34+D34)*E35/360*B34)+((C35+D35)*E35/360*B35)</f>
        <v>1312217.2699999998</v>
      </c>
      <c r="G35" s="114"/>
      <c r="H35" s="114"/>
      <c r="I35" s="265"/>
    </row>
    <row r="36" spans="1:9" ht="12.75">
      <c r="A36" s="113">
        <v>40334</v>
      </c>
      <c r="B36" s="401">
        <f t="shared" si="0"/>
        <v>66</v>
      </c>
      <c r="C36" s="55">
        <f t="shared" si="2"/>
        <v>155773000</v>
      </c>
      <c r="D36" s="55">
        <f>D34</f>
        <v>2600000</v>
      </c>
      <c r="E36" s="396"/>
      <c r="F36" s="55"/>
      <c r="G36" s="114"/>
      <c r="H36" s="114"/>
      <c r="I36" s="265"/>
    </row>
    <row r="37" spans="1:9" ht="12.75">
      <c r="A37" s="113">
        <v>40359</v>
      </c>
      <c r="B37" s="401">
        <f t="shared" si="0"/>
        <v>25</v>
      </c>
      <c r="C37" s="55">
        <f t="shared" si="2"/>
        <v>155773000</v>
      </c>
      <c r="D37" s="55"/>
      <c r="E37" s="396">
        <f>E35</f>
        <v>0.03276</v>
      </c>
      <c r="F37" s="55">
        <f>((C36+D36)*E37/360*B36)+((C37+D37)*E37/360*B37)</f>
        <v>1305571.8129999998</v>
      </c>
      <c r="G37" s="114"/>
      <c r="H37" s="114"/>
      <c r="I37" s="265"/>
    </row>
    <row r="38" spans="1:9" ht="12.75">
      <c r="A38" s="113">
        <v>40426</v>
      </c>
      <c r="B38" s="401">
        <f t="shared" si="0"/>
        <v>67</v>
      </c>
      <c r="C38" s="55">
        <f t="shared" si="2"/>
        <v>153173000</v>
      </c>
      <c r="D38" s="55">
        <f>D36</f>
        <v>2600000</v>
      </c>
      <c r="E38" s="396"/>
      <c r="F38" s="55"/>
      <c r="G38" s="114"/>
      <c r="H38" s="114"/>
      <c r="I38" s="265"/>
    </row>
    <row r="39" spans="1:9" ht="12.75">
      <c r="A39" s="113">
        <v>40451</v>
      </c>
      <c r="B39" s="401">
        <f aca="true" t="shared" si="4" ref="B39:B70">A39-A38</f>
        <v>25</v>
      </c>
      <c r="C39" s="55">
        <f t="shared" si="2"/>
        <v>153173000</v>
      </c>
      <c r="D39" s="55"/>
      <c r="E39" s="396">
        <f>E37</f>
        <v>0.03276</v>
      </c>
      <c r="F39" s="55">
        <f>((C38+D38)*E39/360*B38)+((C39+D39)*E39/360*B39)</f>
        <v>1298216.5559999999</v>
      </c>
      <c r="G39" s="114"/>
      <c r="H39" s="114"/>
      <c r="I39" s="265"/>
    </row>
    <row r="40" spans="1:9" ht="12.75">
      <c r="A40" s="113">
        <v>40517</v>
      </c>
      <c r="B40" s="401">
        <f t="shared" si="4"/>
        <v>66</v>
      </c>
      <c r="C40" s="55">
        <f t="shared" si="2"/>
        <v>150573000</v>
      </c>
      <c r="D40" s="55">
        <f>D38</f>
        <v>2600000</v>
      </c>
      <c r="E40" s="396"/>
      <c r="F40" s="55"/>
      <c r="G40" s="114"/>
      <c r="H40" s="114"/>
      <c r="I40" s="265"/>
    </row>
    <row r="41" spans="1:9" ht="12.75">
      <c r="A41" s="120">
        <v>40543</v>
      </c>
      <c r="B41" s="402">
        <f t="shared" si="4"/>
        <v>26</v>
      </c>
      <c r="C41" s="122">
        <f t="shared" si="2"/>
        <v>150573000</v>
      </c>
      <c r="D41" s="122"/>
      <c r="E41" s="397">
        <f>E39</f>
        <v>0.03276</v>
      </c>
      <c r="F41" s="122">
        <f>((C40+D40)*E41/360*B40)+((C41+D41)*E41/360*B41)</f>
        <v>1276212.7559999998</v>
      </c>
      <c r="G41" s="382">
        <f>SUM(F35:F41)</f>
        <v>5192218.395</v>
      </c>
      <c r="H41" s="382">
        <f>SUM(D34:D41)</f>
        <v>10400000</v>
      </c>
      <c r="I41" s="383">
        <f>SUM(G41:H41)</f>
        <v>15592218.395</v>
      </c>
    </row>
    <row r="42" spans="1:9" ht="12.75">
      <c r="A42" s="126">
        <v>40607</v>
      </c>
      <c r="B42" s="400">
        <f t="shared" si="4"/>
        <v>64</v>
      </c>
      <c r="C42" s="56">
        <f t="shared" si="2"/>
        <v>147973000</v>
      </c>
      <c r="D42" s="55">
        <f>D40</f>
        <v>2600000</v>
      </c>
      <c r="E42" s="127"/>
      <c r="F42" s="127"/>
      <c r="G42" s="127"/>
      <c r="H42" s="127"/>
      <c r="I42" s="276"/>
    </row>
    <row r="43" spans="1:9" ht="12.75">
      <c r="A43" s="113">
        <v>40633</v>
      </c>
      <c r="B43" s="401">
        <f t="shared" si="4"/>
        <v>26</v>
      </c>
      <c r="C43" s="55">
        <f aca="true" t="shared" si="5" ref="C43:C74">C42-D43</f>
        <v>147973000</v>
      </c>
      <c r="D43" s="55"/>
      <c r="E43" s="396">
        <f>E41</f>
        <v>0.03276</v>
      </c>
      <c r="F43" s="55">
        <f>((C42+D42)*E43/360*B42)+((C43+D43)*E43/360*B43)</f>
        <v>1227041.2699999998</v>
      </c>
      <c r="G43" s="114"/>
      <c r="H43" s="114"/>
      <c r="I43" s="265"/>
    </row>
    <row r="44" spans="1:9" ht="12.75">
      <c r="A44" s="113">
        <v>40699</v>
      </c>
      <c r="B44" s="401">
        <f t="shared" si="4"/>
        <v>66</v>
      </c>
      <c r="C44" s="55">
        <f t="shared" si="5"/>
        <v>145373000</v>
      </c>
      <c r="D44" s="55">
        <f>D42</f>
        <v>2600000</v>
      </c>
      <c r="E44" s="396"/>
      <c r="F44" s="55"/>
      <c r="G44" s="114"/>
      <c r="H44" s="114"/>
      <c r="I44" s="265"/>
    </row>
    <row r="45" spans="1:9" ht="12.75">
      <c r="A45" s="113">
        <v>40724</v>
      </c>
      <c r="B45" s="401">
        <f t="shared" si="4"/>
        <v>25</v>
      </c>
      <c r="C45" s="55">
        <f t="shared" si="5"/>
        <v>145373000</v>
      </c>
      <c r="D45" s="55"/>
      <c r="E45" s="396">
        <f>E43</f>
        <v>0.03276</v>
      </c>
      <c r="F45" s="55">
        <f>((C44+D44)*E45/360*B44)+((C45+D45)*E45/360*B45)</f>
        <v>1219449.4129999997</v>
      </c>
      <c r="G45" s="114"/>
      <c r="H45" s="114"/>
      <c r="I45" s="265"/>
    </row>
    <row r="46" spans="1:9" ht="12.75">
      <c r="A46" s="113">
        <v>40791</v>
      </c>
      <c r="B46" s="401">
        <f t="shared" si="4"/>
        <v>67</v>
      </c>
      <c r="C46" s="55">
        <f t="shared" si="5"/>
        <v>142773000</v>
      </c>
      <c r="D46" s="55">
        <f>D44</f>
        <v>2600000</v>
      </c>
      <c r="E46" s="396"/>
      <c r="F46" s="55"/>
      <c r="G46" s="114"/>
      <c r="H46" s="114"/>
      <c r="I46" s="265"/>
    </row>
    <row r="47" spans="1:9" ht="12.75">
      <c r="A47" s="113">
        <v>40816</v>
      </c>
      <c r="B47" s="401">
        <f t="shared" si="4"/>
        <v>25</v>
      </c>
      <c r="C47" s="55">
        <f t="shared" si="5"/>
        <v>142773000</v>
      </c>
      <c r="D47" s="55"/>
      <c r="E47" s="396">
        <f>E45</f>
        <v>0.03276</v>
      </c>
      <c r="F47" s="55">
        <f>((C46+D46)*E47/360*B46)+((C47+D47)*E47/360*B47)</f>
        <v>1211147.756</v>
      </c>
      <c r="G47" s="114"/>
      <c r="H47" s="114"/>
      <c r="I47" s="265"/>
    </row>
    <row r="48" spans="1:9" ht="12.75">
      <c r="A48" s="113">
        <v>40882</v>
      </c>
      <c r="B48" s="401">
        <f t="shared" si="4"/>
        <v>66</v>
      </c>
      <c r="C48" s="55">
        <f t="shared" si="5"/>
        <v>140173000</v>
      </c>
      <c r="D48" s="55">
        <f>D46</f>
        <v>2600000</v>
      </c>
      <c r="E48" s="396"/>
      <c r="F48" s="55"/>
      <c r="G48" s="114"/>
      <c r="H48" s="114"/>
      <c r="I48" s="265"/>
    </row>
    <row r="49" spans="1:9" ht="12.75">
      <c r="A49" s="120">
        <v>40908</v>
      </c>
      <c r="B49" s="402">
        <f t="shared" si="4"/>
        <v>26</v>
      </c>
      <c r="C49" s="122">
        <f t="shared" si="5"/>
        <v>140173000</v>
      </c>
      <c r="D49" s="122"/>
      <c r="E49" s="397">
        <f>E47</f>
        <v>0.03276</v>
      </c>
      <c r="F49" s="122">
        <f>((C48+D48)*E49/360*B48)+((C49+D49)*E49/360*B49)</f>
        <v>1189143.9559999998</v>
      </c>
      <c r="G49" s="382">
        <f>SUM(F43:F49)</f>
        <v>4846782.395</v>
      </c>
      <c r="H49" s="382">
        <f>SUM(D42:D49)</f>
        <v>10400000</v>
      </c>
      <c r="I49" s="383">
        <f>SUM(G49:H49)</f>
        <v>15246782.395</v>
      </c>
    </row>
    <row r="50" spans="1:9" ht="12.75">
      <c r="A50" s="126">
        <v>40973</v>
      </c>
      <c r="B50" s="400">
        <f t="shared" si="4"/>
        <v>65</v>
      </c>
      <c r="C50" s="56">
        <f t="shared" si="5"/>
        <v>137573000</v>
      </c>
      <c r="D50" s="55">
        <f>D48</f>
        <v>2600000</v>
      </c>
      <c r="E50" s="127"/>
      <c r="F50" s="127"/>
      <c r="G50" s="127"/>
      <c r="H50" s="127"/>
      <c r="I50" s="276"/>
    </row>
    <row r="51" spans="1:9" ht="12.75">
      <c r="A51" s="113">
        <v>40999</v>
      </c>
      <c r="B51" s="401">
        <f t="shared" si="4"/>
        <v>26</v>
      </c>
      <c r="C51" s="55">
        <f t="shared" si="5"/>
        <v>137573000</v>
      </c>
      <c r="D51" s="55"/>
      <c r="E51" s="396">
        <f>E49</f>
        <v>0.03276</v>
      </c>
      <c r="F51" s="55">
        <f>((C50+D50)*E51/360*B50)+((C51+D51)*E51/360*B51)</f>
        <v>1154621.0129999998</v>
      </c>
      <c r="G51" s="114"/>
      <c r="H51" s="114"/>
      <c r="I51" s="265"/>
    </row>
    <row r="52" spans="1:9" ht="12.75">
      <c r="A52" s="113">
        <v>41065</v>
      </c>
      <c r="B52" s="401">
        <f t="shared" si="4"/>
        <v>66</v>
      </c>
      <c r="C52" s="55">
        <f t="shared" si="5"/>
        <v>134973000</v>
      </c>
      <c r="D52" s="55">
        <f>D50</f>
        <v>2600000</v>
      </c>
      <c r="E52" s="396"/>
      <c r="F52" s="55"/>
      <c r="G52" s="114"/>
      <c r="H52" s="114"/>
      <c r="I52" s="265"/>
    </row>
    <row r="53" spans="1:9" ht="12.75">
      <c r="A53" s="113">
        <v>41090</v>
      </c>
      <c r="B53" s="401">
        <f t="shared" si="4"/>
        <v>25</v>
      </c>
      <c r="C53" s="55">
        <f t="shared" si="5"/>
        <v>134973000</v>
      </c>
      <c r="D53" s="55"/>
      <c r="E53" s="396">
        <f>E51</f>
        <v>0.03276</v>
      </c>
      <c r="F53" s="55">
        <f>((C52+D52)*E53/360*B52)+((C53+D53)*E53/360*B53)</f>
        <v>1133327.0129999998</v>
      </c>
      <c r="G53" s="114"/>
      <c r="H53" s="114"/>
      <c r="I53" s="265"/>
    </row>
    <row r="54" spans="1:9" ht="12.75">
      <c r="A54" s="113">
        <v>41157</v>
      </c>
      <c r="B54" s="401">
        <f t="shared" si="4"/>
        <v>67</v>
      </c>
      <c r="C54" s="55">
        <f t="shared" si="5"/>
        <v>132373000</v>
      </c>
      <c r="D54" s="55">
        <f>D52</f>
        <v>2600000</v>
      </c>
      <c r="E54" s="396"/>
      <c r="F54" s="55"/>
      <c r="G54" s="114"/>
      <c r="H54" s="114"/>
      <c r="I54" s="265"/>
    </row>
    <row r="55" spans="1:9" ht="12.75">
      <c r="A55" s="113">
        <v>41182</v>
      </c>
      <c r="B55" s="401">
        <f t="shared" si="4"/>
        <v>25</v>
      </c>
      <c r="C55" s="55">
        <f t="shared" si="5"/>
        <v>132373000</v>
      </c>
      <c r="D55" s="55"/>
      <c r="E55" s="396">
        <f>E53</f>
        <v>0.03276</v>
      </c>
      <c r="F55" s="55">
        <f>((C54+D54)*E55/360*B54)+((C55+D55)*E55/360*B55)</f>
        <v>1124078.9559999998</v>
      </c>
      <c r="G55" s="114"/>
      <c r="H55" s="114"/>
      <c r="I55" s="265"/>
    </row>
    <row r="56" spans="1:9" ht="12.75">
      <c r="A56" s="113">
        <v>41248</v>
      </c>
      <c r="B56" s="401">
        <f t="shared" si="4"/>
        <v>66</v>
      </c>
      <c r="C56" s="55">
        <f t="shared" si="5"/>
        <v>129773000</v>
      </c>
      <c r="D56" s="55">
        <f>D54</f>
        <v>2600000</v>
      </c>
      <c r="E56" s="396"/>
      <c r="F56" s="55"/>
      <c r="G56" s="114"/>
      <c r="H56" s="114"/>
      <c r="I56" s="265"/>
    </row>
    <row r="57" spans="1:9" ht="12.75">
      <c r="A57" s="120">
        <v>41274</v>
      </c>
      <c r="B57" s="402">
        <f t="shared" si="4"/>
        <v>26</v>
      </c>
      <c r="C57" s="122">
        <f t="shared" si="5"/>
        <v>129773000</v>
      </c>
      <c r="D57" s="122"/>
      <c r="E57" s="397">
        <f>E55</f>
        <v>0.03276</v>
      </c>
      <c r="F57" s="122">
        <f>((C56+D56)*E57/360*B56)+((C57+D57)*E57/360*B57)</f>
        <v>1102075.156</v>
      </c>
      <c r="G57" s="382">
        <f>SUM(F51:F57)</f>
        <v>4514102.137999999</v>
      </c>
      <c r="H57" s="382">
        <f>SUM(D50:D57)</f>
        <v>10400000</v>
      </c>
      <c r="I57" s="383">
        <f>SUM(G57:H57)</f>
        <v>14914102.138</v>
      </c>
    </row>
    <row r="58" spans="1:9" ht="12.75">
      <c r="A58" s="126">
        <v>41338</v>
      </c>
      <c r="B58" s="400">
        <f t="shared" si="4"/>
        <v>64</v>
      </c>
      <c r="C58" s="56">
        <f t="shared" si="5"/>
        <v>127173000</v>
      </c>
      <c r="D58" s="55">
        <f>D56</f>
        <v>2600000</v>
      </c>
      <c r="E58" s="127"/>
      <c r="F58" s="127"/>
      <c r="G58" s="127"/>
      <c r="H58" s="127"/>
      <c r="I58" s="276"/>
    </row>
    <row r="59" spans="1:9" ht="12.75">
      <c r="A59" s="113">
        <v>41364</v>
      </c>
      <c r="B59" s="401">
        <f t="shared" si="4"/>
        <v>26</v>
      </c>
      <c r="C59" s="55">
        <f t="shared" si="5"/>
        <v>127173000</v>
      </c>
      <c r="D59" s="55"/>
      <c r="E59" s="396">
        <f>E57</f>
        <v>0.03276</v>
      </c>
      <c r="F59" s="55">
        <f>((C58+D58)*E59/360*B58)+((C59+D59)*E59/360*B59)</f>
        <v>1056689.27</v>
      </c>
      <c r="G59" s="114"/>
      <c r="H59" s="114"/>
      <c r="I59" s="265"/>
    </row>
    <row r="60" spans="1:9" ht="12.75">
      <c r="A60" s="113">
        <v>41430</v>
      </c>
      <c r="B60" s="401">
        <f t="shared" si="4"/>
        <v>66</v>
      </c>
      <c r="C60" s="55">
        <f t="shared" si="5"/>
        <v>124573000</v>
      </c>
      <c r="D60" s="55">
        <f>D58</f>
        <v>2600000</v>
      </c>
      <c r="E60" s="396"/>
      <c r="F60" s="55"/>
      <c r="G60" s="114"/>
      <c r="H60" s="114"/>
      <c r="I60" s="265"/>
    </row>
    <row r="61" spans="1:9" ht="12.75">
      <c r="A61" s="113">
        <v>41455</v>
      </c>
      <c r="B61" s="401">
        <f t="shared" si="4"/>
        <v>25</v>
      </c>
      <c r="C61" s="55">
        <f t="shared" si="5"/>
        <v>124573000</v>
      </c>
      <c r="D61" s="55"/>
      <c r="E61" s="396">
        <f>E59</f>
        <v>0.03276</v>
      </c>
      <c r="F61" s="55">
        <f>((C60+D60)*E61/360*B60)+((C61+D61)*E61/360*B61)</f>
        <v>1047204.6129999999</v>
      </c>
      <c r="G61" s="114"/>
      <c r="H61" s="114"/>
      <c r="I61" s="265"/>
    </row>
    <row r="62" spans="1:9" ht="12.75">
      <c r="A62" s="113">
        <v>41522</v>
      </c>
      <c r="B62" s="401">
        <f t="shared" si="4"/>
        <v>67</v>
      </c>
      <c r="C62" s="55">
        <f t="shared" si="5"/>
        <v>121973000</v>
      </c>
      <c r="D62" s="55">
        <f>D60</f>
        <v>2600000</v>
      </c>
      <c r="E62" s="396"/>
      <c r="F62" s="55"/>
      <c r="G62" s="114"/>
      <c r="H62" s="114"/>
      <c r="I62" s="265"/>
    </row>
    <row r="63" spans="1:9" ht="12.75">
      <c r="A63" s="113">
        <v>41547</v>
      </c>
      <c r="B63" s="401">
        <f t="shared" si="4"/>
        <v>25</v>
      </c>
      <c r="C63" s="55">
        <f t="shared" si="5"/>
        <v>121973000</v>
      </c>
      <c r="D63" s="55"/>
      <c r="E63" s="396">
        <f>E61</f>
        <v>0.03276</v>
      </c>
      <c r="F63" s="55">
        <f>((C62+D62)*E63/360*B62)+((C63+D63)*E63/360*B63)</f>
        <v>1037010.1559999998</v>
      </c>
      <c r="G63" s="114"/>
      <c r="H63" s="114"/>
      <c r="I63" s="265"/>
    </row>
    <row r="64" spans="1:9" ht="12.75">
      <c r="A64" s="113">
        <v>41613</v>
      </c>
      <c r="B64" s="401">
        <f t="shared" si="4"/>
        <v>66</v>
      </c>
      <c r="C64" s="55">
        <f t="shared" si="5"/>
        <v>119373000</v>
      </c>
      <c r="D64" s="55">
        <f>D62</f>
        <v>2600000</v>
      </c>
      <c r="E64" s="396"/>
      <c r="F64" s="55"/>
      <c r="G64" s="114"/>
      <c r="H64" s="114"/>
      <c r="I64" s="265"/>
    </row>
    <row r="65" spans="1:9" ht="12.75">
      <c r="A65" s="120">
        <v>41639</v>
      </c>
      <c r="B65" s="402">
        <f t="shared" si="4"/>
        <v>26</v>
      </c>
      <c r="C65" s="122">
        <f t="shared" si="5"/>
        <v>119373000</v>
      </c>
      <c r="D65" s="122"/>
      <c r="E65" s="397">
        <f>E63</f>
        <v>0.03276</v>
      </c>
      <c r="F65" s="122">
        <f>((C64+D64)*E65/360*B64)+((C65+D65)*E65/360*B65)</f>
        <v>1015006.3559999999</v>
      </c>
      <c r="G65" s="382">
        <f>SUM(F59:F65)</f>
        <v>4155910.3949999996</v>
      </c>
      <c r="H65" s="382">
        <f>SUM(D58:D65)</f>
        <v>10400000</v>
      </c>
      <c r="I65" s="383">
        <f>SUM(G65:H65)</f>
        <v>14555910.395</v>
      </c>
    </row>
    <row r="66" spans="1:9" ht="12.75">
      <c r="A66" s="126">
        <v>41703</v>
      </c>
      <c r="B66" s="400">
        <f t="shared" si="4"/>
        <v>64</v>
      </c>
      <c r="C66" s="56">
        <f t="shared" si="5"/>
        <v>116773000</v>
      </c>
      <c r="D66" s="55">
        <f>D64</f>
        <v>2600000</v>
      </c>
      <c r="E66" s="127"/>
      <c r="F66" s="127"/>
      <c r="G66" s="127"/>
      <c r="H66" s="127"/>
      <c r="I66" s="276"/>
    </row>
    <row r="67" spans="1:9" ht="12.75">
      <c r="A67" s="113">
        <v>41729</v>
      </c>
      <c r="B67" s="401">
        <f t="shared" si="4"/>
        <v>26</v>
      </c>
      <c r="C67" s="55">
        <f t="shared" si="5"/>
        <v>116773000</v>
      </c>
      <c r="D67" s="55"/>
      <c r="E67" s="396">
        <f>E65</f>
        <v>0.03276</v>
      </c>
      <c r="F67" s="55">
        <f>((C66+D66)*E67/360*B66)+((C67+D67)*E67/360*B67)</f>
        <v>971513.2699999999</v>
      </c>
      <c r="G67" s="114"/>
      <c r="H67" s="114"/>
      <c r="I67" s="265"/>
    </row>
    <row r="68" spans="1:9" ht="12.75">
      <c r="A68" s="113">
        <v>41795</v>
      </c>
      <c r="B68" s="401">
        <f t="shared" si="4"/>
        <v>66</v>
      </c>
      <c r="C68" s="55">
        <f t="shared" si="5"/>
        <v>114173000</v>
      </c>
      <c r="D68" s="55">
        <f>D66</f>
        <v>2600000</v>
      </c>
      <c r="E68" s="396"/>
      <c r="F68" s="55"/>
      <c r="G68" s="114"/>
      <c r="H68" s="114"/>
      <c r="I68" s="265"/>
    </row>
    <row r="69" spans="1:9" ht="12.75">
      <c r="A69" s="113">
        <v>41820</v>
      </c>
      <c r="B69" s="401">
        <f t="shared" si="4"/>
        <v>25</v>
      </c>
      <c r="C69" s="55">
        <f t="shared" si="5"/>
        <v>114173000</v>
      </c>
      <c r="D69" s="55"/>
      <c r="E69" s="396">
        <f>E67</f>
        <v>0.03276</v>
      </c>
      <c r="F69" s="55">
        <f>((C68+D68)*E69/360*B68)+((C69+D69)*E69/360*B69)</f>
        <v>961082.2129999999</v>
      </c>
      <c r="G69" s="114"/>
      <c r="H69" s="114"/>
      <c r="I69" s="265"/>
    </row>
    <row r="70" spans="1:9" ht="12.75">
      <c r="A70" s="113">
        <v>41887</v>
      </c>
      <c r="B70" s="401">
        <f t="shared" si="4"/>
        <v>67</v>
      </c>
      <c r="C70" s="55">
        <f t="shared" si="5"/>
        <v>111573000</v>
      </c>
      <c r="D70" s="55">
        <f>D68</f>
        <v>2600000</v>
      </c>
      <c r="E70" s="396"/>
      <c r="F70" s="55"/>
      <c r="G70" s="114"/>
      <c r="H70" s="114"/>
      <c r="I70" s="265"/>
    </row>
    <row r="71" spans="1:9" ht="12.75">
      <c r="A71" s="113">
        <v>41912</v>
      </c>
      <c r="B71" s="401">
        <f aca="true" t="shared" si="6" ref="B71:B102">A71-A70</f>
        <v>25</v>
      </c>
      <c r="C71" s="55">
        <f t="shared" si="5"/>
        <v>111573000</v>
      </c>
      <c r="D71" s="55"/>
      <c r="E71" s="396">
        <f>E69</f>
        <v>0.03276</v>
      </c>
      <c r="F71" s="55">
        <f>((C70+D70)*E71/360*B70)+((C71+D71)*E71/360*B71)</f>
        <v>949941.3559999999</v>
      </c>
      <c r="G71" s="114"/>
      <c r="H71" s="114"/>
      <c r="I71" s="265"/>
    </row>
    <row r="72" spans="1:9" ht="12.75">
      <c r="A72" s="113">
        <v>41978</v>
      </c>
      <c r="B72" s="401">
        <f t="shared" si="6"/>
        <v>66</v>
      </c>
      <c r="C72" s="55">
        <f t="shared" si="5"/>
        <v>108973000</v>
      </c>
      <c r="D72" s="55">
        <f>D70</f>
        <v>2600000</v>
      </c>
      <c r="E72" s="396"/>
      <c r="F72" s="55"/>
      <c r="G72" s="114"/>
      <c r="H72" s="114"/>
      <c r="I72" s="265"/>
    </row>
    <row r="73" spans="1:9" ht="12.75">
      <c r="A73" s="120">
        <v>42004</v>
      </c>
      <c r="B73" s="402">
        <f t="shared" si="6"/>
        <v>26</v>
      </c>
      <c r="C73" s="122">
        <f t="shared" si="5"/>
        <v>108973000</v>
      </c>
      <c r="D73" s="122"/>
      <c r="E73" s="397">
        <f>E71</f>
        <v>0.03276</v>
      </c>
      <c r="F73" s="122">
        <f>((C72+D72)*E73/360*B72)+((C73+D73)*E73/360*B73)</f>
        <v>927937.5559999999</v>
      </c>
      <c r="G73" s="382">
        <f>SUM(F67:F73)</f>
        <v>3810474.3949999996</v>
      </c>
      <c r="H73" s="382">
        <f>SUM(D66:D73)</f>
        <v>10400000</v>
      </c>
      <c r="I73" s="383">
        <f>SUM(G73:H73)</f>
        <v>14210474.395</v>
      </c>
    </row>
    <row r="74" spans="1:9" ht="12.75">
      <c r="A74" s="126">
        <v>42068</v>
      </c>
      <c r="B74" s="400">
        <f t="shared" si="6"/>
        <v>64</v>
      </c>
      <c r="C74" s="56">
        <f t="shared" si="5"/>
        <v>106373000</v>
      </c>
      <c r="D74" s="55">
        <f>D72</f>
        <v>2600000</v>
      </c>
      <c r="E74" s="127"/>
      <c r="F74" s="127"/>
      <c r="G74" s="127"/>
      <c r="H74" s="127"/>
      <c r="I74" s="276"/>
    </row>
    <row r="75" spans="1:9" ht="12.75">
      <c r="A75" s="113">
        <v>42094</v>
      </c>
      <c r="B75" s="401">
        <f t="shared" si="6"/>
        <v>26</v>
      </c>
      <c r="C75" s="55">
        <f aca="true" t="shared" si="7" ref="C75:C106">C74-D75</f>
        <v>106373000</v>
      </c>
      <c r="D75" s="55"/>
      <c r="E75" s="396">
        <f>E73</f>
        <v>0.03276</v>
      </c>
      <c r="F75" s="55">
        <f>((C74+D74)*E75/360*B74)+((C75+D75)*E75/360*B75)</f>
        <v>886337.2699999998</v>
      </c>
      <c r="G75" s="114"/>
      <c r="H75" s="114"/>
      <c r="I75" s="265"/>
    </row>
    <row r="76" spans="1:9" ht="12.75">
      <c r="A76" s="113">
        <v>42160</v>
      </c>
      <c r="B76" s="401">
        <f t="shared" si="6"/>
        <v>66</v>
      </c>
      <c r="C76" s="55">
        <f t="shared" si="7"/>
        <v>103773000</v>
      </c>
      <c r="D76" s="55">
        <f>D74</f>
        <v>2600000</v>
      </c>
      <c r="E76" s="396"/>
      <c r="F76" s="55"/>
      <c r="G76" s="114"/>
      <c r="H76" s="114"/>
      <c r="I76" s="265"/>
    </row>
    <row r="77" spans="1:9" ht="12.75">
      <c r="A77" s="113">
        <v>42185</v>
      </c>
      <c r="B77" s="401">
        <f t="shared" si="6"/>
        <v>25</v>
      </c>
      <c r="C77" s="55">
        <f t="shared" si="7"/>
        <v>103773000</v>
      </c>
      <c r="D77" s="55"/>
      <c r="E77" s="396">
        <f>E75</f>
        <v>0.03276</v>
      </c>
      <c r="F77" s="55">
        <f>((C76+D76)*E77/360*B76)+((C77+D77)*E77/360*B77)</f>
        <v>874959.8129999998</v>
      </c>
      <c r="G77" s="114"/>
      <c r="H77" s="114"/>
      <c r="I77" s="265"/>
    </row>
    <row r="78" spans="1:9" ht="12.75">
      <c r="A78" s="113">
        <v>42252</v>
      </c>
      <c r="B78" s="401">
        <f t="shared" si="6"/>
        <v>67</v>
      </c>
      <c r="C78" s="55">
        <f t="shared" si="7"/>
        <v>101173000</v>
      </c>
      <c r="D78" s="55">
        <f>D76</f>
        <v>2600000</v>
      </c>
      <c r="E78" s="396"/>
      <c r="F78" s="55"/>
      <c r="G78" s="114"/>
      <c r="H78" s="114"/>
      <c r="I78" s="265"/>
    </row>
    <row r="79" spans="1:9" ht="12.75">
      <c r="A79" s="113">
        <v>42277</v>
      </c>
      <c r="B79" s="401">
        <f t="shared" si="6"/>
        <v>25</v>
      </c>
      <c r="C79" s="55">
        <f t="shared" si="7"/>
        <v>101173000</v>
      </c>
      <c r="D79" s="55"/>
      <c r="E79" s="396">
        <f>E77</f>
        <v>0.03276</v>
      </c>
      <c r="F79" s="55">
        <f>((C78+D78)*E79/360*B78)+((C79+D79)*E79/360*B79)</f>
        <v>862872.5559999999</v>
      </c>
      <c r="G79" s="114"/>
      <c r="H79" s="114"/>
      <c r="I79" s="265"/>
    </row>
    <row r="80" spans="1:9" ht="12.75">
      <c r="A80" s="113">
        <v>42343</v>
      </c>
      <c r="B80" s="401">
        <f t="shared" si="6"/>
        <v>66</v>
      </c>
      <c r="C80" s="55">
        <f t="shared" si="7"/>
        <v>98573000</v>
      </c>
      <c r="D80" s="55">
        <f>D78</f>
        <v>2600000</v>
      </c>
      <c r="E80" s="396"/>
      <c r="F80" s="55"/>
      <c r="G80" s="114"/>
      <c r="H80" s="114"/>
      <c r="I80" s="265"/>
    </row>
    <row r="81" spans="1:9" ht="12.75">
      <c r="A81" s="120">
        <v>42369</v>
      </c>
      <c r="B81" s="402">
        <f t="shared" si="6"/>
        <v>26</v>
      </c>
      <c r="C81" s="122">
        <f t="shared" si="7"/>
        <v>98573000</v>
      </c>
      <c r="D81" s="122"/>
      <c r="E81" s="397">
        <f>E79</f>
        <v>0.03276</v>
      </c>
      <c r="F81" s="122">
        <f>((C80+D80)*E81/360*B80)+((C81+D81)*E81/360*B81)</f>
        <v>840868.7559999999</v>
      </c>
      <c r="G81" s="382">
        <f>SUM(F75:F81)</f>
        <v>3465038.3949999996</v>
      </c>
      <c r="H81" s="382">
        <f>SUM(D74:D81)</f>
        <v>10400000</v>
      </c>
      <c r="I81" s="383">
        <f>SUM(G81:H81)</f>
        <v>13865038.395</v>
      </c>
    </row>
    <row r="82" spans="1:9" ht="12.75">
      <c r="A82" s="126">
        <v>42434</v>
      </c>
      <c r="B82" s="400">
        <f t="shared" si="6"/>
        <v>65</v>
      </c>
      <c r="C82" s="56">
        <f t="shared" si="7"/>
        <v>95973000</v>
      </c>
      <c r="D82" s="55">
        <f>D80</f>
        <v>2600000</v>
      </c>
      <c r="E82" s="127"/>
      <c r="F82" s="127"/>
      <c r="G82" s="127"/>
      <c r="H82" s="127"/>
      <c r="I82" s="276"/>
    </row>
    <row r="83" spans="1:9" ht="12.75">
      <c r="A83" s="113">
        <v>42460</v>
      </c>
      <c r="B83" s="401">
        <f t="shared" si="6"/>
        <v>26</v>
      </c>
      <c r="C83" s="55">
        <f t="shared" si="7"/>
        <v>95973000</v>
      </c>
      <c r="D83" s="55"/>
      <c r="E83" s="396">
        <f>E81</f>
        <v>0.03276</v>
      </c>
      <c r="F83" s="55">
        <f>((C82+D82)*E83/360*B82)+((C83+D83)*E83/360*B83)</f>
        <v>810131.4130000001</v>
      </c>
      <c r="G83" s="114"/>
      <c r="H83" s="114"/>
      <c r="I83" s="265"/>
    </row>
    <row r="84" spans="1:9" ht="12.75">
      <c r="A84" s="113">
        <v>42526</v>
      </c>
      <c r="B84" s="401">
        <f t="shared" si="6"/>
        <v>66</v>
      </c>
      <c r="C84" s="55">
        <f t="shared" si="7"/>
        <v>93373000</v>
      </c>
      <c r="D84" s="55">
        <f>D82</f>
        <v>2600000</v>
      </c>
      <c r="E84" s="396"/>
      <c r="F84" s="55"/>
      <c r="G84" s="114"/>
      <c r="H84" s="114"/>
      <c r="I84" s="265"/>
    </row>
    <row r="85" spans="1:9" ht="12.75">
      <c r="A85" s="113">
        <v>42551</v>
      </c>
      <c r="B85" s="401">
        <f t="shared" si="6"/>
        <v>25</v>
      </c>
      <c r="C85" s="55">
        <f t="shared" si="7"/>
        <v>93373000</v>
      </c>
      <c r="D85" s="55"/>
      <c r="E85" s="396">
        <f>E83</f>
        <v>0.03276</v>
      </c>
      <c r="F85" s="55">
        <f>((C84+D84)*E85/360*B84)+((C85+D85)*E85/360*B85)</f>
        <v>788837.413</v>
      </c>
      <c r="G85" s="114"/>
      <c r="H85" s="114"/>
      <c r="I85" s="265"/>
    </row>
    <row r="86" spans="1:9" ht="12.75">
      <c r="A86" s="113">
        <v>42618</v>
      </c>
      <c r="B86" s="401">
        <f t="shared" si="6"/>
        <v>67</v>
      </c>
      <c r="C86" s="55">
        <f t="shared" si="7"/>
        <v>90773000</v>
      </c>
      <c r="D86" s="55">
        <f>D84</f>
        <v>2600000</v>
      </c>
      <c r="E86" s="396"/>
      <c r="F86" s="55"/>
      <c r="G86" s="114"/>
      <c r="H86" s="114"/>
      <c r="I86" s="265"/>
    </row>
    <row r="87" spans="1:9" ht="12.75">
      <c r="A87" s="113">
        <v>42643</v>
      </c>
      <c r="B87" s="401">
        <f t="shared" si="6"/>
        <v>25</v>
      </c>
      <c r="C87" s="55">
        <f t="shared" si="7"/>
        <v>90773000</v>
      </c>
      <c r="D87" s="55"/>
      <c r="E87" s="396">
        <f>E85</f>
        <v>0.03276</v>
      </c>
      <c r="F87" s="55">
        <f>((C86+D86)*E87/360*B86)+((C87+D87)*E87/360*B87)</f>
        <v>775803.756</v>
      </c>
      <c r="G87" s="114"/>
      <c r="H87" s="114"/>
      <c r="I87" s="265"/>
    </row>
    <row r="88" spans="1:9" ht="12.75">
      <c r="A88" s="113">
        <v>42709</v>
      </c>
      <c r="B88" s="401">
        <f t="shared" si="6"/>
        <v>66</v>
      </c>
      <c r="C88" s="55">
        <f t="shared" si="7"/>
        <v>88173000</v>
      </c>
      <c r="D88" s="55">
        <f>D86</f>
        <v>2600000</v>
      </c>
      <c r="E88" s="396"/>
      <c r="F88" s="55"/>
      <c r="G88" s="114"/>
      <c r="H88" s="114"/>
      <c r="I88" s="265"/>
    </row>
    <row r="89" spans="1:9" ht="12.75">
      <c r="A89" s="120">
        <v>42735</v>
      </c>
      <c r="B89" s="402">
        <f t="shared" si="6"/>
        <v>26</v>
      </c>
      <c r="C89" s="122">
        <f t="shared" si="7"/>
        <v>88173000</v>
      </c>
      <c r="D89" s="122"/>
      <c r="E89" s="397">
        <f>E87</f>
        <v>0.03276</v>
      </c>
      <c r="F89" s="122">
        <f>((C88+D88)*E89/360*B88)+((C89+D89)*E89/360*B89)</f>
        <v>753799.956</v>
      </c>
      <c r="G89" s="382">
        <f>SUM(F83:F89)</f>
        <v>3128572.5379999997</v>
      </c>
      <c r="H89" s="382">
        <f>SUM(D82:D89)</f>
        <v>10400000</v>
      </c>
      <c r="I89" s="383">
        <f>SUM(G89:H89)</f>
        <v>13528572.537999999</v>
      </c>
    </row>
    <row r="90" spans="1:9" ht="12.75">
      <c r="A90" s="126">
        <v>42799</v>
      </c>
      <c r="B90" s="400">
        <f t="shared" si="6"/>
        <v>64</v>
      </c>
      <c r="C90" s="56">
        <f t="shared" si="7"/>
        <v>85573000</v>
      </c>
      <c r="D90" s="55">
        <f>D88</f>
        <v>2600000</v>
      </c>
      <c r="E90" s="127"/>
      <c r="F90" s="127"/>
      <c r="G90" s="127"/>
      <c r="H90" s="127"/>
      <c r="I90" s="276"/>
    </row>
    <row r="91" spans="1:9" ht="12.75">
      <c r="A91" s="113">
        <v>42825</v>
      </c>
      <c r="B91" s="401">
        <f t="shared" si="6"/>
        <v>26</v>
      </c>
      <c r="C91" s="55">
        <f t="shared" si="7"/>
        <v>85573000</v>
      </c>
      <c r="D91" s="55"/>
      <c r="E91" s="396">
        <f>E89</f>
        <v>0.03276</v>
      </c>
      <c r="F91" s="55">
        <f>((C90+D90)*E91/360*B90)+((C91+D91)*E91/360*B91)</f>
        <v>715985.27</v>
      </c>
      <c r="G91" s="114"/>
      <c r="H91" s="114"/>
      <c r="I91" s="265"/>
    </row>
    <row r="92" spans="1:9" ht="12.75">
      <c r="A92" s="113">
        <v>42891</v>
      </c>
      <c r="B92" s="401">
        <f t="shared" si="6"/>
        <v>66</v>
      </c>
      <c r="C92" s="55">
        <f t="shared" si="7"/>
        <v>82973000</v>
      </c>
      <c r="D92" s="55">
        <f>D90</f>
        <v>2600000</v>
      </c>
      <c r="E92" s="396"/>
      <c r="F92" s="55"/>
      <c r="G92" s="114"/>
      <c r="H92" s="114"/>
      <c r="I92" s="265"/>
    </row>
    <row r="93" spans="1:9" ht="12.75">
      <c r="A93" s="113">
        <v>42916</v>
      </c>
      <c r="B93" s="401">
        <f t="shared" si="6"/>
        <v>25</v>
      </c>
      <c r="C93" s="55">
        <f t="shared" si="7"/>
        <v>82973000</v>
      </c>
      <c r="D93" s="55"/>
      <c r="E93" s="396">
        <f>E91</f>
        <v>0.03276</v>
      </c>
      <c r="F93" s="55">
        <f>((C92+D92)*E93/360*B92)+((C93+D93)*E93/360*B93)</f>
        <v>702715.013</v>
      </c>
      <c r="G93" s="114"/>
      <c r="H93" s="114"/>
      <c r="I93" s="265"/>
    </row>
    <row r="94" spans="1:9" ht="12.75">
      <c r="A94" s="113">
        <v>42983</v>
      </c>
      <c r="B94" s="401">
        <f t="shared" si="6"/>
        <v>67</v>
      </c>
      <c r="C94" s="55">
        <f t="shared" si="7"/>
        <v>80373000</v>
      </c>
      <c r="D94" s="55">
        <f>D92</f>
        <v>2600000</v>
      </c>
      <c r="E94" s="396"/>
      <c r="F94" s="55"/>
      <c r="G94" s="114"/>
      <c r="H94" s="114"/>
      <c r="I94" s="265"/>
    </row>
    <row r="95" spans="1:9" ht="12.75">
      <c r="A95" s="113">
        <v>43008</v>
      </c>
      <c r="B95" s="401">
        <f t="shared" si="6"/>
        <v>25</v>
      </c>
      <c r="C95" s="55">
        <f t="shared" si="7"/>
        <v>80373000</v>
      </c>
      <c r="D95" s="55"/>
      <c r="E95" s="396">
        <f>E93</f>
        <v>0.03276</v>
      </c>
      <c r="F95" s="55">
        <f>((C94+D94)*E95/360*B94)+((C95+D95)*E95/360*B95)</f>
        <v>688734.956</v>
      </c>
      <c r="G95" s="114"/>
      <c r="H95" s="114"/>
      <c r="I95" s="265"/>
    </row>
    <row r="96" spans="1:9" ht="12.75">
      <c r="A96" s="113">
        <v>43074</v>
      </c>
      <c r="B96" s="401">
        <f t="shared" si="6"/>
        <v>66</v>
      </c>
      <c r="C96" s="55">
        <f t="shared" si="7"/>
        <v>77773000</v>
      </c>
      <c r="D96" s="55">
        <f>D94</f>
        <v>2600000</v>
      </c>
      <c r="E96" s="396"/>
      <c r="F96" s="55"/>
      <c r="G96" s="114"/>
      <c r="H96" s="114"/>
      <c r="I96" s="265"/>
    </row>
    <row r="97" spans="1:9" ht="12.75">
      <c r="A97" s="120">
        <v>43100</v>
      </c>
      <c r="B97" s="402">
        <f t="shared" si="6"/>
        <v>26</v>
      </c>
      <c r="C97" s="122">
        <f t="shared" si="7"/>
        <v>77773000</v>
      </c>
      <c r="D97" s="122"/>
      <c r="E97" s="397">
        <f>E95</f>
        <v>0.03276</v>
      </c>
      <c r="F97" s="122">
        <f>((C96+D96)*E97/360*B96)+((C97+D97)*E97/360*B97)</f>
        <v>666731.156</v>
      </c>
      <c r="G97" s="382">
        <f>SUM(F91:F97)</f>
        <v>2774166.395</v>
      </c>
      <c r="H97" s="382">
        <f>SUM(D90:D97)</f>
        <v>10400000</v>
      </c>
      <c r="I97" s="383">
        <f>SUM(G97:H97)</f>
        <v>13174166.395</v>
      </c>
    </row>
    <row r="98" spans="1:9" ht="12.75">
      <c r="A98" s="126">
        <v>43164</v>
      </c>
      <c r="B98" s="400">
        <f t="shared" si="6"/>
        <v>64</v>
      </c>
      <c r="C98" s="56">
        <f t="shared" si="7"/>
        <v>75173000</v>
      </c>
      <c r="D98" s="55">
        <f>D96</f>
        <v>2600000</v>
      </c>
      <c r="E98" s="127"/>
      <c r="F98" s="127"/>
      <c r="G98" s="127"/>
      <c r="H98" s="127"/>
      <c r="I98" s="276"/>
    </row>
    <row r="99" spans="1:9" ht="12.75">
      <c r="A99" s="113">
        <v>43190</v>
      </c>
      <c r="B99" s="401">
        <f t="shared" si="6"/>
        <v>26</v>
      </c>
      <c r="C99" s="55">
        <f t="shared" si="7"/>
        <v>75173000</v>
      </c>
      <c r="D99" s="55"/>
      <c r="E99" s="396">
        <f>E97</f>
        <v>0.03276</v>
      </c>
      <c r="F99" s="55">
        <f>((C98+D98)*E99/360*B98)+((C99+D99)*E99/360*B99)</f>
        <v>630809.27</v>
      </c>
      <c r="G99" s="114"/>
      <c r="H99" s="114"/>
      <c r="I99" s="265"/>
    </row>
    <row r="100" spans="1:9" ht="12.75">
      <c r="A100" s="113">
        <v>43256</v>
      </c>
      <c r="B100" s="401">
        <f t="shared" si="6"/>
        <v>66</v>
      </c>
      <c r="C100" s="55">
        <f t="shared" si="7"/>
        <v>72573000</v>
      </c>
      <c r="D100" s="55">
        <f>D98</f>
        <v>2600000</v>
      </c>
      <c r="E100" s="396"/>
      <c r="F100" s="55"/>
      <c r="G100" s="114"/>
      <c r="H100" s="114"/>
      <c r="I100" s="265"/>
    </row>
    <row r="101" spans="1:9" ht="12.75">
      <c r="A101" s="113">
        <v>43281</v>
      </c>
      <c r="B101" s="401">
        <f t="shared" si="6"/>
        <v>25</v>
      </c>
      <c r="C101" s="55">
        <f t="shared" si="7"/>
        <v>72573000</v>
      </c>
      <c r="D101" s="55"/>
      <c r="E101" s="396">
        <f>E99</f>
        <v>0.03276</v>
      </c>
      <c r="F101" s="55">
        <f>((C100+D100)*E101/360*B100)+((C101+D101)*E101/360*B101)</f>
        <v>616592.613</v>
      </c>
      <c r="G101" s="114"/>
      <c r="H101" s="114"/>
      <c r="I101" s="265"/>
    </row>
    <row r="102" spans="1:9" ht="12.75">
      <c r="A102" s="113">
        <v>43348</v>
      </c>
      <c r="B102" s="401">
        <f t="shared" si="6"/>
        <v>67</v>
      </c>
      <c r="C102" s="55">
        <f t="shared" si="7"/>
        <v>69973000</v>
      </c>
      <c r="D102" s="55">
        <f>D100</f>
        <v>2600000</v>
      </c>
      <c r="E102" s="396"/>
      <c r="F102" s="55"/>
      <c r="G102" s="114"/>
      <c r="H102" s="114"/>
      <c r="I102" s="265"/>
    </row>
    <row r="103" spans="1:9" ht="12.75">
      <c r="A103" s="113">
        <v>43373</v>
      </c>
      <c r="B103" s="401">
        <f aca="true" t="shared" si="8" ref="B103:B134">A103-A102</f>
        <v>25</v>
      </c>
      <c r="C103" s="55">
        <f t="shared" si="7"/>
        <v>69973000</v>
      </c>
      <c r="D103" s="55"/>
      <c r="E103" s="396">
        <f>E101</f>
        <v>0.03276</v>
      </c>
      <c r="F103" s="55">
        <f>((C102+D102)*E103/360*B102)+((C103+D103)*E103/360*B103)</f>
        <v>601666.156</v>
      </c>
      <c r="G103" s="114"/>
      <c r="H103" s="114"/>
      <c r="I103" s="265"/>
    </row>
    <row r="104" spans="1:9" ht="12.75">
      <c r="A104" s="113">
        <v>43439</v>
      </c>
      <c r="B104" s="401">
        <f t="shared" si="8"/>
        <v>66</v>
      </c>
      <c r="C104" s="55">
        <f t="shared" si="7"/>
        <v>67373000</v>
      </c>
      <c r="D104" s="55">
        <f>D102</f>
        <v>2600000</v>
      </c>
      <c r="E104" s="396"/>
      <c r="F104" s="55"/>
      <c r="G104" s="114"/>
      <c r="H104" s="114"/>
      <c r="I104" s="265"/>
    </row>
    <row r="105" spans="1:9" ht="12.75">
      <c r="A105" s="120">
        <v>43465</v>
      </c>
      <c r="B105" s="402">
        <f t="shared" si="8"/>
        <v>26</v>
      </c>
      <c r="C105" s="122">
        <f t="shared" si="7"/>
        <v>67373000</v>
      </c>
      <c r="D105" s="122"/>
      <c r="E105" s="397">
        <f>E103</f>
        <v>0.03276</v>
      </c>
      <c r="F105" s="122">
        <f>((C104+D104)*E105/360*B104)+((C105+D105)*E105/360*B105)</f>
        <v>579662.356</v>
      </c>
      <c r="G105" s="382">
        <f>SUM(F99:F105)</f>
        <v>2428730.395</v>
      </c>
      <c r="H105" s="382">
        <f>SUM(D98:D105)</f>
        <v>10400000</v>
      </c>
      <c r="I105" s="383">
        <f>SUM(G105:H105)</f>
        <v>12828730.395</v>
      </c>
    </row>
    <row r="106" spans="1:9" ht="12.75">
      <c r="A106" s="126">
        <v>43529</v>
      </c>
      <c r="B106" s="400">
        <f t="shared" si="8"/>
        <v>64</v>
      </c>
      <c r="C106" s="56">
        <f t="shared" si="7"/>
        <v>64773000</v>
      </c>
      <c r="D106" s="55">
        <f>D104</f>
        <v>2600000</v>
      </c>
      <c r="E106" s="127"/>
      <c r="F106" s="127"/>
      <c r="G106" s="127"/>
      <c r="H106" s="127"/>
      <c r="I106" s="276"/>
    </row>
    <row r="107" spans="1:9" ht="12.75">
      <c r="A107" s="113">
        <v>43555</v>
      </c>
      <c r="B107" s="401">
        <f t="shared" si="8"/>
        <v>26</v>
      </c>
      <c r="C107" s="55">
        <f aca="true" t="shared" si="9" ref="C107:C138">C106-D107</f>
        <v>64773000</v>
      </c>
      <c r="D107" s="55"/>
      <c r="E107" s="396">
        <f>E105</f>
        <v>0.03276</v>
      </c>
      <c r="F107" s="55">
        <f>((C106+D106)*E107/360*B106)+((C107+D107)*E107/360*B107)</f>
        <v>545633.27</v>
      </c>
      <c r="G107" s="114"/>
      <c r="H107" s="114"/>
      <c r="I107" s="265"/>
    </row>
    <row r="108" spans="1:9" ht="12.75">
      <c r="A108" s="113">
        <v>43621</v>
      </c>
      <c r="B108" s="401">
        <f t="shared" si="8"/>
        <v>66</v>
      </c>
      <c r="C108" s="55">
        <f t="shared" si="9"/>
        <v>62173000</v>
      </c>
      <c r="D108" s="55">
        <f>D106</f>
        <v>2600000</v>
      </c>
      <c r="E108" s="396"/>
      <c r="F108" s="55"/>
      <c r="G108" s="114"/>
      <c r="H108" s="114"/>
      <c r="I108" s="265"/>
    </row>
    <row r="109" spans="1:9" ht="12.75">
      <c r="A109" s="113">
        <v>43646</v>
      </c>
      <c r="B109" s="401">
        <f t="shared" si="8"/>
        <v>25</v>
      </c>
      <c r="C109" s="55">
        <f t="shared" si="9"/>
        <v>62173000</v>
      </c>
      <c r="D109" s="55"/>
      <c r="E109" s="396">
        <f>E107</f>
        <v>0.03276</v>
      </c>
      <c r="F109" s="55">
        <f>((C108+D108)*E109/360*B108)+((C109+D109)*E109/360*B109)</f>
        <v>530470.213</v>
      </c>
      <c r="G109" s="114"/>
      <c r="H109" s="114"/>
      <c r="I109" s="265"/>
    </row>
    <row r="110" spans="1:9" ht="12.75">
      <c r="A110" s="120">
        <v>43713</v>
      </c>
      <c r="B110" s="402">
        <f t="shared" si="8"/>
        <v>67</v>
      </c>
      <c r="C110" s="122">
        <f t="shared" si="9"/>
        <v>59573000</v>
      </c>
      <c r="D110" s="122">
        <f>D108</f>
        <v>2600000</v>
      </c>
      <c r="E110" s="397"/>
      <c r="F110" s="122"/>
      <c r="G110" s="121"/>
      <c r="H110" s="121"/>
      <c r="I110" s="284"/>
    </row>
    <row r="111" spans="1:9" ht="12.75">
      <c r="A111" s="126">
        <v>43738</v>
      </c>
      <c r="B111" s="400">
        <f t="shared" si="8"/>
        <v>25</v>
      </c>
      <c r="C111" s="56">
        <f t="shared" si="9"/>
        <v>59573000</v>
      </c>
      <c r="D111" s="56"/>
      <c r="E111" s="398">
        <f>E109</f>
        <v>0.03276</v>
      </c>
      <c r="F111" s="56">
        <f>((C110+D110)*E111/360*B110)+((C111+D111)*E111/360*B111)</f>
        <v>514597.3559999999</v>
      </c>
      <c r="G111" s="127"/>
      <c r="H111" s="127"/>
      <c r="I111" s="276"/>
    </row>
    <row r="112" spans="1:9" ht="12.75">
      <c r="A112" s="113">
        <v>43804</v>
      </c>
      <c r="B112" s="401">
        <f t="shared" si="8"/>
        <v>66</v>
      </c>
      <c r="C112" s="55">
        <f t="shared" si="9"/>
        <v>56973000</v>
      </c>
      <c r="D112" s="55">
        <f>D110</f>
        <v>2600000</v>
      </c>
      <c r="E112" s="396"/>
      <c r="F112" s="55"/>
      <c r="G112" s="114"/>
      <c r="H112" s="114"/>
      <c r="I112" s="265"/>
    </row>
    <row r="113" spans="1:9" ht="12.75">
      <c r="A113" s="120">
        <v>43830</v>
      </c>
      <c r="B113" s="402">
        <f t="shared" si="8"/>
        <v>26</v>
      </c>
      <c r="C113" s="122">
        <f t="shared" si="9"/>
        <v>56973000</v>
      </c>
      <c r="D113" s="122"/>
      <c r="E113" s="397">
        <f>E111</f>
        <v>0.03276</v>
      </c>
      <c r="F113" s="122">
        <f>((C112+D112)*E113/360*B112)+((C113+D113)*E113/360*B113)</f>
        <v>492593.556</v>
      </c>
      <c r="G113" s="382">
        <f>SUM(F107:F113)</f>
        <v>2083294.395</v>
      </c>
      <c r="H113" s="382">
        <f>SUM(D106:D113)</f>
        <v>10400000</v>
      </c>
      <c r="I113" s="383">
        <f>SUM(G113:H113)</f>
        <v>12483294.395</v>
      </c>
    </row>
    <row r="114" spans="1:9" ht="12.75">
      <c r="A114" s="126">
        <v>43895</v>
      </c>
      <c r="B114" s="400">
        <f t="shared" si="8"/>
        <v>65</v>
      </c>
      <c r="C114" s="56">
        <f t="shared" si="9"/>
        <v>54373000</v>
      </c>
      <c r="D114" s="55">
        <f>D112</f>
        <v>2600000</v>
      </c>
      <c r="E114" s="127"/>
      <c r="F114" s="127"/>
      <c r="G114" s="127"/>
      <c r="H114" s="127"/>
      <c r="I114" s="276"/>
    </row>
    <row r="115" spans="1:9" ht="12.75">
      <c r="A115" s="113">
        <v>43921</v>
      </c>
      <c r="B115" s="401">
        <f t="shared" si="8"/>
        <v>26</v>
      </c>
      <c r="C115" s="55">
        <f t="shared" si="9"/>
        <v>54373000</v>
      </c>
      <c r="D115" s="55"/>
      <c r="E115" s="396">
        <f>E113</f>
        <v>0.03276</v>
      </c>
      <c r="F115" s="55">
        <f>((C114+D114)*E115/360*B114)+((C115+D115)*E115/360*B115)</f>
        <v>465641.81299999997</v>
      </c>
      <c r="G115" s="114"/>
      <c r="H115" s="114"/>
      <c r="I115" s="265"/>
    </row>
    <row r="116" spans="1:9" ht="12.75">
      <c r="A116" s="113">
        <v>43987</v>
      </c>
      <c r="B116" s="401">
        <f t="shared" si="8"/>
        <v>66</v>
      </c>
      <c r="C116" s="55">
        <f t="shared" si="9"/>
        <v>51773000</v>
      </c>
      <c r="D116" s="55">
        <f>D114</f>
        <v>2600000</v>
      </c>
      <c r="E116" s="396"/>
      <c r="F116" s="55"/>
      <c r="G116" s="114"/>
      <c r="H116" s="114"/>
      <c r="I116" s="265"/>
    </row>
    <row r="117" spans="1:9" ht="12.75">
      <c r="A117" s="113">
        <v>44012</v>
      </c>
      <c r="B117" s="401">
        <f t="shared" si="8"/>
        <v>25</v>
      </c>
      <c r="C117" s="55">
        <f t="shared" si="9"/>
        <v>51773000</v>
      </c>
      <c r="D117" s="55"/>
      <c r="E117" s="396">
        <f>E115</f>
        <v>0.03276</v>
      </c>
      <c r="F117" s="55">
        <f>((C116+D116)*E117/360*B116)+((C117+D117)*E117/360*B117)</f>
        <v>444347.81299999997</v>
      </c>
      <c r="G117" s="114"/>
      <c r="H117" s="114"/>
      <c r="I117" s="265"/>
    </row>
    <row r="118" spans="1:9" ht="12.75">
      <c r="A118" s="113">
        <v>44079</v>
      </c>
      <c r="B118" s="401">
        <f t="shared" si="8"/>
        <v>67</v>
      </c>
      <c r="C118" s="55">
        <f t="shared" si="9"/>
        <v>49173000</v>
      </c>
      <c r="D118" s="55">
        <f>D116</f>
        <v>2600000</v>
      </c>
      <c r="E118" s="396"/>
      <c r="F118" s="55"/>
      <c r="G118" s="114"/>
      <c r="H118" s="114"/>
      <c r="I118" s="265"/>
    </row>
    <row r="119" spans="1:9" ht="12.75">
      <c r="A119" s="113">
        <v>44104</v>
      </c>
      <c r="B119" s="401">
        <f t="shared" si="8"/>
        <v>25</v>
      </c>
      <c r="C119" s="55">
        <f t="shared" si="9"/>
        <v>49173000</v>
      </c>
      <c r="D119" s="55"/>
      <c r="E119" s="396">
        <f>E117</f>
        <v>0.03276</v>
      </c>
      <c r="F119" s="55">
        <f>((C118+D118)*E119/360*B118)+((C119+D119)*E119/360*B119)</f>
        <v>427528.556</v>
      </c>
      <c r="G119" s="114"/>
      <c r="H119" s="114"/>
      <c r="I119" s="265"/>
    </row>
    <row r="120" spans="1:9" ht="12.75">
      <c r="A120" s="113">
        <v>44170</v>
      </c>
      <c r="B120" s="401">
        <f t="shared" si="8"/>
        <v>66</v>
      </c>
      <c r="C120" s="55">
        <f t="shared" si="9"/>
        <v>46573000</v>
      </c>
      <c r="D120" s="55">
        <f>D118</f>
        <v>2600000</v>
      </c>
      <c r="E120" s="396"/>
      <c r="F120" s="55"/>
      <c r="G120" s="114"/>
      <c r="H120" s="114"/>
      <c r="I120" s="265"/>
    </row>
    <row r="121" spans="1:9" ht="12.75">
      <c r="A121" s="120">
        <v>44196</v>
      </c>
      <c r="B121" s="402">
        <f t="shared" si="8"/>
        <v>26</v>
      </c>
      <c r="C121" s="122">
        <f t="shared" si="9"/>
        <v>46573000</v>
      </c>
      <c r="D121" s="122"/>
      <c r="E121" s="397">
        <f>E119</f>
        <v>0.03276</v>
      </c>
      <c r="F121" s="122">
        <f>((C120+D120)*E121/360*B120)+((C121+D121)*E121/360*B121)</f>
        <v>405524.756</v>
      </c>
      <c r="G121" s="382">
        <f>SUM(F115:F121)</f>
        <v>1743042.938</v>
      </c>
      <c r="H121" s="382">
        <f>SUM(D114:D121)</f>
        <v>10400000</v>
      </c>
      <c r="I121" s="383">
        <f>SUM(G121:H121)</f>
        <v>12143042.938000001</v>
      </c>
    </row>
    <row r="122" spans="1:9" ht="12.75">
      <c r="A122" s="126">
        <v>44260</v>
      </c>
      <c r="B122" s="400">
        <f t="shared" si="8"/>
        <v>64</v>
      </c>
      <c r="C122" s="56">
        <f t="shared" si="9"/>
        <v>43973000</v>
      </c>
      <c r="D122" s="55">
        <f>D120</f>
        <v>2600000</v>
      </c>
      <c r="E122" s="127"/>
      <c r="F122" s="127"/>
      <c r="G122" s="127"/>
      <c r="H122" s="127"/>
      <c r="I122" s="276"/>
    </row>
    <row r="123" spans="1:9" ht="12.75">
      <c r="A123" s="113">
        <v>44286</v>
      </c>
      <c r="B123" s="401">
        <f t="shared" si="8"/>
        <v>26</v>
      </c>
      <c r="C123" s="55">
        <f t="shared" si="9"/>
        <v>43973000</v>
      </c>
      <c r="D123" s="55"/>
      <c r="E123" s="396">
        <f>E121</f>
        <v>0.03276</v>
      </c>
      <c r="F123" s="55">
        <f>((C122+D122)*E123/360*B122)+((C123+D123)*E123/360*B123)</f>
        <v>375281.27</v>
      </c>
      <c r="G123" s="114"/>
      <c r="H123" s="114"/>
      <c r="I123" s="265"/>
    </row>
    <row r="124" spans="1:9" ht="12.75">
      <c r="A124" s="113">
        <v>44352</v>
      </c>
      <c r="B124" s="401">
        <f t="shared" si="8"/>
        <v>66</v>
      </c>
      <c r="C124" s="55">
        <f t="shared" si="9"/>
        <v>41373000</v>
      </c>
      <c r="D124" s="55">
        <f>D122</f>
        <v>2600000</v>
      </c>
      <c r="E124" s="396"/>
      <c r="F124" s="55"/>
      <c r="G124" s="114"/>
      <c r="H124" s="114"/>
      <c r="I124" s="265"/>
    </row>
    <row r="125" spans="1:9" ht="12.75">
      <c r="A125" s="113">
        <v>44377</v>
      </c>
      <c r="B125" s="401">
        <f t="shared" si="8"/>
        <v>25</v>
      </c>
      <c r="C125" s="55">
        <f t="shared" si="9"/>
        <v>41373000</v>
      </c>
      <c r="D125" s="55"/>
      <c r="E125" s="396">
        <f>E123</f>
        <v>0.03276</v>
      </c>
      <c r="F125" s="55">
        <f>((C124+D124)*E125/360*B124)+((C125+D125)*E125/360*B125)</f>
        <v>358225.413</v>
      </c>
      <c r="G125" s="114"/>
      <c r="H125" s="114"/>
      <c r="I125" s="265"/>
    </row>
    <row r="126" spans="1:9" ht="12.75">
      <c r="A126" s="113">
        <v>44444</v>
      </c>
      <c r="B126" s="401">
        <f t="shared" si="8"/>
        <v>67</v>
      </c>
      <c r="C126" s="55">
        <f t="shared" si="9"/>
        <v>38773000</v>
      </c>
      <c r="D126" s="55">
        <f>D124</f>
        <v>2600000</v>
      </c>
      <c r="E126" s="396"/>
      <c r="F126" s="55"/>
      <c r="G126" s="114"/>
      <c r="H126" s="114"/>
      <c r="I126" s="265"/>
    </row>
    <row r="127" spans="1:9" ht="12.75">
      <c r="A127" s="113">
        <v>44469</v>
      </c>
      <c r="B127" s="401">
        <f t="shared" si="8"/>
        <v>25</v>
      </c>
      <c r="C127" s="55">
        <f t="shared" si="9"/>
        <v>38773000</v>
      </c>
      <c r="D127" s="55"/>
      <c r="E127" s="396">
        <f>E125</f>
        <v>0.03276</v>
      </c>
      <c r="F127" s="55">
        <f>((C126+D126)*E127/360*B126)+((C127+D127)*E127/360*B127)</f>
        <v>340459.756</v>
      </c>
      <c r="G127" s="114"/>
      <c r="H127" s="114"/>
      <c r="I127" s="265"/>
    </row>
    <row r="128" spans="1:9" ht="12.75">
      <c r="A128" s="113">
        <v>44535</v>
      </c>
      <c r="B128" s="401">
        <f t="shared" si="8"/>
        <v>66</v>
      </c>
      <c r="C128" s="55">
        <f t="shared" si="9"/>
        <v>36173000</v>
      </c>
      <c r="D128" s="55">
        <f>D126</f>
        <v>2600000</v>
      </c>
      <c r="E128" s="396"/>
      <c r="F128" s="55"/>
      <c r="G128" s="114"/>
      <c r="H128" s="114"/>
      <c r="I128" s="265"/>
    </row>
    <row r="129" spans="1:9" ht="12.75">
      <c r="A129" s="120">
        <v>44561</v>
      </c>
      <c r="B129" s="402">
        <f t="shared" si="8"/>
        <v>26</v>
      </c>
      <c r="C129" s="122">
        <f t="shared" si="9"/>
        <v>36173000</v>
      </c>
      <c r="D129" s="122"/>
      <c r="E129" s="397">
        <f>E127</f>
        <v>0.03276</v>
      </c>
      <c r="F129" s="122">
        <f>((C128+D128)*E129/360*B128)+((C129+D129)*E129/360*B129)</f>
        <v>318455.956</v>
      </c>
      <c r="G129" s="382">
        <f>SUM(F123:F129)</f>
        <v>1392422.395</v>
      </c>
      <c r="H129" s="382">
        <f>SUM(D122:D129)</f>
        <v>10400000</v>
      </c>
      <c r="I129" s="383">
        <f>SUM(G129:H129)</f>
        <v>11792422.395</v>
      </c>
    </row>
    <row r="130" spans="1:9" ht="12.75">
      <c r="A130" s="126">
        <v>44625</v>
      </c>
      <c r="B130" s="400">
        <f t="shared" si="8"/>
        <v>64</v>
      </c>
      <c r="C130" s="56">
        <f t="shared" si="9"/>
        <v>33573000</v>
      </c>
      <c r="D130" s="55">
        <f>D128</f>
        <v>2600000</v>
      </c>
      <c r="E130" s="127"/>
      <c r="F130" s="127"/>
      <c r="G130" s="127"/>
      <c r="H130" s="127"/>
      <c r="I130" s="276"/>
    </row>
    <row r="131" spans="1:9" ht="12.75">
      <c r="A131" s="113">
        <v>44651</v>
      </c>
      <c r="B131" s="401">
        <f t="shared" si="8"/>
        <v>26</v>
      </c>
      <c r="C131" s="55">
        <f t="shared" si="9"/>
        <v>33573000</v>
      </c>
      <c r="D131" s="55"/>
      <c r="E131" s="396">
        <f>E129</f>
        <v>0.03276</v>
      </c>
      <c r="F131" s="55">
        <f>((C130+D130)*E131/360*B130)+((C131+D131)*E131/360*B131)</f>
        <v>290105.27</v>
      </c>
      <c r="G131" s="114"/>
      <c r="H131" s="114"/>
      <c r="I131" s="265"/>
    </row>
    <row r="132" spans="1:9" ht="12.75">
      <c r="A132" s="113">
        <v>44717</v>
      </c>
      <c r="B132" s="401">
        <f t="shared" si="8"/>
        <v>66</v>
      </c>
      <c r="C132" s="55">
        <f t="shared" si="9"/>
        <v>30973000</v>
      </c>
      <c r="D132" s="55">
        <f>D130</f>
        <v>2600000</v>
      </c>
      <c r="E132" s="396"/>
      <c r="F132" s="55"/>
      <c r="G132" s="114"/>
      <c r="H132" s="114"/>
      <c r="I132" s="265"/>
    </row>
    <row r="133" spans="1:9" ht="12.75">
      <c r="A133" s="113">
        <v>44742</v>
      </c>
      <c r="B133" s="401">
        <f t="shared" si="8"/>
        <v>25</v>
      </c>
      <c r="C133" s="55">
        <f t="shared" si="9"/>
        <v>30973000</v>
      </c>
      <c r="D133" s="55"/>
      <c r="E133" s="396">
        <f>E131</f>
        <v>0.03276</v>
      </c>
      <c r="F133" s="55">
        <f>((C132+D132)*E133/360*B132)+((C133+D133)*E133/360*B133)</f>
        <v>272103.013</v>
      </c>
      <c r="G133" s="114"/>
      <c r="H133" s="114"/>
      <c r="I133" s="265"/>
    </row>
    <row r="134" spans="1:9" ht="12.75">
      <c r="A134" s="113">
        <v>44809</v>
      </c>
      <c r="B134" s="401">
        <f t="shared" si="8"/>
        <v>67</v>
      </c>
      <c r="C134" s="55">
        <f t="shared" si="9"/>
        <v>28373000</v>
      </c>
      <c r="D134" s="55">
        <f>D132</f>
        <v>2600000</v>
      </c>
      <c r="E134" s="396"/>
      <c r="F134" s="55"/>
      <c r="G134" s="114"/>
      <c r="H134" s="114"/>
      <c r="I134" s="265"/>
    </row>
    <row r="135" spans="1:9" ht="12.75">
      <c r="A135" s="113">
        <v>44834</v>
      </c>
      <c r="B135" s="401">
        <f aca="true" t="shared" si="10" ref="B135:B156">A135-A134</f>
        <v>25</v>
      </c>
      <c r="C135" s="55">
        <f t="shared" si="9"/>
        <v>28373000</v>
      </c>
      <c r="D135" s="55"/>
      <c r="E135" s="396">
        <f>E133</f>
        <v>0.03276</v>
      </c>
      <c r="F135" s="55">
        <f>((C134+D134)*E135/360*B134)+((C135+D135)*E135/360*B135)</f>
        <v>253390.95599999995</v>
      </c>
      <c r="G135" s="114"/>
      <c r="H135" s="114"/>
      <c r="I135" s="265"/>
    </row>
    <row r="136" spans="1:9" ht="12.75">
      <c r="A136" s="113">
        <v>44900</v>
      </c>
      <c r="B136" s="401">
        <f t="shared" si="10"/>
        <v>66</v>
      </c>
      <c r="C136" s="55">
        <f t="shared" si="9"/>
        <v>25773000</v>
      </c>
      <c r="D136" s="55">
        <f>D134</f>
        <v>2600000</v>
      </c>
      <c r="E136" s="396"/>
      <c r="F136" s="55"/>
      <c r="G136" s="114"/>
      <c r="H136" s="114"/>
      <c r="I136" s="265"/>
    </row>
    <row r="137" spans="1:9" ht="12.75">
      <c r="A137" s="120">
        <v>44926</v>
      </c>
      <c r="B137" s="402">
        <f t="shared" si="10"/>
        <v>26</v>
      </c>
      <c r="C137" s="122">
        <f t="shared" si="9"/>
        <v>25773000</v>
      </c>
      <c r="D137" s="122"/>
      <c r="E137" s="397">
        <f>E135</f>
        <v>0.03276</v>
      </c>
      <c r="F137" s="122">
        <f>((C136+D136)*E137/360*B136)+((C137+D137)*E137/360*B137)</f>
        <v>231387.156</v>
      </c>
      <c r="G137" s="382">
        <f>SUM(F131:F137)</f>
        <v>1046986.395</v>
      </c>
      <c r="H137" s="382">
        <f>SUM(D130:D137)</f>
        <v>10400000</v>
      </c>
      <c r="I137" s="383">
        <f>SUM(G137:H137)</f>
        <v>11446986.395</v>
      </c>
    </row>
    <row r="138" spans="1:9" ht="12.75">
      <c r="A138" s="126">
        <v>44990</v>
      </c>
      <c r="B138" s="400">
        <f t="shared" si="10"/>
        <v>64</v>
      </c>
      <c r="C138" s="56">
        <f t="shared" si="9"/>
        <v>23173000</v>
      </c>
      <c r="D138" s="55">
        <f>D136</f>
        <v>2600000</v>
      </c>
      <c r="E138" s="127"/>
      <c r="F138" s="127"/>
      <c r="G138" s="127"/>
      <c r="H138" s="127"/>
      <c r="I138" s="276"/>
    </row>
    <row r="139" spans="1:9" ht="12.75">
      <c r="A139" s="113">
        <v>45016</v>
      </c>
      <c r="B139" s="401">
        <f t="shared" si="10"/>
        <v>26</v>
      </c>
      <c r="C139" s="55">
        <f aca="true" t="shared" si="11" ref="C139:C156">C138-D139</f>
        <v>23173000</v>
      </c>
      <c r="D139" s="55"/>
      <c r="E139" s="396">
        <f>E137</f>
        <v>0.03276</v>
      </c>
      <c r="F139" s="55">
        <f>((C138+D138)*E139/360*B138)+((C139+D139)*E139/360*B139)</f>
        <v>204929.27</v>
      </c>
      <c r="G139" s="114"/>
      <c r="H139" s="114"/>
      <c r="I139" s="265"/>
    </row>
    <row r="140" spans="1:9" ht="12.75">
      <c r="A140" s="113">
        <v>45082</v>
      </c>
      <c r="B140" s="401">
        <f t="shared" si="10"/>
        <v>66</v>
      </c>
      <c r="C140" s="55">
        <f t="shared" si="11"/>
        <v>20573000</v>
      </c>
      <c r="D140" s="55">
        <f>D138</f>
        <v>2600000</v>
      </c>
      <c r="E140" s="396"/>
      <c r="F140" s="55"/>
      <c r="G140" s="114"/>
      <c r="H140" s="114"/>
      <c r="I140" s="265"/>
    </row>
    <row r="141" spans="1:9" ht="12.75">
      <c r="A141" s="113">
        <v>45107</v>
      </c>
      <c r="B141" s="401">
        <f t="shared" si="10"/>
        <v>25</v>
      </c>
      <c r="C141" s="55">
        <f t="shared" si="11"/>
        <v>20573000</v>
      </c>
      <c r="D141" s="55"/>
      <c r="E141" s="396">
        <f>E139</f>
        <v>0.03276</v>
      </c>
      <c r="F141" s="55">
        <f>((C140+D140)*E141/360*B140)+((C141+D141)*E141/360*B141)</f>
        <v>185980.613</v>
      </c>
      <c r="G141" s="114"/>
      <c r="H141" s="114"/>
      <c r="I141" s="265"/>
    </row>
    <row r="142" spans="1:9" ht="12.75">
      <c r="A142" s="113">
        <v>45174</v>
      </c>
      <c r="B142" s="401">
        <f t="shared" si="10"/>
        <v>67</v>
      </c>
      <c r="C142" s="55">
        <f t="shared" si="11"/>
        <v>17973000</v>
      </c>
      <c r="D142" s="55">
        <f>D140</f>
        <v>2600000</v>
      </c>
      <c r="E142" s="396"/>
      <c r="F142" s="55"/>
      <c r="G142" s="114"/>
      <c r="H142" s="114"/>
      <c r="I142" s="265"/>
    </row>
    <row r="143" spans="1:9" ht="12.75">
      <c r="A143" s="113">
        <v>45199</v>
      </c>
      <c r="B143" s="401">
        <f t="shared" si="10"/>
        <v>25</v>
      </c>
      <c r="C143" s="55">
        <f t="shared" si="11"/>
        <v>17973000</v>
      </c>
      <c r="D143" s="55"/>
      <c r="E143" s="396">
        <f>E141</f>
        <v>0.03276</v>
      </c>
      <c r="F143" s="55">
        <f>((C142+D142)*E143/360*B142)+((C143+D143)*E143/360*B143)</f>
        <v>166322.15600000002</v>
      </c>
      <c r="G143" s="114"/>
      <c r="H143" s="114"/>
      <c r="I143" s="265"/>
    </row>
    <row r="144" spans="1:9" ht="12.75">
      <c r="A144" s="113">
        <v>45265</v>
      </c>
      <c r="B144" s="401">
        <f t="shared" si="10"/>
        <v>66</v>
      </c>
      <c r="C144" s="55">
        <f t="shared" si="11"/>
        <v>15373000</v>
      </c>
      <c r="D144" s="55">
        <f>D142</f>
        <v>2600000</v>
      </c>
      <c r="E144" s="396"/>
      <c r="F144" s="55"/>
      <c r="G144" s="114"/>
      <c r="H144" s="114"/>
      <c r="I144" s="265"/>
    </row>
    <row r="145" spans="1:9" ht="12.75">
      <c r="A145" s="120">
        <v>45291</v>
      </c>
      <c r="B145" s="402">
        <f t="shared" si="10"/>
        <v>26</v>
      </c>
      <c r="C145" s="122">
        <f t="shared" si="11"/>
        <v>15373000</v>
      </c>
      <c r="D145" s="122"/>
      <c r="E145" s="397">
        <f>E143</f>
        <v>0.03276</v>
      </c>
      <c r="F145" s="122">
        <f>((C144+D144)*E145/360*B144)+((C145+D145)*E145/360*B145)</f>
        <v>144318.35599999997</v>
      </c>
      <c r="G145" s="382">
        <f>SUM(F139:F145)</f>
        <v>701550.395</v>
      </c>
      <c r="H145" s="382">
        <f>SUM(D138:D145)</f>
        <v>10400000</v>
      </c>
      <c r="I145" s="383">
        <f>SUM(G145:H145)</f>
        <v>11101550.395</v>
      </c>
    </row>
    <row r="146" spans="1:9" ht="12.75">
      <c r="A146" s="126">
        <v>45356</v>
      </c>
      <c r="B146" s="400">
        <f t="shared" si="10"/>
        <v>65</v>
      </c>
      <c r="C146" s="56">
        <f t="shared" si="11"/>
        <v>12773000</v>
      </c>
      <c r="D146" s="55">
        <f>D144</f>
        <v>2600000</v>
      </c>
      <c r="E146" s="127"/>
      <c r="F146" s="127"/>
      <c r="G146" s="127"/>
      <c r="H146" s="127"/>
      <c r="I146" s="276"/>
    </row>
    <row r="147" spans="1:9" ht="12.75">
      <c r="A147" s="113">
        <v>45382</v>
      </c>
      <c r="B147" s="401">
        <f t="shared" si="10"/>
        <v>26</v>
      </c>
      <c r="C147" s="55">
        <f t="shared" si="11"/>
        <v>12773000</v>
      </c>
      <c r="D147" s="55"/>
      <c r="E147" s="396">
        <f>E145</f>
        <v>0.03276</v>
      </c>
      <c r="F147" s="55">
        <f>((C146+D146)*E147/360*B146)+((C147+D147)*E147/360*B147)</f>
        <v>121152.21299999999</v>
      </c>
      <c r="G147" s="114"/>
      <c r="H147" s="114"/>
      <c r="I147" s="265"/>
    </row>
    <row r="148" spans="1:9" ht="12.75">
      <c r="A148" s="113">
        <v>45448</v>
      </c>
      <c r="B148" s="401">
        <f t="shared" si="10"/>
        <v>66</v>
      </c>
      <c r="C148" s="55">
        <f t="shared" si="11"/>
        <v>10173000</v>
      </c>
      <c r="D148" s="55">
        <f>D146</f>
        <v>2600000</v>
      </c>
      <c r="E148" s="396"/>
      <c r="F148" s="55"/>
      <c r="G148" s="114"/>
      <c r="H148" s="114"/>
      <c r="I148" s="265"/>
    </row>
    <row r="149" spans="1:9" ht="12.75">
      <c r="A149" s="113">
        <v>45473</v>
      </c>
      <c r="B149" s="401">
        <f t="shared" si="10"/>
        <v>25</v>
      </c>
      <c r="C149" s="55">
        <f t="shared" si="11"/>
        <v>10173000</v>
      </c>
      <c r="D149" s="55"/>
      <c r="E149" s="396">
        <f>E147</f>
        <v>0.03276</v>
      </c>
      <c r="F149" s="55">
        <f>((C148+D148)*E149/360*B148)+((C149+D149)*E149/360*B149)</f>
        <v>99858.21299999999</v>
      </c>
      <c r="G149" s="114"/>
      <c r="H149" s="114"/>
      <c r="I149" s="265"/>
    </row>
    <row r="150" spans="1:9" ht="12.75">
      <c r="A150" s="113">
        <v>45540</v>
      </c>
      <c r="B150" s="401">
        <f t="shared" si="10"/>
        <v>67</v>
      </c>
      <c r="C150" s="55">
        <f t="shared" si="11"/>
        <v>7573000</v>
      </c>
      <c r="D150" s="55">
        <f>D148</f>
        <v>2600000</v>
      </c>
      <c r="E150" s="396"/>
      <c r="F150" s="55"/>
      <c r="G150" s="114"/>
      <c r="H150" s="114"/>
      <c r="I150" s="265"/>
    </row>
    <row r="151" spans="1:9" ht="12.75">
      <c r="A151" s="113">
        <v>45565</v>
      </c>
      <c r="B151" s="401">
        <f t="shared" si="10"/>
        <v>25</v>
      </c>
      <c r="C151" s="55">
        <f t="shared" si="11"/>
        <v>7573000</v>
      </c>
      <c r="D151" s="55"/>
      <c r="E151" s="396">
        <f>E149</f>
        <v>0.03276</v>
      </c>
      <c r="F151" s="55">
        <f>((C150+D150)*E151/360*B150)+((C151+D151)*E151/360*B151)</f>
        <v>79253.356</v>
      </c>
      <c r="G151" s="114"/>
      <c r="H151" s="114"/>
      <c r="I151" s="265"/>
    </row>
    <row r="152" spans="1:9" ht="12.75">
      <c r="A152" s="113">
        <v>45631</v>
      </c>
      <c r="B152" s="401">
        <f t="shared" si="10"/>
        <v>66</v>
      </c>
      <c r="C152" s="55">
        <f t="shared" si="11"/>
        <v>4973000</v>
      </c>
      <c r="D152" s="55">
        <f>D150</f>
        <v>2600000</v>
      </c>
      <c r="E152" s="396"/>
      <c r="F152" s="55"/>
      <c r="G152" s="114"/>
      <c r="H152" s="114"/>
      <c r="I152" s="265"/>
    </row>
    <row r="153" spans="1:9" ht="12.75">
      <c r="A153" s="120">
        <v>45657</v>
      </c>
      <c r="B153" s="402">
        <f t="shared" si="10"/>
        <v>26</v>
      </c>
      <c r="C153" s="122">
        <f t="shared" si="11"/>
        <v>4973000</v>
      </c>
      <c r="D153" s="122"/>
      <c r="E153" s="397">
        <f>E151</f>
        <v>0.03276</v>
      </c>
      <c r="F153" s="122">
        <f>((C152+D152)*E153/360*B152)+((C153+D153)*E153/360*B153)</f>
        <v>57249.556</v>
      </c>
      <c r="G153" s="382">
        <f>SUM(F147:F153)</f>
        <v>357513.338</v>
      </c>
      <c r="H153" s="382">
        <f>SUM(D146:D153)</f>
        <v>10400000</v>
      </c>
      <c r="I153" s="383">
        <f>SUM(G153:H153)</f>
        <v>10757513.338</v>
      </c>
    </row>
    <row r="154" spans="1:9" ht="12.75">
      <c r="A154" s="126">
        <v>45721</v>
      </c>
      <c r="B154" s="400">
        <f t="shared" si="10"/>
        <v>64</v>
      </c>
      <c r="C154" s="56">
        <f t="shared" si="11"/>
        <v>2373000</v>
      </c>
      <c r="D154" s="55">
        <f>D152</f>
        <v>2600000</v>
      </c>
      <c r="E154" s="127"/>
      <c r="F154" s="127"/>
      <c r="G154" s="127"/>
      <c r="H154" s="127"/>
      <c r="I154" s="276"/>
    </row>
    <row r="155" spans="1:9" ht="12.75">
      <c r="A155" s="113">
        <v>45747</v>
      </c>
      <c r="B155" s="401">
        <f t="shared" si="10"/>
        <v>26</v>
      </c>
      <c r="C155" s="55">
        <f t="shared" si="11"/>
        <v>2373000</v>
      </c>
      <c r="D155" s="55"/>
      <c r="E155" s="396">
        <f>E153</f>
        <v>0.03276</v>
      </c>
      <c r="F155" s="55">
        <f>((C154+D154)*E155/360*B154)+((C155+D155)*E155/360*B155)</f>
        <v>34577.27</v>
      </c>
      <c r="G155" s="114"/>
      <c r="H155" s="114"/>
      <c r="I155" s="265"/>
    </row>
    <row r="156" spans="1:9" ht="13.5" thickBot="1">
      <c r="A156" s="113">
        <v>45813</v>
      </c>
      <c r="B156" s="401">
        <f t="shared" si="10"/>
        <v>66</v>
      </c>
      <c r="C156" s="55">
        <f t="shared" si="11"/>
        <v>0</v>
      </c>
      <c r="D156" s="55">
        <v>2373000</v>
      </c>
      <c r="E156" s="396">
        <f>E155</f>
        <v>0.03276</v>
      </c>
      <c r="F156" s="55">
        <f>((C156+D156)*E156/360*B156)</f>
        <v>14252.238</v>
      </c>
      <c r="G156" s="382">
        <f>SUM(F155:F156)</f>
        <v>48829.507999999994</v>
      </c>
      <c r="H156" s="382">
        <f>SUM(D154:D156)</f>
        <v>4973000</v>
      </c>
      <c r="I156" s="383">
        <f>SUM(G156:H156)</f>
        <v>5021829.508</v>
      </c>
    </row>
    <row r="157" spans="1:9" ht="13.5" thickTop="1">
      <c r="A157" s="425" t="s">
        <v>14</v>
      </c>
      <c r="B157" s="426"/>
      <c r="C157" s="427"/>
      <c r="D157" s="143">
        <f>SUM(D7:D156)</f>
        <v>179173000</v>
      </c>
      <c r="E157" s="144"/>
      <c r="F157" s="143">
        <f>SUM(F7:F156)</f>
        <v>65382344.11800002</v>
      </c>
      <c r="G157" s="143">
        <f>SUM(G7:G156)</f>
        <v>65382344.11800001</v>
      </c>
      <c r="H157" s="143">
        <f>SUM(H7:H156)</f>
        <v>179173000</v>
      </c>
      <c r="I157" s="145">
        <f>SUM(I7:I156)</f>
        <v>244555344.118</v>
      </c>
    </row>
    <row r="158" spans="1:9" ht="12.75">
      <c r="A158" s="146"/>
      <c r="B158" s="147"/>
      <c r="E158" s="148"/>
      <c r="G158" s="147"/>
      <c r="I158" s="147"/>
    </row>
    <row r="159" spans="1:9" ht="12.75">
      <c r="A159" s="146"/>
      <c r="B159" s="147"/>
      <c r="E159" s="148"/>
      <c r="G159" s="147"/>
      <c r="I159" s="147"/>
    </row>
    <row r="160" spans="2:9" ht="12.75">
      <c r="B160" s="81" t="s">
        <v>200</v>
      </c>
      <c r="D160" s="81"/>
      <c r="E160" s="148" t="s">
        <v>196</v>
      </c>
      <c r="G160" s="414">
        <v>156673000</v>
      </c>
      <c r="I160" s="147"/>
    </row>
    <row r="161" spans="2:9" ht="13.5" thickBot="1">
      <c r="B161" s="81" t="s">
        <v>201</v>
      </c>
      <c r="D161" s="81"/>
      <c r="E161" s="148" t="s">
        <v>187</v>
      </c>
      <c r="G161" s="414">
        <v>22500000</v>
      </c>
      <c r="I161" s="147"/>
    </row>
    <row r="162" spans="2:9" ht="13.5" thickTop="1">
      <c r="B162" s="150" t="s">
        <v>14</v>
      </c>
      <c r="C162" s="155"/>
      <c r="D162" s="150"/>
      <c r="E162" s="151"/>
      <c r="F162" s="152"/>
      <c r="G162" s="415">
        <f>SUM(G160:G161)</f>
        <v>179173000</v>
      </c>
      <c r="I162" s="147"/>
    </row>
  </sheetData>
  <mergeCells count="1">
    <mergeCell ref="A157:C157"/>
  </mergeCells>
  <printOptions horizontalCentered="1"/>
  <pageMargins left="0.3937007874015748" right="0.3937007874015748" top="0.7874015748031497" bottom="0.3937007874015748" header="0.1968503937007874" footer="0.11811023622047245"/>
  <pageSetup blackAndWhite="1" horizontalDpi="300" verticalDpi="300" orientation="portrait" paperSize="9" r:id="rId1"/>
  <headerFooter alignWithMargins="0">
    <oddHeader>&amp;C&amp;"Times New Roman CE,Félkövér dőlt"&amp;12Adósságszolgálat számítása
2005. december 1-i felvételre tervezett 179.173 eFt hitel</oddHeader>
    <oddFooter>&amp;L&amp;8&amp;D&amp;C&amp;8C:\Andi\adósságszolgálat\&amp;F\&amp;A&amp;R&amp;8&amp;P/&amp;N</oddFooter>
  </headerFooter>
  <rowBreaks count="3" manualBreakCount="3">
    <brk id="57" max="255" man="1"/>
    <brk id="105" max="255" man="1"/>
    <brk id="15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2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1.00390625" style="81" customWidth="1"/>
    <col min="2" max="2" width="5.625" style="81" customWidth="1"/>
    <col min="3" max="3" width="12.50390625" style="147" customWidth="1"/>
    <col min="4" max="4" width="14.375" style="147" bestFit="1" customWidth="1"/>
    <col min="5" max="5" width="7.875" style="81" customWidth="1"/>
    <col min="6" max="6" width="12.625" style="81" customWidth="1"/>
    <col min="7" max="7" width="13.50390625" style="81" customWidth="1"/>
    <col min="8" max="9" width="14.375" style="81" bestFit="1" customWidth="1"/>
    <col min="10" max="10" width="9.375" style="81" customWidth="1"/>
    <col min="11" max="11" width="11.125" style="81" bestFit="1" customWidth="1"/>
    <col min="12" max="16384" width="9.375" style="81" customWidth="1"/>
  </cols>
  <sheetData>
    <row r="1" ht="12.75">
      <c r="A1" s="188" t="s">
        <v>204</v>
      </c>
    </row>
    <row r="2" spans="1:9" ht="12.75">
      <c r="A2" s="189" t="s">
        <v>169</v>
      </c>
      <c r="B2" s="188"/>
      <c r="C2" s="189" t="s">
        <v>170</v>
      </c>
      <c r="D2" s="189"/>
      <c r="G2" s="189"/>
      <c r="H2" s="189"/>
      <c r="I2" s="189"/>
    </row>
    <row r="3" spans="1:9" ht="12.75">
      <c r="A3" s="189" t="s">
        <v>208</v>
      </c>
      <c r="B3" s="159"/>
      <c r="C3" s="158"/>
      <c r="D3" s="158"/>
      <c r="E3" s="158"/>
      <c r="F3" s="158"/>
      <c r="G3" s="158"/>
      <c r="H3" s="158"/>
      <c r="I3" s="158"/>
    </row>
    <row r="4" spans="1:9" ht="12.75">
      <c r="A4" s="89" t="s">
        <v>3</v>
      </c>
      <c r="B4" s="90" t="s">
        <v>4</v>
      </c>
      <c r="C4" s="91" t="s">
        <v>5</v>
      </c>
      <c r="D4" s="91" t="s">
        <v>21</v>
      </c>
      <c r="E4" s="91" t="s">
        <v>18</v>
      </c>
      <c r="F4" s="92" t="s">
        <v>20</v>
      </c>
      <c r="G4" s="93" t="s">
        <v>6</v>
      </c>
      <c r="H4" s="93" t="s">
        <v>6</v>
      </c>
      <c r="I4" s="94" t="s">
        <v>6</v>
      </c>
    </row>
    <row r="5" spans="1:9" ht="12.75">
      <c r="A5" s="95"/>
      <c r="B5" s="96" t="s">
        <v>7</v>
      </c>
      <c r="C5" s="97" t="s">
        <v>8</v>
      </c>
      <c r="D5" s="97" t="s">
        <v>13</v>
      </c>
      <c r="E5" s="97" t="s">
        <v>19</v>
      </c>
      <c r="F5" s="98" t="s">
        <v>13</v>
      </c>
      <c r="G5" s="99" t="s">
        <v>9</v>
      </c>
      <c r="H5" s="99" t="s">
        <v>11</v>
      </c>
      <c r="I5" s="100" t="s">
        <v>10</v>
      </c>
    </row>
    <row r="6" spans="1:9" ht="12.75">
      <c r="A6" s="101"/>
      <c r="B6" s="102"/>
      <c r="C6" s="103"/>
      <c r="D6" s="103"/>
      <c r="E6" s="103"/>
      <c r="F6" s="104"/>
      <c r="G6" s="104"/>
      <c r="H6" s="105" t="s">
        <v>13</v>
      </c>
      <c r="I6" s="106" t="s">
        <v>12</v>
      </c>
    </row>
    <row r="7" spans="1:9" ht="12.75">
      <c r="A7" s="126">
        <v>38687</v>
      </c>
      <c r="B7" s="400"/>
      <c r="C7" s="55">
        <v>500000000</v>
      </c>
      <c r="D7" s="56"/>
      <c r="E7" s="381"/>
      <c r="F7" s="56"/>
      <c r="G7" s="178"/>
      <c r="H7" s="178"/>
      <c r="I7" s="179"/>
    </row>
    <row r="8" spans="1:9" ht="12.75">
      <c r="A8" s="120">
        <v>38717</v>
      </c>
      <c r="B8" s="402">
        <f>A8-A7</f>
        <v>30</v>
      </c>
      <c r="C8" s="122">
        <f>C7-D8</f>
        <v>500000000</v>
      </c>
      <c r="D8" s="122"/>
      <c r="E8" s="397">
        <v>0.03876</v>
      </c>
      <c r="F8" s="122">
        <f>((C8+D8)*E8/360*B8)</f>
        <v>1615000</v>
      </c>
      <c r="G8" s="124">
        <f>SUM(F8:F8)</f>
        <v>1615000</v>
      </c>
      <c r="H8" s="124">
        <f>SUM(D8:D8)</f>
        <v>0</v>
      </c>
      <c r="I8" s="125">
        <f>SUM(G8:H8)</f>
        <v>1615000</v>
      </c>
    </row>
    <row r="9" spans="1:9" ht="13.5" thickBot="1">
      <c r="A9" s="247">
        <v>38731</v>
      </c>
      <c r="B9" s="416">
        <f aca="true" t="shared" si="0" ref="B9:B26">A9-A8</f>
        <v>14</v>
      </c>
      <c r="C9" s="62">
        <v>500000000</v>
      </c>
      <c r="D9" s="62"/>
      <c r="E9" s="410"/>
      <c r="F9" s="62"/>
      <c r="G9" s="411"/>
      <c r="H9" s="411"/>
      <c r="I9" s="412"/>
    </row>
    <row r="10" spans="1:9" s="159" customFormat="1" ht="12.75">
      <c r="A10" s="404">
        <v>38747</v>
      </c>
      <c r="B10" s="405">
        <f t="shared" si="0"/>
        <v>16</v>
      </c>
      <c r="C10" s="406">
        <v>607314000</v>
      </c>
      <c r="D10" s="406"/>
      <c r="E10" s="407">
        <f>E8</f>
        <v>0.03876</v>
      </c>
      <c r="F10" s="406"/>
      <c r="G10" s="408"/>
      <c r="H10" s="408"/>
      <c r="I10" s="409"/>
    </row>
    <row r="11" spans="1:9" ht="12.75">
      <c r="A11" s="113">
        <v>38807</v>
      </c>
      <c r="B11" s="403">
        <f t="shared" si="0"/>
        <v>60</v>
      </c>
      <c r="C11" s="55">
        <f>C10-D11</f>
        <v>607314000</v>
      </c>
      <c r="D11" s="55"/>
      <c r="E11" s="396">
        <f aca="true" t="shared" si="1" ref="E11:E19">E10</f>
        <v>0.03876</v>
      </c>
      <c r="F11" s="55">
        <f>((C10+D10)*E11/360*B10)+((C11+D11)*E11/360*B11)+((C9+D9)*E11/360*B9)</f>
        <v>5723114.690666667</v>
      </c>
      <c r="G11" s="114"/>
      <c r="H11" s="114"/>
      <c r="I11" s="265"/>
    </row>
    <row r="12" spans="1:9" ht="12.75">
      <c r="A12" s="113">
        <v>38898</v>
      </c>
      <c r="B12" s="401">
        <f t="shared" si="0"/>
        <v>91</v>
      </c>
      <c r="C12" s="55">
        <f>C11-D12</f>
        <v>607314000</v>
      </c>
      <c r="D12" s="55"/>
      <c r="E12" s="396">
        <f t="shared" si="1"/>
        <v>0.03876</v>
      </c>
      <c r="F12" s="55">
        <f aca="true" t="shared" si="2" ref="F12:F19">((C12+D12)*E12/360*B12)</f>
        <v>5950260.134000001</v>
      </c>
      <c r="G12" s="114"/>
      <c r="H12" s="114"/>
      <c r="I12" s="265"/>
    </row>
    <row r="13" spans="1:9" ht="12.75">
      <c r="A13" s="113">
        <v>38990</v>
      </c>
      <c r="B13" s="401">
        <f t="shared" si="0"/>
        <v>92</v>
      </c>
      <c r="C13" s="55">
        <f>C12-D13</f>
        <v>607314000</v>
      </c>
      <c r="D13" s="55"/>
      <c r="E13" s="396">
        <f t="shared" si="1"/>
        <v>0.03876</v>
      </c>
      <c r="F13" s="55">
        <f t="shared" si="2"/>
        <v>6015647.608</v>
      </c>
      <c r="G13" s="114"/>
      <c r="H13" s="114"/>
      <c r="I13" s="265"/>
    </row>
    <row r="14" spans="1:9" ht="12.75">
      <c r="A14" s="120">
        <v>39082</v>
      </c>
      <c r="B14" s="402">
        <f t="shared" si="0"/>
        <v>92</v>
      </c>
      <c r="C14" s="122">
        <f>C13-D14</f>
        <v>607314000</v>
      </c>
      <c r="D14" s="122"/>
      <c r="E14" s="397">
        <f t="shared" si="1"/>
        <v>0.03876</v>
      </c>
      <c r="F14" s="122">
        <f t="shared" si="2"/>
        <v>6015647.608</v>
      </c>
      <c r="G14" s="382">
        <f>SUM(F11:F14)</f>
        <v>23704670.040666666</v>
      </c>
      <c r="H14" s="382">
        <f>SUM(D11:D14)</f>
        <v>0</v>
      </c>
      <c r="I14" s="383">
        <f>SUM(G14:H14)</f>
        <v>23704670.040666666</v>
      </c>
    </row>
    <row r="15" spans="1:9" ht="12.75">
      <c r="A15" s="113">
        <v>39172</v>
      </c>
      <c r="B15" s="403">
        <f t="shared" si="0"/>
        <v>90</v>
      </c>
      <c r="C15" s="55">
        <f aca="true" t="shared" si="3" ref="C15:C25">C14-D15</f>
        <v>607314000</v>
      </c>
      <c r="D15" s="55"/>
      <c r="E15" s="396">
        <f t="shared" si="1"/>
        <v>0.03876</v>
      </c>
      <c r="F15" s="55">
        <f t="shared" si="2"/>
        <v>5884872.66</v>
      </c>
      <c r="G15" s="114"/>
      <c r="H15" s="114"/>
      <c r="I15" s="265"/>
    </row>
    <row r="16" spans="1:9" ht="12.75">
      <c r="A16" s="113">
        <v>39263</v>
      </c>
      <c r="B16" s="401">
        <f t="shared" si="0"/>
        <v>91</v>
      </c>
      <c r="C16" s="55">
        <f t="shared" si="3"/>
        <v>607314000</v>
      </c>
      <c r="D16" s="55"/>
      <c r="E16" s="396">
        <f t="shared" si="1"/>
        <v>0.03876</v>
      </c>
      <c r="F16" s="55">
        <f t="shared" si="2"/>
        <v>5950260.134000001</v>
      </c>
      <c r="G16" s="114"/>
      <c r="H16" s="114"/>
      <c r="I16" s="265"/>
    </row>
    <row r="17" spans="1:9" ht="12.75">
      <c r="A17" s="113">
        <v>39355</v>
      </c>
      <c r="B17" s="401">
        <f t="shared" si="0"/>
        <v>92</v>
      </c>
      <c r="C17" s="55">
        <f t="shared" si="3"/>
        <v>607314000</v>
      </c>
      <c r="D17" s="55"/>
      <c r="E17" s="396">
        <f t="shared" si="1"/>
        <v>0.03876</v>
      </c>
      <c r="F17" s="55">
        <f t="shared" si="2"/>
        <v>6015647.608</v>
      </c>
      <c r="G17" s="114"/>
      <c r="H17" s="114"/>
      <c r="I17" s="265"/>
    </row>
    <row r="18" spans="1:9" ht="12.75">
      <c r="A18" s="120">
        <v>39447</v>
      </c>
      <c r="B18" s="402">
        <f t="shared" si="0"/>
        <v>92</v>
      </c>
      <c r="C18" s="122">
        <f t="shared" si="3"/>
        <v>607314000</v>
      </c>
      <c r="D18" s="122"/>
      <c r="E18" s="397">
        <f t="shared" si="1"/>
        <v>0.03876</v>
      </c>
      <c r="F18" s="122">
        <f t="shared" si="2"/>
        <v>6015647.608</v>
      </c>
      <c r="G18" s="382">
        <f>SUM(F15:F18)</f>
        <v>23866428.009999998</v>
      </c>
      <c r="H18" s="382">
        <f>SUM(D15:D18)</f>
        <v>0</v>
      </c>
      <c r="I18" s="383">
        <f>SUM(G18:H18)</f>
        <v>23866428.009999998</v>
      </c>
    </row>
    <row r="19" spans="1:9" ht="12.75">
      <c r="A19" s="126">
        <v>39538</v>
      </c>
      <c r="B19" s="413">
        <f t="shared" si="0"/>
        <v>91</v>
      </c>
      <c r="C19" s="56">
        <f t="shared" si="3"/>
        <v>607314000</v>
      </c>
      <c r="D19" s="56"/>
      <c r="E19" s="398">
        <f t="shared" si="1"/>
        <v>0.03876</v>
      </c>
      <c r="F19" s="56">
        <f t="shared" si="2"/>
        <v>5950260.134000001</v>
      </c>
      <c r="G19" s="127"/>
      <c r="H19" s="127"/>
      <c r="I19" s="276"/>
    </row>
    <row r="20" spans="1:9" ht="12.75">
      <c r="A20" s="113">
        <v>39604</v>
      </c>
      <c r="B20" s="403">
        <f t="shared" si="0"/>
        <v>66</v>
      </c>
      <c r="C20" s="55">
        <f t="shared" si="3"/>
        <v>598514000</v>
      </c>
      <c r="D20" s="55">
        <v>8800000</v>
      </c>
      <c r="E20" s="396"/>
      <c r="F20" s="55"/>
      <c r="G20" s="114"/>
      <c r="H20" s="114"/>
      <c r="I20" s="265"/>
    </row>
    <row r="21" spans="1:9" ht="12.75">
      <c r="A21" s="113">
        <v>39629</v>
      </c>
      <c r="B21" s="403">
        <f t="shared" si="0"/>
        <v>25</v>
      </c>
      <c r="C21" s="55">
        <f t="shared" si="3"/>
        <v>598514000</v>
      </c>
      <c r="D21" s="55"/>
      <c r="E21" s="396">
        <f>E19</f>
        <v>0.03876</v>
      </c>
      <c r="F21" s="55">
        <f>((C20+D20)*E21/360*B20)+((C21+D21)*E21/360*B21)</f>
        <v>5926573.467333334</v>
      </c>
      <c r="G21" s="114"/>
      <c r="H21" s="114"/>
      <c r="I21" s="265"/>
    </row>
    <row r="22" spans="1:9" ht="12.75">
      <c r="A22" s="113">
        <v>39696</v>
      </c>
      <c r="B22" s="403">
        <f t="shared" si="0"/>
        <v>67</v>
      </c>
      <c r="C22" s="55">
        <f t="shared" si="3"/>
        <v>589714000</v>
      </c>
      <c r="D22" s="55">
        <v>8800000</v>
      </c>
      <c r="E22" s="396"/>
      <c r="F22" s="55"/>
      <c r="G22" s="114"/>
      <c r="H22" s="114"/>
      <c r="I22" s="265"/>
    </row>
    <row r="23" spans="1:9" ht="12.75">
      <c r="A23" s="113">
        <v>39721</v>
      </c>
      <c r="B23" s="403">
        <f t="shared" si="0"/>
        <v>25</v>
      </c>
      <c r="C23" s="55">
        <f t="shared" si="3"/>
        <v>589714000</v>
      </c>
      <c r="D23" s="55"/>
      <c r="E23" s="396">
        <f>E21</f>
        <v>0.03876</v>
      </c>
      <c r="F23" s="55">
        <f>((C22+D22)*E23/360*B22)+((C23+D23)*E23/360*B23)</f>
        <v>5904794.008</v>
      </c>
      <c r="G23" s="114"/>
      <c r="H23" s="114"/>
      <c r="I23" s="265"/>
    </row>
    <row r="24" spans="1:9" ht="12.75">
      <c r="A24" s="277">
        <v>39787</v>
      </c>
      <c r="B24" s="403">
        <f t="shared" si="0"/>
        <v>66</v>
      </c>
      <c r="C24" s="55">
        <f t="shared" si="3"/>
        <v>580914000</v>
      </c>
      <c r="D24" s="130">
        <v>8800000</v>
      </c>
      <c r="E24" s="399"/>
      <c r="F24" s="130"/>
      <c r="G24" s="131"/>
      <c r="H24" s="131"/>
      <c r="I24" s="286"/>
    </row>
    <row r="25" spans="1:9" ht="12.75">
      <c r="A25" s="120">
        <v>39813</v>
      </c>
      <c r="B25" s="402">
        <f t="shared" si="0"/>
        <v>26</v>
      </c>
      <c r="C25" s="122">
        <f t="shared" si="3"/>
        <v>580914000</v>
      </c>
      <c r="D25" s="122"/>
      <c r="E25" s="397">
        <f>E23</f>
        <v>0.03876</v>
      </c>
      <c r="F25" s="122">
        <f>((C24+D24)*E25/360*B24)+((C25+D25)*E25/360*B25)</f>
        <v>5816679.608</v>
      </c>
      <c r="G25" s="382">
        <f>SUM(F19:F25)</f>
        <v>23598307.217333335</v>
      </c>
      <c r="H25" s="382">
        <f>SUM(D19:D25)</f>
        <v>26400000</v>
      </c>
      <c r="I25" s="383">
        <f>SUM(G25:H25)</f>
        <v>49998307.21733333</v>
      </c>
    </row>
    <row r="26" spans="1:9" ht="12.75">
      <c r="A26" s="126">
        <v>39877</v>
      </c>
      <c r="B26" s="400">
        <f t="shared" si="0"/>
        <v>64</v>
      </c>
      <c r="C26" s="56">
        <f aca="true" t="shared" si="4" ref="C26:C33">C25-D26</f>
        <v>572114000</v>
      </c>
      <c r="D26" s="56">
        <v>8800000</v>
      </c>
      <c r="E26" s="127"/>
      <c r="F26" s="127"/>
      <c r="G26" s="127"/>
      <c r="H26" s="127"/>
      <c r="I26" s="276"/>
    </row>
    <row r="27" spans="1:9" ht="12.75">
      <c r="A27" s="113">
        <v>39903</v>
      </c>
      <c r="B27" s="401">
        <f aca="true" t="shared" si="5" ref="B27:B91">A27-A26</f>
        <v>26</v>
      </c>
      <c r="C27" s="55">
        <f t="shared" si="4"/>
        <v>572114000</v>
      </c>
      <c r="D27" s="55"/>
      <c r="E27" s="396">
        <f>E25</f>
        <v>0.03876</v>
      </c>
      <c r="F27" s="55">
        <f>((C26+D26)*E27/360*B26)+((C27+D27)*E27/360*B27)</f>
        <v>5604422.526666666</v>
      </c>
      <c r="G27" s="114"/>
      <c r="H27" s="114"/>
      <c r="I27" s="265"/>
    </row>
    <row r="28" spans="1:9" ht="12.75">
      <c r="A28" s="113">
        <v>39969</v>
      </c>
      <c r="B28" s="401">
        <f t="shared" si="5"/>
        <v>66</v>
      </c>
      <c r="C28" s="55">
        <f t="shared" si="4"/>
        <v>563314000</v>
      </c>
      <c r="D28" s="55">
        <v>8800000</v>
      </c>
      <c r="E28" s="396"/>
      <c r="F28" s="55"/>
      <c r="G28" s="114"/>
      <c r="H28" s="114"/>
      <c r="I28" s="265"/>
    </row>
    <row r="29" spans="1:9" ht="12.75">
      <c r="A29" s="113">
        <v>39994</v>
      </c>
      <c r="B29" s="401">
        <f t="shared" si="5"/>
        <v>25</v>
      </c>
      <c r="C29" s="55">
        <f t="shared" si="4"/>
        <v>563314000</v>
      </c>
      <c r="D29" s="55"/>
      <c r="E29" s="396">
        <f>E27</f>
        <v>0.03876</v>
      </c>
      <c r="F29" s="55">
        <f>((C28+D28)*E29/360*B28)+((C29+D29)*E29/360*B29)</f>
        <v>5581695.600666666</v>
      </c>
      <c r="G29" s="114"/>
      <c r="H29" s="114"/>
      <c r="I29" s="265"/>
    </row>
    <row r="30" spans="1:9" ht="12.75">
      <c r="A30" s="113">
        <v>40061</v>
      </c>
      <c r="B30" s="401">
        <f t="shared" si="5"/>
        <v>67</v>
      </c>
      <c r="C30" s="55">
        <f t="shared" si="4"/>
        <v>554514000</v>
      </c>
      <c r="D30" s="55">
        <v>8800000</v>
      </c>
      <c r="E30" s="396"/>
      <c r="F30" s="55"/>
      <c r="G30" s="114"/>
      <c r="H30" s="114"/>
      <c r="I30" s="265"/>
    </row>
    <row r="31" spans="1:9" ht="12.75">
      <c r="A31" s="113">
        <v>40086</v>
      </c>
      <c r="B31" s="401">
        <f t="shared" si="5"/>
        <v>25</v>
      </c>
      <c r="C31" s="55">
        <f t="shared" si="4"/>
        <v>554514000</v>
      </c>
      <c r="D31" s="55"/>
      <c r="E31" s="396">
        <f>E29</f>
        <v>0.03876</v>
      </c>
      <c r="F31" s="55">
        <f>((C30+D30)*E31/360*B30)+((C31+D31)*E31/360*B31)</f>
        <v>5556126.274666667</v>
      </c>
      <c r="G31" s="114"/>
      <c r="H31" s="114"/>
      <c r="I31" s="265"/>
    </row>
    <row r="32" spans="1:9" ht="12.75">
      <c r="A32" s="113">
        <v>40152</v>
      </c>
      <c r="B32" s="401">
        <f t="shared" si="5"/>
        <v>66</v>
      </c>
      <c r="C32" s="55">
        <f t="shared" si="4"/>
        <v>545714000</v>
      </c>
      <c r="D32" s="55">
        <v>8800000</v>
      </c>
      <c r="E32" s="396"/>
      <c r="F32" s="55"/>
      <c r="G32" s="114"/>
      <c r="H32" s="114"/>
      <c r="I32" s="265"/>
    </row>
    <row r="33" spans="1:9" ht="12.75">
      <c r="A33" s="120">
        <v>40178</v>
      </c>
      <c r="B33" s="402">
        <f t="shared" si="5"/>
        <v>26</v>
      </c>
      <c r="C33" s="122">
        <f t="shared" si="4"/>
        <v>545714000</v>
      </c>
      <c r="D33" s="122"/>
      <c r="E33" s="397">
        <f>E31</f>
        <v>0.03876</v>
      </c>
      <c r="F33" s="122">
        <f>((C32+D32)*E33/360*B32)+((C33+D33)*E33/360*B33)</f>
        <v>5468011.874666667</v>
      </c>
      <c r="G33" s="382">
        <f>SUM(F27:F33)</f>
        <v>22210256.276666664</v>
      </c>
      <c r="H33" s="382">
        <f>SUM(D26:D33)</f>
        <v>35200000</v>
      </c>
      <c r="I33" s="383">
        <f>SUM(G33:H33)</f>
        <v>57410256.27666666</v>
      </c>
    </row>
    <row r="34" spans="1:9" ht="12.75">
      <c r="A34" s="126">
        <v>40242</v>
      </c>
      <c r="B34" s="400">
        <f>A34-A33</f>
        <v>64</v>
      </c>
      <c r="C34" s="56">
        <f aca="true" t="shared" si="6" ref="C34:C97">C33-D34</f>
        <v>536914000</v>
      </c>
      <c r="D34" s="56">
        <v>8800000</v>
      </c>
      <c r="E34" s="127"/>
      <c r="F34" s="127"/>
      <c r="G34" s="127"/>
      <c r="H34" s="127"/>
      <c r="I34" s="276"/>
    </row>
    <row r="35" spans="1:9" ht="12.75">
      <c r="A35" s="113">
        <v>40268</v>
      </c>
      <c r="B35" s="401">
        <f t="shared" si="5"/>
        <v>26</v>
      </c>
      <c r="C35" s="55">
        <f t="shared" si="6"/>
        <v>536914000</v>
      </c>
      <c r="D35" s="55"/>
      <c r="E35" s="396">
        <f>E33</f>
        <v>0.03876</v>
      </c>
      <c r="F35" s="55">
        <f>((C34+D34)*E35/360*B34)+((C35+D35)*E35/360*B35)</f>
        <v>5263334.526666666</v>
      </c>
      <c r="G35" s="114"/>
      <c r="H35" s="114"/>
      <c r="I35" s="265"/>
    </row>
    <row r="36" spans="1:9" ht="12.75">
      <c r="A36" s="113">
        <v>40334</v>
      </c>
      <c r="B36" s="401">
        <f t="shared" si="5"/>
        <v>66</v>
      </c>
      <c r="C36" s="55">
        <f t="shared" si="6"/>
        <v>528114000</v>
      </c>
      <c r="D36" s="55">
        <v>8800000</v>
      </c>
      <c r="E36" s="396"/>
      <c r="F36" s="55"/>
      <c r="G36" s="114"/>
      <c r="H36" s="114"/>
      <c r="I36" s="265"/>
    </row>
    <row r="37" spans="1:9" ht="12.75">
      <c r="A37" s="113">
        <v>40359</v>
      </c>
      <c r="B37" s="401">
        <f t="shared" si="5"/>
        <v>25</v>
      </c>
      <c r="C37" s="55">
        <f t="shared" si="6"/>
        <v>528114000</v>
      </c>
      <c r="D37" s="55"/>
      <c r="E37" s="396">
        <f>E35</f>
        <v>0.03876</v>
      </c>
      <c r="F37" s="55">
        <f>((C36+D36)*E37/360*B36)+((C37+D37)*E37/360*B37)</f>
        <v>5236817.734</v>
      </c>
      <c r="G37" s="114"/>
      <c r="H37" s="114"/>
      <c r="I37" s="265"/>
    </row>
    <row r="38" spans="1:9" ht="12.75">
      <c r="A38" s="113">
        <v>40426</v>
      </c>
      <c r="B38" s="401">
        <f t="shared" si="5"/>
        <v>67</v>
      </c>
      <c r="C38" s="55">
        <f t="shared" si="6"/>
        <v>519314000</v>
      </c>
      <c r="D38" s="55">
        <v>8800000</v>
      </c>
      <c r="E38" s="396"/>
      <c r="F38" s="55"/>
      <c r="G38" s="114"/>
      <c r="H38" s="114"/>
      <c r="I38" s="265"/>
    </row>
    <row r="39" spans="1:9" ht="12.75">
      <c r="A39" s="113">
        <v>40451</v>
      </c>
      <c r="B39" s="401">
        <f t="shared" si="5"/>
        <v>25</v>
      </c>
      <c r="C39" s="55">
        <f t="shared" si="6"/>
        <v>519314000</v>
      </c>
      <c r="D39" s="55"/>
      <c r="E39" s="396">
        <f>E37</f>
        <v>0.03876</v>
      </c>
      <c r="F39" s="55">
        <f>((C38+D38)*E39/360*B38)+((C39+D39)*E39/360*B39)</f>
        <v>5207458.541333334</v>
      </c>
      <c r="G39" s="114"/>
      <c r="H39" s="114"/>
      <c r="I39" s="265"/>
    </row>
    <row r="40" spans="1:9" ht="12.75">
      <c r="A40" s="113">
        <v>40517</v>
      </c>
      <c r="B40" s="401">
        <f t="shared" si="5"/>
        <v>66</v>
      </c>
      <c r="C40" s="55">
        <f t="shared" si="6"/>
        <v>510514000</v>
      </c>
      <c r="D40" s="55">
        <v>8800000</v>
      </c>
      <c r="E40" s="396"/>
      <c r="F40" s="55"/>
      <c r="G40" s="114"/>
      <c r="H40" s="114"/>
      <c r="I40" s="265"/>
    </row>
    <row r="41" spans="1:9" ht="12.75">
      <c r="A41" s="120">
        <v>40543</v>
      </c>
      <c r="B41" s="402">
        <f t="shared" si="5"/>
        <v>26</v>
      </c>
      <c r="C41" s="122">
        <f t="shared" si="6"/>
        <v>510514000</v>
      </c>
      <c r="D41" s="122"/>
      <c r="E41" s="397">
        <f>E39</f>
        <v>0.03876</v>
      </c>
      <c r="F41" s="122">
        <f>((C40+D40)*E41/360*B40)+((C41+D41)*E41/360*B41)</f>
        <v>5119344.141333334</v>
      </c>
      <c r="G41" s="382">
        <f>SUM(F35:F41)</f>
        <v>20826954.943333335</v>
      </c>
      <c r="H41" s="382">
        <f>SUM(D34:D41)</f>
        <v>35200000</v>
      </c>
      <c r="I41" s="383">
        <f>SUM(G41:H41)</f>
        <v>56026954.943333335</v>
      </c>
    </row>
    <row r="42" spans="1:9" ht="12.75">
      <c r="A42" s="126">
        <v>40607</v>
      </c>
      <c r="B42" s="400">
        <f>A42-A41</f>
        <v>64</v>
      </c>
      <c r="C42" s="56">
        <f t="shared" si="6"/>
        <v>501714000</v>
      </c>
      <c r="D42" s="56">
        <v>8800000</v>
      </c>
      <c r="E42" s="127"/>
      <c r="F42" s="127"/>
      <c r="G42" s="127"/>
      <c r="H42" s="127"/>
      <c r="I42" s="276"/>
    </row>
    <row r="43" spans="1:9" ht="12.75">
      <c r="A43" s="113">
        <v>40633</v>
      </c>
      <c r="B43" s="401">
        <f t="shared" si="5"/>
        <v>26</v>
      </c>
      <c r="C43" s="55">
        <f t="shared" si="6"/>
        <v>501714000</v>
      </c>
      <c r="D43" s="55"/>
      <c r="E43" s="396">
        <f>E41</f>
        <v>0.03876</v>
      </c>
      <c r="F43" s="55">
        <f>((C42+D42)*E43/360*B42)+((C43+D43)*E43/360*B43)</f>
        <v>4922246.526666667</v>
      </c>
      <c r="G43" s="114"/>
      <c r="H43" s="114"/>
      <c r="I43" s="265"/>
    </row>
    <row r="44" spans="1:9" ht="12.75">
      <c r="A44" s="113">
        <v>40699</v>
      </c>
      <c r="B44" s="401">
        <f t="shared" si="5"/>
        <v>66</v>
      </c>
      <c r="C44" s="55">
        <f t="shared" si="6"/>
        <v>492914000</v>
      </c>
      <c r="D44" s="55">
        <v>8800000</v>
      </c>
      <c r="E44" s="396"/>
      <c r="F44" s="55"/>
      <c r="G44" s="114"/>
      <c r="H44" s="114"/>
      <c r="I44" s="265"/>
    </row>
    <row r="45" spans="1:9" ht="12.75">
      <c r="A45" s="113">
        <v>40724</v>
      </c>
      <c r="B45" s="401">
        <f t="shared" si="5"/>
        <v>25</v>
      </c>
      <c r="C45" s="55">
        <f t="shared" si="6"/>
        <v>492914000</v>
      </c>
      <c r="D45" s="55"/>
      <c r="E45" s="396">
        <f>E43</f>
        <v>0.03876</v>
      </c>
      <c r="F45" s="55">
        <f>((C44+D44)*E45/360*B44)+((C45+D45)*E45/360*B45)</f>
        <v>4891939.867333334</v>
      </c>
      <c r="G45" s="114"/>
      <c r="H45" s="114"/>
      <c r="I45" s="265"/>
    </row>
    <row r="46" spans="1:9" ht="12.75">
      <c r="A46" s="113">
        <v>40791</v>
      </c>
      <c r="B46" s="401">
        <f t="shared" si="5"/>
        <v>67</v>
      </c>
      <c r="C46" s="55">
        <f t="shared" si="6"/>
        <v>484114000</v>
      </c>
      <c r="D46" s="55">
        <v>8800000</v>
      </c>
      <c r="E46" s="396"/>
      <c r="F46" s="55"/>
      <c r="G46" s="114"/>
      <c r="H46" s="114"/>
      <c r="I46" s="265"/>
    </row>
    <row r="47" spans="1:9" ht="12.75">
      <c r="A47" s="113">
        <v>40816</v>
      </c>
      <c r="B47" s="401">
        <f t="shared" si="5"/>
        <v>25</v>
      </c>
      <c r="C47" s="55">
        <f t="shared" si="6"/>
        <v>484114000</v>
      </c>
      <c r="D47" s="55"/>
      <c r="E47" s="396">
        <f>E45</f>
        <v>0.03876</v>
      </c>
      <c r="F47" s="55">
        <f>((C46+D46)*E47/360*B46)+((C47+D47)*E47/360*B47)</f>
        <v>4858790.808</v>
      </c>
      <c r="G47" s="114"/>
      <c r="H47" s="114"/>
      <c r="I47" s="265"/>
    </row>
    <row r="48" spans="1:9" ht="12.75">
      <c r="A48" s="113">
        <v>40882</v>
      </c>
      <c r="B48" s="401">
        <f t="shared" si="5"/>
        <v>66</v>
      </c>
      <c r="C48" s="55">
        <f t="shared" si="6"/>
        <v>475314000</v>
      </c>
      <c r="D48" s="55">
        <v>8800000</v>
      </c>
      <c r="E48" s="396"/>
      <c r="F48" s="55"/>
      <c r="G48" s="114"/>
      <c r="H48" s="114"/>
      <c r="I48" s="265"/>
    </row>
    <row r="49" spans="1:9" ht="12.75">
      <c r="A49" s="120">
        <v>40908</v>
      </c>
      <c r="B49" s="402">
        <f t="shared" si="5"/>
        <v>26</v>
      </c>
      <c r="C49" s="122">
        <f t="shared" si="6"/>
        <v>475314000</v>
      </c>
      <c r="D49" s="122"/>
      <c r="E49" s="397">
        <f>E47</f>
        <v>0.03876</v>
      </c>
      <c r="F49" s="122">
        <f>((C48+D48)*E49/360*B48)+((C49+D49)*E49/360*B49)</f>
        <v>4770676.408</v>
      </c>
      <c r="G49" s="382">
        <f>SUM(F43:F49)</f>
        <v>19443653.61</v>
      </c>
      <c r="H49" s="382">
        <f>SUM(D42:D49)</f>
        <v>35200000</v>
      </c>
      <c r="I49" s="383">
        <f>SUM(G49:H49)</f>
        <v>54643653.61</v>
      </c>
    </row>
    <row r="50" spans="1:9" ht="12.75">
      <c r="A50" s="126">
        <v>40973</v>
      </c>
      <c r="B50" s="400">
        <f>A50-A49</f>
        <v>65</v>
      </c>
      <c r="C50" s="56">
        <f t="shared" si="6"/>
        <v>466514000</v>
      </c>
      <c r="D50" s="56">
        <v>8800000</v>
      </c>
      <c r="E50" s="127"/>
      <c r="F50" s="127"/>
      <c r="G50" s="127"/>
      <c r="H50" s="127"/>
      <c r="I50" s="276"/>
    </row>
    <row r="51" spans="1:9" ht="12.75">
      <c r="A51" s="113">
        <v>40999</v>
      </c>
      <c r="B51" s="401">
        <f t="shared" si="5"/>
        <v>26</v>
      </c>
      <c r="C51" s="55">
        <f t="shared" si="6"/>
        <v>466514000</v>
      </c>
      <c r="D51" s="55"/>
      <c r="E51" s="396">
        <f>E49</f>
        <v>0.03876</v>
      </c>
      <c r="F51" s="55">
        <f>((C50+D50)*E51/360*B50)+((C51+D51)*E51/360*B51)</f>
        <v>4632334.000666667</v>
      </c>
      <c r="G51" s="114"/>
      <c r="H51" s="114"/>
      <c r="I51" s="265"/>
    </row>
    <row r="52" spans="1:9" ht="12.75">
      <c r="A52" s="113">
        <v>41065</v>
      </c>
      <c r="B52" s="401">
        <f t="shared" si="5"/>
        <v>66</v>
      </c>
      <c r="C52" s="55">
        <f t="shared" si="6"/>
        <v>457714000</v>
      </c>
      <c r="D52" s="55">
        <v>8800000</v>
      </c>
      <c r="E52" s="396"/>
      <c r="F52" s="55"/>
      <c r="G52" s="114"/>
      <c r="H52" s="114"/>
      <c r="I52" s="265"/>
    </row>
    <row r="53" spans="1:9" ht="12.75">
      <c r="A53" s="113">
        <v>41090</v>
      </c>
      <c r="B53" s="401">
        <f t="shared" si="5"/>
        <v>25</v>
      </c>
      <c r="C53" s="55">
        <f t="shared" si="6"/>
        <v>457714000</v>
      </c>
      <c r="D53" s="55"/>
      <c r="E53" s="396">
        <f>E51</f>
        <v>0.03876</v>
      </c>
      <c r="F53" s="55">
        <f>((C52+D52)*E53/360*B52)+((C53+D53)*E53/360*B53)</f>
        <v>4547062.000666667</v>
      </c>
      <c r="G53" s="114"/>
      <c r="H53" s="114"/>
      <c r="I53" s="265"/>
    </row>
    <row r="54" spans="1:9" ht="12.75">
      <c r="A54" s="113">
        <v>41157</v>
      </c>
      <c r="B54" s="401">
        <f t="shared" si="5"/>
        <v>67</v>
      </c>
      <c r="C54" s="55">
        <f t="shared" si="6"/>
        <v>448914000</v>
      </c>
      <c r="D54" s="55">
        <v>8800000</v>
      </c>
      <c r="E54" s="396"/>
      <c r="F54" s="55"/>
      <c r="G54" s="114"/>
      <c r="H54" s="114"/>
      <c r="I54" s="265"/>
    </row>
    <row r="55" spans="1:9" ht="12.75">
      <c r="A55" s="113">
        <v>41182</v>
      </c>
      <c r="B55" s="401">
        <f t="shared" si="5"/>
        <v>25</v>
      </c>
      <c r="C55" s="55">
        <f t="shared" si="6"/>
        <v>448914000</v>
      </c>
      <c r="D55" s="55"/>
      <c r="E55" s="396">
        <f>E53</f>
        <v>0.03876</v>
      </c>
      <c r="F55" s="55">
        <f>((C54+D54)*E55/360*B54)+((C55+D55)*E55/360*B55)</f>
        <v>4510123.074666667</v>
      </c>
      <c r="G55" s="114"/>
      <c r="H55" s="114"/>
      <c r="I55" s="265"/>
    </row>
    <row r="56" spans="1:9" ht="12.75">
      <c r="A56" s="113">
        <v>41248</v>
      </c>
      <c r="B56" s="401">
        <f t="shared" si="5"/>
        <v>66</v>
      </c>
      <c r="C56" s="55">
        <f t="shared" si="6"/>
        <v>440114000</v>
      </c>
      <c r="D56" s="55">
        <v>8800000</v>
      </c>
      <c r="E56" s="396"/>
      <c r="F56" s="55"/>
      <c r="G56" s="114"/>
      <c r="H56" s="114"/>
      <c r="I56" s="265"/>
    </row>
    <row r="57" spans="1:9" ht="12.75">
      <c r="A57" s="120">
        <v>41274</v>
      </c>
      <c r="B57" s="402">
        <f t="shared" si="5"/>
        <v>26</v>
      </c>
      <c r="C57" s="122">
        <f t="shared" si="6"/>
        <v>440114000</v>
      </c>
      <c r="D57" s="122"/>
      <c r="E57" s="397">
        <f>E55</f>
        <v>0.03876</v>
      </c>
      <c r="F57" s="122">
        <f>((C56+D56)*E57/360*B56)+((C57+D57)*E57/360*B57)</f>
        <v>4422008.674666666</v>
      </c>
      <c r="G57" s="382">
        <f>SUM(F51:F57)</f>
        <v>18111527.750666667</v>
      </c>
      <c r="H57" s="382">
        <f>SUM(D50:D57)</f>
        <v>35200000</v>
      </c>
      <c r="I57" s="383">
        <f>SUM(G57:H57)</f>
        <v>53311527.75066666</v>
      </c>
    </row>
    <row r="58" spans="1:9" ht="12.75">
      <c r="A58" s="126">
        <v>41338</v>
      </c>
      <c r="B58" s="400">
        <f>A58-A57</f>
        <v>64</v>
      </c>
      <c r="C58" s="56">
        <f t="shared" si="6"/>
        <v>431314000</v>
      </c>
      <c r="D58" s="56">
        <v>8800000</v>
      </c>
      <c r="E58" s="127"/>
      <c r="F58" s="127"/>
      <c r="G58" s="127"/>
      <c r="H58" s="127"/>
      <c r="I58" s="276"/>
    </row>
    <row r="59" spans="1:9" ht="12.75">
      <c r="A59" s="113">
        <v>41364</v>
      </c>
      <c r="B59" s="401">
        <f t="shared" si="5"/>
        <v>26</v>
      </c>
      <c r="C59" s="55">
        <f t="shared" si="6"/>
        <v>431314000</v>
      </c>
      <c r="D59" s="55"/>
      <c r="E59" s="396">
        <f>E57</f>
        <v>0.03876</v>
      </c>
      <c r="F59" s="55">
        <f>((C58+D58)*E59/360*B58)+((C59+D59)*E59/360*B59)</f>
        <v>4240070.526666666</v>
      </c>
      <c r="G59" s="114"/>
      <c r="H59" s="114"/>
      <c r="I59" s="265"/>
    </row>
    <row r="60" spans="1:9" ht="12.75">
      <c r="A60" s="113">
        <v>41430</v>
      </c>
      <c r="B60" s="401">
        <f t="shared" si="5"/>
        <v>66</v>
      </c>
      <c r="C60" s="55">
        <f t="shared" si="6"/>
        <v>422514000</v>
      </c>
      <c r="D60" s="55">
        <v>8800000</v>
      </c>
      <c r="E60" s="396"/>
      <c r="F60" s="55"/>
      <c r="G60" s="114"/>
      <c r="H60" s="114"/>
      <c r="I60" s="265"/>
    </row>
    <row r="61" spans="1:9" ht="12.75">
      <c r="A61" s="113">
        <v>41455</v>
      </c>
      <c r="B61" s="401">
        <f t="shared" si="5"/>
        <v>25</v>
      </c>
      <c r="C61" s="55">
        <f t="shared" si="6"/>
        <v>422514000</v>
      </c>
      <c r="D61" s="55"/>
      <c r="E61" s="396">
        <f>E59</f>
        <v>0.03876</v>
      </c>
      <c r="F61" s="55">
        <f>((C60+D60)*E61/360*B60)+((C61+D61)*E61/360*B61)</f>
        <v>4202184.134</v>
      </c>
      <c r="G61" s="114"/>
      <c r="H61" s="114"/>
      <c r="I61" s="265"/>
    </row>
    <row r="62" spans="1:9" ht="12.75">
      <c r="A62" s="113">
        <v>41522</v>
      </c>
      <c r="B62" s="401">
        <f t="shared" si="5"/>
        <v>67</v>
      </c>
      <c r="C62" s="55">
        <f t="shared" si="6"/>
        <v>413714000</v>
      </c>
      <c r="D62" s="55">
        <v>8800000</v>
      </c>
      <c r="E62" s="396"/>
      <c r="F62" s="55"/>
      <c r="G62" s="114"/>
      <c r="H62" s="114"/>
      <c r="I62" s="265"/>
    </row>
    <row r="63" spans="1:9" ht="12.75">
      <c r="A63" s="113">
        <v>41547</v>
      </c>
      <c r="B63" s="401">
        <f t="shared" si="5"/>
        <v>25</v>
      </c>
      <c r="C63" s="55">
        <f t="shared" si="6"/>
        <v>413714000</v>
      </c>
      <c r="D63" s="55"/>
      <c r="E63" s="396">
        <f>E61</f>
        <v>0.03876</v>
      </c>
      <c r="F63" s="55">
        <f>((C62+D62)*E63/360*B62)+((C63+D63)*E63/360*B63)</f>
        <v>4161455.3413333334</v>
      </c>
      <c r="G63" s="114"/>
      <c r="H63" s="114"/>
      <c r="I63" s="265"/>
    </row>
    <row r="64" spans="1:9" ht="12.75">
      <c r="A64" s="113">
        <v>41613</v>
      </c>
      <c r="B64" s="401">
        <f t="shared" si="5"/>
        <v>66</v>
      </c>
      <c r="C64" s="55">
        <f t="shared" si="6"/>
        <v>404914000</v>
      </c>
      <c r="D64" s="55">
        <v>8800000</v>
      </c>
      <c r="E64" s="396"/>
      <c r="F64" s="55"/>
      <c r="G64" s="114"/>
      <c r="H64" s="114"/>
      <c r="I64" s="265"/>
    </row>
    <row r="65" spans="1:9" ht="12.75">
      <c r="A65" s="120">
        <v>41639</v>
      </c>
      <c r="B65" s="402">
        <f t="shared" si="5"/>
        <v>26</v>
      </c>
      <c r="C65" s="122">
        <f t="shared" si="6"/>
        <v>404914000</v>
      </c>
      <c r="D65" s="122"/>
      <c r="E65" s="397">
        <f>E63</f>
        <v>0.03876</v>
      </c>
      <c r="F65" s="122">
        <f>((C64+D64)*E65/360*B64)+((C65+D65)*E65/360*B65)</f>
        <v>4073340.941333333</v>
      </c>
      <c r="G65" s="382">
        <f>SUM(F59:F65)</f>
        <v>16677050.943333333</v>
      </c>
      <c r="H65" s="382">
        <f>SUM(D58:D65)</f>
        <v>35200000</v>
      </c>
      <c r="I65" s="383">
        <f>SUM(G65:H65)</f>
        <v>51877050.943333335</v>
      </c>
    </row>
    <row r="66" spans="1:9" ht="12.75">
      <c r="A66" s="126">
        <v>41703</v>
      </c>
      <c r="B66" s="400">
        <f>A66-A65</f>
        <v>64</v>
      </c>
      <c r="C66" s="56">
        <f t="shared" si="6"/>
        <v>396114000</v>
      </c>
      <c r="D66" s="56">
        <v>8800000</v>
      </c>
      <c r="E66" s="127"/>
      <c r="F66" s="127"/>
      <c r="G66" s="127"/>
      <c r="H66" s="127"/>
      <c r="I66" s="276"/>
    </row>
    <row r="67" spans="1:9" ht="12.75">
      <c r="A67" s="113">
        <v>41729</v>
      </c>
      <c r="B67" s="401">
        <f t="shared" si="5"/>
        <v>26</v>
      </c>
      <c r="C67" s="55">
        <f t="shared" si="6"/>
        <v>396114000</v>
      </c>
      <c r="D67" s="55"/>
      <c r="E67" s="396">
        <f>E65</f>
        <v>0.03876</v>
      </c>
      <c r="F67" s="55">
        <f>((C66+D66)*E67/360*B66)+((C67+D67)*E67/360*B67)</f>
        <v>3898982.5266666664</v>
      </c>
      <c r="G67" s="114"/>
      <c r="H67" s="114"/>
      <c r="I67" s="265"/>
    </row>
    <row r="68" spans="1:9" ht="12.75">
      <c r="A68" s="113">
        <v>41795</v>
      </c>
      <c r="B68" s="401">
        <f t="shared" si="5"/>
        <v>66</v>
      </c>
      <c r="C68" s="55">
        <f t="shared" si="6"/>
        <v>387314000</v>
      </c>
      <c r="D68" s="55">
        <v>8800000</v>
      </c>
      <c r="E68" s="396"/>
      <c r="F68" s="55"/>
      <c r="G68" s="114"/>
      <c r="H68" s="114"/>
      <c r="I68" s="265"/>
    </row>
    <row r="69" spans="1:9" ht="12.75">
      <c r="A69" s="113">
        <v>41820</v>
      </c>
      <c r="B69" s="401">
        <f t="shared" si="5"/>
        <v>25</v>
      </c>
      <c r="C69" s="55">
        <f t="shared" si="6"/>
        <v>387314000</v>
      </c>
      <c r="D69" s="55"/>
      <c r="E69" s="396">
        <f>E67</f>
        <v>0.03876</v>
      </c>
      <c r="F69" s="55">
        <f>((C68+D68)*E69/360*B68)+((C69+D69)*E69/360*B69)</f>
        <v>3857306.267333334</v>
      </c>
      <c r="G69" s="114"/>
      <c r="H69" s="114"/>
      <c r="I69" s="265"/>
    </row>
    <row r="70" spans="1:9" ht="12.75">
      <c r="A70" s="113">
        <v>41887</v>
      </c>
      <c r="B70" s="401">
        <f t="shared" si="5"/>
        <v>67</v>
      </c>
      <c r="C70" s="55">
        <f t="shared" si="6"/>
        <v>378514000</v>
      </c>
      <c r="D70" s="55">
        <v>8800000</v>
      </c>
      <c r="E70" s="396"/>
      <c r="F70" s="55"/>
      <c r="G70" s="114"/>
      <c r="H70" s="114"/>
      <c r="I70" s="265"/>
    </row>
    <row r="71" spans="1:9" ht="12.75">
      <c r="A71" s="113">
        <v>41912</v>
      </c>
      <c r="B71" s="401">
        <f t="shared" si="5"/>
        <v>25</v>
      </c>
      <c r="C71" s="55">
        <f t="shared" si="6"/>
        <v>378514000</v>
      </c>
      <c r="D71" s="55"/>
      <c r="E71" s="396">
        <f>E69</f>
        <v>0.03876</v>
      </c>
      <c r="F71" s="55">
        <f>((C70+D70)*E71/360*B70)+((C71+D71)*E71/360*B71)</f>
        <v>3812787.608</v>
      </c>
      <c r="G71" s="114"/>
      <c r="H71" s="114"/>
      <c r="I71" s="265"/>
    </row>
    <row r="72" spans="1:9" ht="12.75">
      <c r="A72" s="113">
        <v>41978</v>
      </c>
      <c r="B72" s="401">
        <f t="shared" si="5"/>
        <v>66</v>
      </c>
      <c r="C72" s="55">
        <f t="shared" si="6"/>
        <v>369714000</v>
      </c>
      <c r="D72" s="55">
        <v>8800000</v>
      </c>
      <c r="E72" s="396"/>
      <c r="F72" s="55"/>
      <c r="G72" s="114"/>
      <c r="H72" s="114"/>
      <c r="I72" s="265"/>
    </row>
    <row r="73" spans="1:9" ht="12.75">
      <c r="A73" s="120">
        <v>42004</v>
      </c>
      <c r="B73" s="402">
        <f t="shared" si="5"/>
        <v>26</v>
      </c>
      <c r="C73" s="122">
        <f t="shared" si="6"/>
        <v>369714000</v>
      </c>
      <c r="D73" s="122"/>
      <c r="E73" s="397">
        <f>E71</f>
        <v>0.03876</v>
      </c>
      <c r="F73" s="122">
        <f>((C72+D72)*E73/360*B72)+((C73+D73)*E73/360*B73)</f>
        <v>3724673.208</v>
      </c>
      <c r="G73" s="382">
        <f>SUM(F67:F73)</f>
        <v>15293749.61</v>
      </c>
      <c r="H73" s="382">
        <f>SUM(D66:D73)</f>
        <v>35200000</v>
      </c>
      <c r="I73" s="383">
        <f>SUM(G73:H73)</f>
        <v>50493749.61</v>
      </c>
    </row>
    <row r="74" spans="1:9" ht="12.75">
      <c r="A74" s="126">
        <v>42068</v>
      </c>
      <c r="B74" s="400">
        <f>A74-A73</f>
        <v>64</v>
      </c>
      <c r="C74" s="56">
        <f t="shared" si="6"/>
        <v>360914000</v>
      </c>
      <c r="D74" s="56">
        <v>8800000</v>
      </c>
      <c r="E74" s="127"/>
      <c r="F74" s="127"/>
      <c r="G74" s="127"/>
      <c r="H74" s="127"/>
      <c r="I74" s="276"/>
    </row>
    <row r="75" spans="1:9" ht="12.75">
      <c r="A75" s="113">
        <v>42094</v>
      </c>
      <c r="B75" s="401">
        <f t="shared" si="5"/>
        <v>26</v>
      </c>
      <c r="C75" s="55">
        <f t="shared" si="6"/>
        <v>360914000</v>
      </c>
      <c r="D75" s="55"/>
      <c r="E75" s="396">
        <f>E73</f>
        <v>0.03876</v>
      </c>
      <c r="F75" s="55">
        <f>((C74+D74)*E75/360*B74)+((C75+D75)*E75/360*B75)</f>
        <v>3557894.526666667</v>
      </c>
      <c r="G75" s="114"/>
      <c r="H75" s="114"/>
      <c r="I75" s="265"/>
    </row>
    <row r="76" spans="1:9" ht="12.75">
      <c r="A76" s="113">
        <v>42160</v>
      </c>
      <c r="B76" s="401">
        <f t="shared" si="5"/>
        <v>66</v>
      </c>
      <c r="C76" s="55">
        <f t="shared" si="6"/>
        <v>352114000</v>
      </c>
      <c r="D76" s="55">
        <v>8800000</v>
      </c>
      <c r="E76" s="396"/>
      <c r="F76" s="55"/>
      <c r="G76" s="114"/>
      <c r="H76" s="114"/>
      <c r="I76" s="265"/>
    </row>
    <row r="77" spans="1:9" ht="12.75">
      <c r="A77" s="113">
        <v>42185</v>
      </c>
      <c r="B77" s="401">
        <f t="shared" si="5"/>
        <v>25</v>
      </c>
      <c r="C77" s="55">
        <f t="shared" si="6"/>
        <v>352114000</v>
      </c>
      <c r="D77" s="55"/>
      <c r="E77" s="396">
        <f>E75</f>
        <v>0.03876</v>
      </c>
      <c r="F77" s="55">
        <f>((C76+D76)*E77/360*B76)+((C77+D77)*E77/360*B77)</f>
        <v>3512428.4006666667</v>
      </c>
      <c r="G77" s="114"/>
      <c r="H77" s="114"/>
      <c r="I77" s="265"/>
    </row>
    <row r="78" spans="1:9" ht="12.75">
      <c r="A78" s="113">
        <v>42252</v>
      </c>
      <c r="B78" s="401">
        <f t="shared" si="5"/>
        <v>67</v>
      </c>
      <c r="C78" s="55">
        <f t="shared" si="6"/>
        <v>343314000</v>
      </c>
      <c r="D78" s="55">
        <v>8800000</v>
      </c>
      <c r="E78" s="396"/>
      <c r="F78" s="55"/>
      <c r="G78" s="114"/>
      <c r="H78" s="114"/>
      <c r="I78" s="265"/>
    </row>
    <row r="79" spans="1:9" ht="12.75">
      <c r="A79" s="113">
        <v>42277</v>
      </c>
      <c r="B79" s="401">
        <f t="shared" si="5"/>
        <v>25</v>
      </c>
      <c r="C79" s="55">
        <f t="shared" si="6"/>
        <v>343314000</v>
      </c>
      <c r="D79" s="55"/>
      <c r="E79" s="396">
        <f>E77</f>
        <v>0.03876</v>
      </c>
      <c r="F79" s="55">
        <f>((C78+D78)*E79/360*B78)+((C79+D79)*E79/360*B79)</f>
        <v>3464119.874666667</v>
      </c>
      <c r="G79" s="114"/>
      <c r="H79" s="114"/>
      <c r="I79" s="265"/>
    </row>
    <row r="80" spans="1:9" ht="12.75">
      <c r="A80" s="113">
        <v>42343</v>
      </c>
      <c r="B80" s="401">
        <f t="shared" si="5"/>
        <v>66</v>
      </c>
      <c r="C80" s="55">
        <f t="shared" si="6"/>
        <v>334514000</v>
      </c>
      <c r="D80" s="55">
        <v>8800000</v>
      </c>
      <c r="E80" s="396"/>
      <c r="F80" s="55"/>
      <c r="G80" s="114"/>
      <c r="H80" s="114"/>
      <c r="I80" s="265"/>
    </row>
    <row r="81" spans="1:9" ht="12.75">
      <c r="A81" s="120">
        <v>42369</v>
      </c>
      <c r="B81" s="402">
        <f t="shared" si="5"/>
        <v>26</v>
      </c>
      <c r="C81" s="122">
        <f t="shared" si="6"/>
        <v>334514000</v>
      </c>
      <c r="D81" s="122"/>
      <c r="E81" s="397">
        <f>E79</f>
        <v>0.03876</v>
      </c>
      <c r="F81" s="122">
        <f>((C80+D80)*E81/360*B80)+((C81+D81)*E81/360*B81)</f>
        <v>3376005.4746666667</v>
      </c>
      <c r="G81" s="382">
        <f>SUM(F75:F81)</f>
        <v>13910448.276666667</v>
      </c>
      <c r="H81" s="382">
        <f>SUM(D74:D81)</f>
        <v>35200000</v>
      </c>
      <c r="I81" s="383">
        <f>SUM(G81:H81)</f>
        <v>49110448.27666667</v>
      </c>
    </row>
    <row r="82" spans="1:9" ht="12.75">
      <c r="A82" s="126">
        <v>42434</v>
      </c>
      <c r="B82" s="400">
        <f>A82-A81</f>
        <v>65</v>
      </c>
      <c r="C82" s="56">
        <f t="shared" si="6"/>
        <v>325714000</v>
      </c>
      <c r="D82" s="56">
        <v>8800000</v>
      </c>
      <c r="E82" s="127"/>
      <c r="F82" s="127"/>
      <c r="G82" s="127"/>
      <c r="H82" s="127"/>
      <c r="I82" s="276"/>
    </row>
    <row r="83" spans="1:9" ht="12.75">
      <c r="A83" s="113">
        <v>42460</v>
      </c>
      <c r="B83" s="401">
        <f t="shared" si="5"/>
        <v>26</v>
      </c>
      <c r="C83" s="55">
        <f t="shared" si="6"/>
        <v>325714000</v>
      </c>
      <c r="D83" s="55"/>
      <c r="E83" s="396">
        <f>E81</f>
        <v>0.03876</v>
      </c>
      <c r="F83" s="55">
        <f>((C82+D82)*E83/360*B82)+((C83+D83)*E83/360*B83)</f>
        <v>3252822.534</v>
      </c>
      <c r="G83" s="114"/>
      <c r="H83" s="114"/>
      <c r="I83" s="265"/>
    </row>
    <row r="84" spans="1:9" ht="12.75">
      <c r="A84" s="113">
        <v>42526</v>
      </c>
      <c r="B84" s="401">
        <f t="shared" si="5"/>
        <v>66</v>
      </c>
      <c r="C84" s="55">
        <f t="shared" si="6"/>
        <v>316914000</v>
      </c>
      <c r="D84" s="55">
        <v>8800000</v>
      </c>
      <c r="E84" s="396"/>
      <c r="F84" s="55"/>
      <c r="G84" s="114"/>
      <c r="H84" s="114"/>
      <c r="I84" s="265"/>
    </row>
    <row r="85" spans="1:9" ht="12.75">
      <c r="A85" s="113">
        <v>42551</v>
      </c>
      <c r="B85" s="401">
        <f t="shared" si="5"/>
        <v>25</v>
      </c>
      <c r="C85" s="55">
        <f t="shared" si="6"/>
        <v>316914000</v>
      </c>
      <c r="D85" s="55"/>
      <c r="E85" s="396">
        <f>E83</f>
        <v>0.03876</v>
      </c>
      <c r="F85" s="55">
        <f>((C84+D84)*E85/360*B84)+((C85+D85)*E85/360*B85)</f>
        <v>3167550.534</v>
      </c>
      <c r="G85" s="114"/>
      <c r="H85" s="114"/>
      <c r="I85" s="265"/>
    </row>
    <row r="86" spans="1:9" ht="12.75">
      <c r="A86" s="113">
        <v>42618</v>
      </c>
      <c r="B86" s="401">
        <f t="shared" si="5"/>
        <v>67</v>
      </c>
      <c r="C86" s="55">
        <f t="shared" si="6"/>
        <v>308114000</v>
      </c>
      <c r="D86" s="55">
        <v>8800000</v>
      </c>
      <c r="E86" s="396"/>
      <c r="F86" s="55"/>
      <c r="G86" s="114"/>
      <c r="H86" s="114"/>
      <c r="I86" s="265"/>
    </row>
    <row r="87" spans="1:9" ht="12.75">
      <c r="A87" s="113">
        <v>42643</v>
      </c>
      <c r="B87" s="401">
        <f t="shared" si="5"/>
        <v>25</v>
      </c>
      <c r="C87" s="55">
        <f t="shared" si="6"/>
        <v>308114000</v>
      </c>
      <c r="D87" s="55"/>
      <c r="E87" s="396">
        <f>E85</f>
        <v>0.03876</v>
      </c>
      <c r="F87" s="55">
        <f>((C86+D86)*E87/360*B86)+((C87+D87)*E87/360*B87)</f>
        <v>3115452.141333333</v>
      </c>
      <c r="G87" s="114"/>
      <c r="H87" s="114"/>
      <c r="I87" s="265"/>
    </row>
    <row r="88" spans="1:9" ht="12.75">
      <c r="A88" s="113">
        <v>42709</v>
      </c>
      <c r="B88" s="401">
        <f t="shared" si="5"/>
        <v>66</v>
      </c>
      <c r="C88" s="55">
        <f t="shared" si="6"/>
        <v>299314000</v>
      </c>
      <c r="D88" s="55">
        <v>8800000</v>
      </c>
      <c r="E88" s="396"/>
      <c r="F88" s="55"/>
      <c r="G88" s="114"/>
      <c r="H88" s="114"/>
      <c r="I88" s="265"/>
    </row>
    <row r="89" spans="1:9" ht="12.75">
      <c r="A89" s="120">
        <v>42735</v>
      </c>
      <c r="B89" s="402">
        <f t="shared" si="5"/>
        <v>26</v>
      </c>
      <c r="C89" s="122">
        <f t="shared" si="6"/>
        <v>299314000</v>
      </c>
      <c r="D89" s="122"/>
      <c r="E89" s="397">
        <f>E87</f>
        <v>0.03876</v>
      </c>
      <c r="F89" s="122">
        <f>((C88+D88)*E89/360*B88)+((C89+D89)*E89/360*B89)</f>
        <v>3027337.7413333333</v>
      </c>
      <c r="G89" s="382">
        <f>SUM(F83:F89)</f>
        <v>12563162.950666668</v>
      </c>
      <c r="H89" s="382">
        <f>SUM(D82:D89)</f>
        <v>35200000</v>
      </c>
      <c r="I89" s="383">
        <f>SUM(G89:H89)</f>
        <v>47763162.950666666</v>
      </c>
    </row>
    <row r="90" spans="1:9" ht="12.75">
      <c r="A90" s="126">
        <v>42799</v>
      </c>
      <c r="B90" s="400">
        <f>A90-A89</f>
        <v>64</v>
      </c>
      <c r="C90" s="56">
        <f t="shared" si="6"/>
        <v>290514000</v>
      </c>
      <c r="D90" s="56">
        <v>8800000</v>
      </c>
      <c r="E90" s="127"/>
      <c r="F90" s="127"/>
      <c r="G90" s="127"/>
      <c r="H90" s="127"/>
      <c r="I90" s="276"/>
    </row>
    <row r="91" spans="1:9" ht="12.75">
      <c r="A91" s="113">
        <v>42825</v>
      </c>
      <c r="B91" s="401">
        <f t="shared" si="5"/>
        <v>26</v>
      </c>
      <c r="C91" s="55">
        <f t="shared" si="6"/>
        <v>290514000</v>
      </c>
      <c r="D91" s="55"/>
      <c r="E91" s="396">
        <f>E89</f>
        <v>0.03876</v>
      </c>
      <c r="F91" s="55">
        <f>((C90+D90)*E91/360*B90)+((C91+D91)*E91/360*B91)</f>
        <v>2875718.526666667</v>
      </c>
      <c r="G91" s="114"/>
      <c r="H91" s="114"/>
      <c r="I91" s="265"/>
    </row>
    <row r="92" spans="1:9" ht="12.75">
      <c r="A92" s="113">
        <v>42891</v>
      </c>
      <c r="B92" s="401">
        <f aca="true" t="shared" si="7" ref="B92:B97">A92-A91</f>
        <v>66</v>
      </c>
      <c r="C92" s="55">
        <f t="shared" si="6"/>
        <v>281714000</v>
      </c>
      <c r="D92" s="55">
        <v>8800000</v>
      </c>
      <c r="E92" s="396"/>
      <c r="F92" s="55"/>
      <c r="G92" s="114"/>
      <c r="H92" s="114"/>
      <c r="I92" s="265"/>
    </row>
    <row r="93" spans="1:9" ht="12.75">
      <c r="A93" s="113">
        <v>42916</v>
      </c>
      <c r="B93" s="401">
        <f t="shared" si="7"/>
        <v>25</v>
      </c>
      <c r="C93" s="55">
        <f t="shared" si="6"/>
        <v>281714000</v>
      </c>
      <c r="D93" s="55"/>
      <c r="E93" s="396">
        <f>E91</f>
        <v>0.03876</v>
      </c>
      <c r="F93" s="55">
        <f>((C92+D92)*E93/360*B92)+((C93+D93)*E93/360*B93)</f>
        <v>2822672.6673333338</v>
      </c>
      <c r="G93" s="114"/>
      <c r="H93" s="114"/>
      <c r="I93" s="265"/>
    </row>
    <row r="94" spans="1:9" ht="12.75">
      <c r="A94" s="113">
        <v>42983</v>
      </c>
      <c r="B94" s="401">
        <f t="shared" si="7"/>
        <v>67</v>
      </c>
      <c r="C94" s="55">
        <f t="shared" si="6"/>
        <v>272914000</v>
      </c>
      <c r="D94" s="55">
        <v>8800000</v>
      </c>
      <c r="E94" s="396"/>
      <c r="F94" s="55"/>
      <c r="G94" s="114"/>
      <c r="H94" s="114"/>
      <c r="I94" s="265"/>
    </row>
    <row r="95" spans="1:9" ht="12.75">
      <c r="A95" s="113">
        <v>43008</v>
      </c>
      <c r="B95" s="401">
        <f t="shared" si="7"/>
        <v>25</v>
      </c>
      <c r="C95" s="55">
        <f t="shared" si="6"/>
        <v>272914000</v>
      </c>
      <c r="D95" s="55"/>
      <c r="E95" s="396">
        <f>E93</f>
        <v>0.03876</v>
      </c>
      <c r="F95" s="55">
        <f>((C94+D94)*E95/360*B94)+((C95+D95)*E95/360*B95)</f>
        <v>2766784.4080000003</v>
      </c>
      <c r="G95" s="114"/>
      <c r="H95" s="114"/>
      <c r="I95" s="265"/>
    </row>
    <row r="96" spans="1:9" ht="12.75">
      <c r="A96" s="113">
        <v>43074</v>
      </c>
      <c r="B96" s="401">
        <f t="shared" si="7"/>
        <v>66</v>
      </c>
      <c r="C96" s="55">
        <f t="shared" si="6"/>
        <v>264114000</v>
      </c>
      <c r="D96" s="55">
        <v>8800000</v>
      </c>
      <c r="E96" s="396"/>
      <c r="F96" s="55"/>
      <c r="G96" s="114"/>
      <c r="H96" s="114"/>
      <c r="I96" s="265"/>
    </row>
    <row r="97" spans="1:9" ht="12.75">
      <c r="A97" s="120">
        <v>43100</v>
      </c>
      <c r="B97" s="402">
        <f t="shared" si="7"/>
        <v>26</v>
      </c>
      <c r="C97" s="122">
        <f t="shared" si="6"/>
        <v>264114000</v>
      </c>
      <c r="D97" s="122"/>
      <c r="E97" s="397">
        <f>E95</f>
        <v>0.03876</v>
      </c>
      <c r="F97" s="122">
        <f>((C96+D96)*E97/360*B96)+((C97+D97)*E97/360*B97)</f>
        <v>2678670.0080000004</v>
      </c>
      <c r="G97" s="382">
        <f>SUM(F91:F97)</f>
        <v>11143845.61</v>
      </c>
      <c r="H97" s="382">
        <f>SUM(D90:D97)</f>
        <v>35200000</v>
      </c>
      <c r="I97" s="383">
        <f>SUM(G97:H97)</f>
        <v>46343845.61</v>
      </c>
    </row>
    <row r="98" spans="1:9" ht="12.75">
      <c r="A98" s="126">
        <v>43164</v>
      </c>
      <c r="B98" s="400">
        <f>A98-A97</f>
        <v>64</v>
      </c>
      <c r="C98" s="56">
        <f aca="true" t="shared" si="8" ref="C98:C156">C97-D98</f>
        <v>255314000</v>
      </c>
      <c r="D98" s="56">
        <v>8800000</v>
      </c>
      <c r="E98" s="127"/>
      <c r="F98" s="127"/>
      <c r="G98" s="127"/>
      <c r="H98" s="127"/>
      <c r="I98" s="276"/>
    </row>
    <row r="99" spans="1:9" ht="12.75">
      <c r="A99" s="113">
        <v>43190</v>
      </c>
      <c r="B99" s="401">
        <f aca="true" t="shared" si="9" ref="B99:B105">A99-A98</f>
        <v>26</v>
      </c>
      <c r="C99" s="55">
        <f t="shared" si="8"/>
        <v>255314000</v>
      </c>
      <c r="D99" s="55"/>
      <c r="E99" s="396">
        <f>E97</f>
        <v>0.03876</v>
      </c>
      <c r="F99" s="55">
        <f>((C98+D98)*E99/360*B98)+((C99+D99)*E99/360*B99)</f>
        <v>2534630.526666667</v>
      </c>
      <c r="G99" s="114"/>
      <c r="H99" s="114"/>
      <c r="I99" s="265"/>
    </row>
    <row r="100" spans="1:9" ht="12.75">
      <c r="A100" s="113">
        <v>43256</v>
      </c>
      <c r="B100" s="401">
        <f t="shared" si="9"/>
        <v>66</v>
      </c>
      <c r="C100" s="55">
        <f t="shared" si="8"/>
        <v>246514000</v>
      </c>
      <c r="D100" s="55">
        <v>8800000</v>
      </c>
      <c r="E100" s="396"/>
      <c r="F100" s="55"/>
      <c r="G100" s="114"/>
      <c r="H100" s="114"/>
      <c r="I100" s="265"/>
    </row>
    <row r="101" spans="1:9" ht="12.75">
      <c r="A101" s="113">
        <v>43281</v>
      </c>
      <c r="B101" s="401">
        <f t="shared" si="9"/>
        <v>25</v>
      </c>
      <c r="C101" s="55">
        <f t="shared" si="8"/>
        <v>246514000</v>
      </c>
      <c r="D101" s="55"/>
      <c r="E101" s="396">
        <f>E99</f>
        <v>0.03876</v>
      </c>
      <c r="F101" s="55">
        <f>((C100+D100)*E101/360*B100)+((C101+D101)*E101/360*B101)</f>
        <v>2477794.8006666666</v>
      </c>
      <c r="G101" s="114"/>
      <c r="H101" s="114"/>
      <c r="I101" s="265"/>
    </row>
    <row r="102" spans="1:9" ht="12.75">
      <c r="A102" s="113">
        <v>43348</v>
      </c>
      <c r="B102" s="401">
        <f t="shared" si="9"/>
        <v>67</v>
      </c>
      <c r="C102" s="55">
        <f t="shared" si="8"/>
        <v>237714000</v>
      </c>
      <c r="D102" s="55">
        <v>8800000</v>
      </c>
      <c r="E102" s="396"/>
      <c r="F102" s="55"/>
      <c r="G102" s="114"/>
      <c r="H102" s="114"/>
      <c r="I102" s="265"/>
    </row>
    <row r="103" spans="1:9" ht="12.75">
      <c r="A103" s="113">
        <v>43373</v>
      </c>
      <c r="B103" s="401">
        <f t="shared" si="9"/>
        <v>25</v>
      </c>
      <c r="C103" s="55">
        <f t="shared" si="8"/>
        <v>237714000</v>
      </c>
      <c r="D103" s="55"/>
      <c r="E103" s="396">
        <f>E101</f>
        <v>0.03876</v>
      </c>
      <c r="F103" s="55">
        <f>((C102+D102)*E103/360*B102)+((C103+D103)*E103/360*B103)</f>
        <v>2418116.674666667</v>
      </c>
      <c r="G103" s="114"/>
      <c r="H103" s="114"/>
      <c r="I103" s="265"/>
    </row>
    <row r="104" spans="1:9" ht="12.75">
      <c r="A104" s="113">
        <v>43439</v>
      </c>
      <c r="B104" s="401">
        <f t="shared" si="9"/>
        <v>66</v>
      </c>
      <c r="C104" s="55">
        <f t="shared" si="8"/>
        <v>228914000</v>
      </c>
      <c r="D104" s="55">
        <v>8800000</v>
      </c>
      <c r="E104" s="396"/>
      <c r="F104" s="55"/>
      <c r="G104" s="114"/>
      <c r="H104" s="114"/>
      <c r="I104" s="265"/>
    </row>
    <row r="105" spans="1:9" ht="12.75">
      <c r="A105" s="120">
        <v>43465</v>
      </c>
      <c r="B105" s="402">
        <f t="shared" si="9"/>
        <v>26</v>
      </c>
      <c r="C105" s="122">
        <f t="shared" si="8"/>
        <v>228914000</v>
      </c>
      <c r="D105" s="122"/>
      <c r="E105" s="397">
        <f>E103</f>
        <v>0.03876</v>
      </c>
      <c r="F105" s="122">
        <f>((C104+D104)*E105/360*B104)+((C105+D105)*E105/360*B105)</f>
        <v>2330002.274666667</v>
      </c>
      <c r="G105" s="382">
        <f>SUM(F99:F105)</f>
        <v>9760544.276666667</v>
      </c>
      <c r="H105" s="382">
        <f>SUM(D98:D105)</f>
        <v>35200000</v>
      </c>
      <c r="I105" s="383">
        <f>SUM(G105:H105)</f>
        <v>44960544.27666667</v>
      </c>
    </row>
    <row r="106" spans="1:9" ht="12.75">
      <c r="A106" s="126">
        <v>43529</v>
      </c>
      <c r="B106" s="400">
        <f>A106-A105</f>
        <v>64</v>
      </c>
      <c r="C106" s="56">
        <f t="shared" si="8"/>
        <v>220114000</v>
      </c>
      <c r="D106" s="56">
        <v>8800000</v>
      </c>
      <c r="E106" s="127"/>
      <c r="F106" s="127"/>
      <c r="G106" s="127"/>
      <c r="H106" s="127"/>
      <c r="I106" s="276"/>
    </row>
    <row r="107" spans="1:9" ht="12.75">
      <c r="A107" s="113">
        <v>43555</v>
      </c>
      <c r="B107" s="401">
        <f aca="true" t="shared" si="10" ref="B107:B113">A107-A106</f>
        <v>26</v>
      </c>
      <c r="C107" s="55">
        <f t="shared" si="8"/>
        <v>220114000</v>
      </c>
      <c r="D107" s="55"/>
      <c r="E107" s="396">
        <f>E105</f>
        <v>0.03876</v>
      </c>
      <c r="F107" s="55">
        <f>((C106+D106)*E107/360*B106)+((C107+D107)*E107/360*B107)</f>
        <v>2193542.526666667</v>
      </c>
      <c r="G107" s="114"/>
      <c r="H107" s="114"/>
      <c r="I107" s="265"/>
    </row>
    <row r="108" spans="1:9" ht="12.75">
      <c r="A108" s="113">
        <v>43621</v>
      </c>
      <c r="B108" s="401">
        <f t="shared" si="10"/>
        <v>66</v>
      </c>
      <c r="C108" s="55">
        <f t="shared" si="8"/>
        <v>211314000</v>
      </c>
      <c r="D108" s="55">
        <v>8800000</v>
      </c>
      <c r="E108" s="396"/>
      <c r="F108" s="55"/>
      <c r="G108" s="114"/>
      <c r="H108" s="114"/>
      <c r="I108" s="265"/>
    </row>
    <row r="109" spans="1:9" ht="12.75">
      <c r="A109" s="113">
        <v>43646</v>
      </c>
      <c r="B109" s="401">
        <f t="shared" si="10"/>
        <v>25</v>
      </c>
      <c r="C109" s="55">
        <f t="shared" si="8"/>
        <v>211314000</v>
      </c>
      <c r="D109" s="55"/>
      <c r="E109" s="396">
        <f>E107</f>
        <v>0.03876</v>
      </c>
      <c r="F109" s="55">
        <f>((C108+D108)*E109/360*B108)+((C109+D109)*E109/360*B109)</f>
        <v>2132916.9340000004</v>
      </c>
      <c r="G109" s="114"/>
      <c r="H109" s="114"/>
      <c r="I109" s="265"/>
    </row>
    <row r="110" spans="1:9" ht="12.75">
      <c r="A110" s="120">
        <v>43713</v>
      </c>
      <c r="B110" s="402">
        <f t="shared" si="10"/>
        <v>67</v>
      </c>
      <c r="C110" s="122">
        <f t="shared" si="8"/>
        <v>202514000</v>
      </c>
      <c r="D110" s="122">
        <v>8800000</v>
      </c>
      <c r="E110" s="397"/>
      <c r="F110" s="122"/>
      <c r="G110" s="121"/>
      <c r="H110" s="121"/>
      <c r="I110" s="284"/>
    </row>
    <row r="111" spans="1:9" ht="12.75">
      <c r="A111" s="126">
        <v>43738</v>
      </c>
      <c r="B111" s="400">
        <f t="shared" si="10"/>
        <v>25</v>
      </c>
      <c r="C111" s="56">
        <f t="shared" si="8"/>
        <v>202514000</v>
      </c>
      <c r="D111" s="56"/>
      <c r="E111" s="398">
        <f>E109</f>
        <v>0.03876</v>
      </c>
      <c r="F111" s="56">
        <f>((C110+D110)*E111/360*B110)+((C111+D111)*E111/360*B111)</f>
        <v>2069448.9413333335</v>
      </c>
      <c r="G111" s="127"/>
      <c r="H111" s="127"/>
      <c r="I111" s="276"/>
    </row>
    <row r="112" spans="1:9" ht="12.75">
      <c r="A112" s="113">
        <v>43804</v>
      </c>
      <c r="B112" s="401">
        <f t="shared" si="10"/>
        <v>66</v>
      </c>
      <c r="C112" s="55">
        <f t="shared" si="8"/>
        <v>193714000</v>
      </c>
      <c r="D112" s="55">
        <v>8800000</v>
      </c>
      <c r="E112" s="396"/>
      <c r="F112" s="55"/>
      <c r="G112" s="114"/>
      <c r="H112" s="114"/>
      <c r="I112" s="265"/>
    </row>
    <row r="113" spans="1:9" ht="12.75">
      <c r="A113" s="120">
        <v>43830</v>
      </c>
      <c r="B113" s="402">
        <f t="shared" si="10"/>
        <v>26</v>
      </c>
      <c r="C113" s="122">
        <f t="shared" si="8"/>
        <v>193714000</v>
      </c>
      <c r="D113" s="122"/>
      <c r="E113" s="397">
        <f>E111</f>
        <v>0.03876</v>
      </c>
      <c r="F113" s="122">
        <f>((C112+D112)*E113/360*B112)+((C113+D113)*E113/360*B113)</f>
        <v>1981334.5413333336</v>
      </c>
      <c r="G113" s="382">
        <f>SUM(F107:F113)</f>
        <v>8377242.943333334</v>
      </c>
      <c r="H113" s="382">
        <f>SUM(D106:D113)</f>
        <v>35200000</v>
      </c>
      <c r="I113" s="383">
        <f>SUM(G113:H113)</f>
        <v>43577242.943333335</v>
      </c>
    </row>
    <row r="114" spans="1:9" ht="12.75">
      <c r="A114" s="126">
        <v>43895</v>
      </c>
      <c r="B114" s="400">
        <f>A114-A113</f>
        <v>65</v>
      </c>
      <c r="C114" s="56">
        <f t="shared" si="8"/>
        <v>184914000</v>
      </c>
      <c r="D114" s="56">
        <v>8800000</v>
      </c>
      <c r="E114" s="127"/>
      <c r="F114" s="127"/>
      <c r="G114" s="127"/>
      <c r="H114" s="127"/>
      <c r="I114" s="276"/>
    </row>
    <row r="115" spans="1:9" ht="12.75">
      <c r="A115" s="113">
        <v>43921</v>
      </c>
      <c r="B115" s="401">
        <f aca="true" t="shared" si="11" ref="B115:B121">A115-A114</f>
        <v>26</v>
      </c>
      <c r="C115" s="55">
        <f t="shared" si="8"/>
        <v>184914000</v>
      </c>
      <c r="D115" s="55"/>
      <c r="E115" s="396">
        <f>E113</f>
        <v>0.03876</v>
      </c>
      <c r="F115" s="55">
        <f>((C114+D114)*E115/360*B114)+((C115+D115)*E115/360*B115)</f>
        <v>1873311.0673333332</v>
      </c>
      <c r="G115" s="114"/>
      <c r="H115" s="114"/>
      <c r="I115" s="265"/>
    </row>
    <row r="116" spans="1:9" ht="12.75">
      <c r="A116" s="113">
        <v>43987</v>
      </c>
      <c r="B116" s="401">
        <f t="shared" si="11"/>
        <v>66</v>
      </c>
      <c r="C116" s="55">
        <f t="shared" si="8"/>
        <v>176114000</v>
      </c>
      <c r="D116" s="55">
        <v>8800000</v>
      </c>
      <c r="E116" s="396"/>
      <c r="F116" s="55"/>
      <c r="G116" s="114"/>
      <c r="H116" s="114"/>
      <c r="I116" s="265"/>
    </row>
    <row r="117" spans="1:9" ht="12.75">
      <c r="A117" s="113">
        <v>44012</v>
      </c>
      <c r="B117" s="401">
        <f t="shared" si="11"/>
        <v>25</v>
      </c>
      <c r="C117" s="55">
        <f t="shared" si="8"/>
        <v>176114000</v>
      </c>
      <c r="D117" s="55"/>
      <c r="E117" s="396">
        <f>E115</f>
        <v>0.03876</v>
      </c>
      <c r="F117" s="55">
        <f>((C116+D116)*E117/360*B116)+((C117+D117)*E117/360*B117)</f>
        <v>1788039.0673333334</v>
      </c>
      <c r="G117" s="114"/>
      <c r="H117" s="114"/>
      <c r="I117" s="265"/>
    </row>
    <row r="118" spans="1:9" ht="12.75">
      <c r="A118" s="113">
        <v>44079</v>
      </c>
      <c r="B118" s="401">
        <f t="shared" si="11"/>
        <v>67</v>
      </c>
      <c r="C118" s="55">
        <f t="shared" si="8"/>
        <v>167314000</v>
      </c>
      <c r="D118" s="55">
        <v>8800000</v>
      </c>
      <c r="E118" s="396"/>
      <c r="F118" s="55"/>
      <c r="G118" s="114"/>
      <c r="H118" s="114"/>
      <c r="I118" s="265"/>
    </row>
    <row r="119" spans="1:9" ht="12.75">
      <c r="A119" s="113">
        <v>44104</v>
      </c>
      <c r="B119" s="401">
        <f t="shared" si="11"/>
        <v>25</v>
      </c>
      <c r="C119" s="55">
        <f t="shared" si="8"/>
        <v>167314000</v>
      </c>
      <c r="D119" s="55"/>
      <c r="E119" s="396">
        <f>E117</f>
        <v>0.03876</v>
      </c>
      <c r="F119" s="55">
        <f>((C118+D118)*E119/360*B118)+((C119+D119)*E119/360*B119)</f>
        <v>1720781.208</v>
      </c>
      <c r="G119" s="114"/>
      <c r="H119" s="114"/>
      <c r="I119" s="265"/>
    </row>
    <row r="120" spans="1:9" ht="12.75">
      <c r="A120" s="113">
        <v>44170</v>
      </c>
      <c r="B120" s="401">
        <f t="shared" si="11"/>
        <v>66</v>
      </c>
      <c r="C120" s="55">
        <f t="shared" si="8"/>
        <v>158514000</v>
      </c>
      <c r="D120" s="55">
        <v>8800000</v>
      </c>
      <c r="E120" s="396"/>
      <c r="F120" s="55"/>
      <c r="G120" s="114"/>
      <c r="H120" s="114"/>
      <c r="I120" s="265"/>
    </row>
    <row r="121" spans="1:9" ht="12.75">
      <c r="A121" s="120">
        <v>44196</v>
      </c>
      <c r="B121" s="402">
        <f t="shared" si="11"/>
        <v>26</v>
      </c>
      <c r="C121" s="122">
        <f t="shared" si="8"/>
        <v>158514000</v>
      </c>
      <c r="D121" s="122"/>
      <c r="E121" s="397">
        <f>E119</f>
        <v>0.03876</v>
      </c>
      <c r="F121" s="122">
        <f>((C120+D120)*E121/360*B120)+((C121+D121)*E121/360*B121)</f>
        <v>1632666.8080000002</v>
      </c>
      <c r="G121" s="382">
        <f>SUM(F115:F121)</f>
        <v>7014798.150666667</v>
      </c>
      <c r="H121" s="382">
        <f>SUM(D114:D121)</f>
        <v>35200000</v>
      </c>
      <c r="I121" s="383">
        <f>SUM(G121:H121)</f>
        <v>42214798.15066667</v>
      </c>
    </row>
    <row r="122" spans="1:9" ht="12.75">
      <c r="A122" s="126">
        <v>44260</v>
      </c>
      <c r="B122" s="400">
        <f>A122-A121</f>
        <v>64</v>
      </c>
      <c r="C122" s="56">
        <f t="shared" si="8"/>
        <v>149714000</v>
      </c>
      <c r="D122" s="56">
        <v>8800000</v>
      </c>
      <c r="E122" s="127"/>
      <c r="F122" s="127"/>
      <c r="G122" s="127"/>
      <c r="H122" s="127"/>
      <c r="I122" s="276"/>
    </row>
    <row r="123" spans="1:9" ht="12.75">
      <c r="A123" s="113">
        <v>44286</v>
      </c>
      <c r="B123" s="401">
        <f aca="true" t="shared" si="12" ref="B123:B129">A123-A122</f>
        <v>26</v>
      </c>
      <c r="C123" s="55">
        <f t="shared" si="8"/>
        <v>149714000</v>
      </c>
      <c r="D123" s="55"/>
      <c r="E123" s="396">
        <f>E121</f>
        <v>0.03876</v>
      </c>
      <c r="F123" s="55">
        <f>((C122+D122)*E123/360*B122)+((C123+D123)*E123/360*B123)</f>
        <v>1511366.5266666668</v>
      </c>
      <c r="G123" s="114"/>
      <c r="H123" s="114"/>
      <c r="I123" s="265"/>
    </row>
    <row r="124" spans="1:9" ht="12.75">
      <c r="A124" s="113">
        <v>44352</v>
      </c>
      <c r="B124" s="401">
        <f t="shared" si="12"/>
        <v>66</v>
      </c>
      <c r="C124" s="55">
        <f t="shared" si="8"/>
        <v>140914000</v>
      </c>
      <c r="D124" s="55">
        <v>8800000</v>
      </c>
      <c r="E124" s="396"/>
      <c r="F124" s="55"/>
      <c r="G124" s="114"/>
      <c r="H124" s="114"/>
      <c r="I124" s="265"/>
    </row>
    <row r="125" spans="1:9" ht="12.75">
      <c r="A125" s="113">
        <v>44377</v>
      </c>
      <c r="B125" s="401">
        <f t="shared" si="12"/>
        <v>25</v>
      </c>
      <c r="C125" s="55">
        <f t="shared" si="8"/>
        <v>140914000</v>
      </c>
      <c r="D125" s="55"/>
      <c r="E125" s="396">
        <f>E123</f>
        <v>0.03876</v>
      </c>
      <c r="F125" s="55">
        <f>((C124+D124)*E125/360*B124)+((C125+D125)*E125/360*B125)</f>
        <v>1443161.200666667</v>
      </c>
      <c r="G125" s="114"/>
      <c r="H125" s="114"/>
      <c r="I125" s="265"/>
    </row>
    <row r="126" spans="1:9" ht="12.75">
      <c r="A126" s="113">
        <v>44444</v>
      </c>
      <c r="B126" s="401">
        <f t="shared" si="12"/>
        <v>67</v>
      </c>
      <c r="C126" s="55">
        <f t="shared" si="8"/>
        <v>132114000</v>
      </c>
      <c r="D126" s="55">
        <v>8800000</v>
      </c>
      <c r="E126" s="396"/>
      <c r="F126" s="55"/>
      <c r="G126" s="114"/>
      <c r="H126" s="114"/>
      <c r="I126" s="265"/>
    </row>
    <row r="127" spans="1:9" ht="12.75">
      <c r="A127" s="113">
        <v>44469</v>
      </c>
      <c r="B127" s="401">
        <f t="shared" si="12"/>
        <v>25</v>
      </c>
      <c r="C127" s="55">
        <f t="shared" si="8"/>
        <v>132114000</v>
      </c>
      <c r="D127" s="55"/>
      <c r="E127" s="396">
        <f>E125</f>
        <v>0.03876</v>
      </c>
      <c r="F127" s="55">
        <f>((C126+D126)*E127/360*B126)+((C127+D127)*E127/360*B127)</f>
        <v>1372113.4746666667</v>
      </c>
      <c r="G127" s="114"/>
      <c r="H127" s="114"/>
      <c r="I127" s="265"/>
    </row>
    <row r="128" spans="1:9" ht="12.75">
      <c r="A128" s="113">
        <v>44535</v>
      </c>
      <c r="B128" s="401">
        <f t="shared" si="12"/>
        <v>66</v>
      </c>
      <c r="C128" s="55">
        <f t="shared" si="8"/>
        <v>123314000</v>
      </c>
      <c r="D128" s="55">
        <v>8800000</v>
      </c>
      <c r="E128" s="396"/>
      <c r="F128" s="55"/>
      <c r="G128" s="114"/>
      <c r="H128" s="114"/>
      <c r="I128" s="265"/>
    </row>
    <row r="129" spans="1:9" ht="12.75">
      <c r="A129" s="120">
        <v>44561</v>
      </c>
      <c r="B129" s="402">
        <f t="shared" si="12"/>
        <v>26</v>
      </c>
      <c r="C129" s="122">
        <f t="shared" si="8"/>
        <v>123314000</v>
      </c>
      <c r="D129" s="122"/>
      <c r="E129" s="397">
        <f>E127</f>
        <v>0.03876</v>
      </c>
      <c r="F129" s="122">
        <f>((C128+D128)*E129/360*B128)+((C129+D129)*E129/360*B129)</f>
        <v>1283999.0746666668</v>
      </c>
      <c r="G129" s="382">
        <f>SUM(F123:F129)</f>
        <v>5610640.276666667</v>
      </c>
      <c r="H129" s="382">
        <f>SUM(D122:D129)</f>
        <v>35200000</v>
      </c>
      <c r="I129" s="383">
        <f>SUM(G129:H129)</f>
        <v>40810640.27666667</v>
      </c>
    </row>
    <row r="130" spans="1:9" ht="12.75">
      <c r="A130" s="126">
        <v>44625</v>
      </c>
      <c r="B130" s="400">
        <f>A130-A129</f>
        <v>64</v>
      </c>
      <c r="C130" s="56">
        <f t="shared" si="8"/>
        <v>114514000</v>
      </c>
      <c r="D130" s="56">
        <v>8800000</v>
      </c>
      <c r="E130" s="127"/>
      <c r="F130" s="127"/>
      <c r="G130" s="127"/>
      <c r="H130" s="127"/>
      <c r="I130" s="276"/>
    </row>
    <row r="131" spans="1:9" ht="12.75">
      <c r="A131" s="113">
        <v>44651</v>
      </c>
      <c r="B131" s="401">
        <f aca="true" t="shared" si="13" ref="B131:B137">A131-A130</f>
        <v>26</v>
      </c>
      <c r="C131" s="55">
        <f t="shared" si="8"/>
        <v>114514000</v>
      </c>
      <c r="D131" s="55"/>
      <c r="E131" s="396">
        <f>E129</f>
        <v>0.03876</v>
      </c>
      <c r="F131" s="55">
        <f>((C130+D130)*E131/360*B130)+((C131+D131)*E131/360*B131)</f>
        <v>1170278.5266666668</v>
      </c>
      <c r="G131" s="114"/>
      <c r="H131" s="114"/>
      <c r="I131" s="265"/>
    </row>
    <row r="132" spans="1:9" ht="12.75">
      <c r="A132" s="113">
        <v>44717</v>
      </c>
      <c r="B132" s="401">
        <f t="shared" si="13"/>
        <v>66</v>
      </c>
      <c r="C132" s="55">
        <f t="shared" si="8"/>
        <v>105714000</v>
      </c>
      <c r="D132" s="55">
        <v>8800000</v>
      </c>
      <c r="E132" s="396"/>
      <c r="F132" s="55"/>
      <c r="G132" s="114"/>
      <c r="H132" s="114"/>
      <c r="I132" s="265"/>
    </row>
    <row r="133" spans="1:9" ht="12.75">
      <c r="A133" s="113">
        <v>44742</v>
      </c>
      <c r="B133" s="401">
        <f t="shared" si="13"/>
        <v>25</v>
      </c>
      <c r="C133" s="55">
        <f t="shared" si="8"/>
        <v>105714000</v>
      </c>
      <c r="D133" s="55"/>
      <c r="E133" s="396">
        <f>E131</f>
        <v>0.03876</v>
      </c>
      <c r="F133" s="55">
        <f>((C132+D132)*E133/360*B132)+((C133+D133)*E133/360*B133)</f>
        <v>1098283.3340000003</v>
      </c>
      <c r="G133" s="114"/>
      <c r="H133" s="114"/>
      <c r="I133" s="265"/>
    </row>
    <row r="134" spans="1:9" ht="12.75">
      <c r="A134" s="113">
        <v>44809</v>
      </c>
      <c r="B134" s="401">
        <f t="shared" si="13"/>
        <v>67</v>
      </c>
      <c r="C134" s="55">
        <f t="shared" si="8"/>
        <v>96914000</v>
      </c>
      <c r="D134" s="55">
        <v>8800000</v>
      </c>
      <c r="E134" s="396"/>
      <c r="F134" s="55"/>
      <c r="G134" s="114"/>
      <c r="H134" s="114"/>
      <c r="I134" s="265"/>
    </row>
    <row r="135" spans="1:9" ht="12.75">
      <c r="A135" s="113">
        <v>44834</v>
      </c>
      <c r="B135" s="401">
        <f t="shared" si="13"/>
        <v>25</v>
      </c>
      <c r="C135" s="55">
        <f t="shared" si="8"/>
        <v>96914000</v>
      </c>
      <c r="D135" s="55"/>
      <c r="E135" s="396">
        <f>E133</f>
        <v>0.03876</v>
      </c>
      <c r="F135" s="55">
        <f>((C134+D134)*E135/360*B134)+((C135+D135)*E135/360*B135)</f>
        <v>1023445.7413333333</v>
      </c>
      <c r="G135" s="114"/>
      <c r="H135" s="114"/>
      <c r="I135" s="265"/>
    </row>
    <row r="136" spans="1:9" ht="12.75">
      <c r="A136" s="113">
        <v>44900</v>
      </c>
      <c r="B136" s="401">
        <f t="shared" si="13"/>
        <v>66</v>
      </c>
      <c r="C136" s="55">
        <f t="shared" si="8"/>
        <v>88114000</v>
      </c>
      <c r="D136" s="55">
        <v>8800000</v>
      </c>
      <c r="E136" s="396"/>
      <c r="F136" s="55"/>
      <c r="G136" s="114"/>
      <c r="H136" s="114"/>
      <c r="I136" s="265"/>
    </row>
    <row r="137" spans="1:9" ht="12.75">
      <c r="A137" s="120">
        <v>44926</v>
      </c>
      <c r="B137" s="402">
        <f t="shared" si="13"/>
        <v>26</v>
      </c>
      <c r="C137" s="122">
        <f t="shared" si="8"/>
        <v>88114000</v>
      </c>
      <c r="D137" s="122"/>
      <c r="E137" s="397">
        <f>E135</f>
        <v>0.03876</v>
      </c>
      <c r="F137" s="122">
        <f>((C136+D136)*E137/360*B136)+((C137+D137)*E137/360*B137)</f>
        <v>935331.3413333334</v>
      </c>
      <c r="G137" s="382">
        <f>SUM(F131:F137)</f>
        <v>4227338.943333333</v>
      </c>
      <c r="H137" s="382">
        <f>SUM(D130:D137)</f>
        <v>35200000</v>
      </c>
      <c r="I137" s="383">
        <f>SUM(G137:H137)</f>
        <v>39427338.943333335</v>
      </c>
    </row>
    <row r="138" spans="1:9" ht="12.75">
      <c r="A138" s="126">
        <v>44990</v>
      </c>
      <c r="B138" s="400">
        <f>A138-A137</f>
        <v>64</v>
      </c>
      <c r="C138" s="56">
        <f t="shared" si="8"/>
        <v>79314000</v>
      </c>
      <c r="D138" s="56">
        <v>8800000</v>
      </c>
      <c r="E138" s="127"/>
      <c r="F138" s="127"/>
      <c r="G138" s="127"/>
      <c r="H138" s="127"/>
      <c r="I138" s="276"/>
    </row>
    <row r="139" spans="1:9" ht="12.75">
      <c r="A139" s="113">
        <v>45016</v>
      </c>
      <c r="B139" s="401">
        <f aca="true" t="shared" si="14" ref="B139:B145">A139-A138</f>
        <v>26</v>
      </c>
      <c r="C139" s="55">
        <f t="shared" si="8"/>
        <v>79314000</v>
      </c>
      <c r="D139" s="55"/>
      <c r="E139" s="396">
        <f>E137</f>
        <v>0.03876</v>
      </c>
      <c r="F139" s="55">
        <f>((C138+D138)*E139/360*B138)+((C139+D139)*E139/360*B139)</f>
        <v>829190.5266666667</v>
      </c>
      <c r="G139" s="114"/>
      <c r="H139" s="114"/>
      <c r="I139" s="265"/>
    </row>
    <row r="140" spans="1:9" ht="12.75">
      <c r="A140" s="113">
        <v>45082</v>
      </c>
      <c r="B140" s="401">
        <f t="shared" si="14"/>
        <v>66</v>
      </c>
      <c r="C140" s="55">
        <f t="shared" si="8"/>
        <v>70514000</v>
      </c>
      <c r="D140" s="55">
        <v>8800000</v>
      </c>
      <c r="E140" s="396"/>
      <c r="F140" s="55"/>
      <c r="G140" s="114"/>
      <c r="H140" s="114"/>
      <c r="I140" s="265"/>
    </row>
    <row r="141" spans="1:9" ht="12.75">
      <c r="A141" s="113">
        <v>45107</v>
      </c>
      <c r="B141" s="401">
        <f t="shared" si="14"/>
        <v>25</v>
      </c>
      <c r="C141" s="55">
        <f t="shared" si="8"/>
        <v>70514000</v>
      </c>
      <c r="D141" s="55"/>
      <c r="E141" s="396">
        <f>E139</f>
        <v>0.03876</v>
      </c>
      <c r="F141" s="55">
        <f>((C140+D140)*E141/360*B140)+((C141+D141)*E141/360*B141)</f>
        <v>753405.4673333333</v>
      </c>
      <c r="G141" s="114"/>
      <c r="H141" s="114"/>
      <c r="I141" s="265"/>
    </row>
    <row r="142" spans="1:9" ht="12.75">
      <c r="A142" s="113">
        <v>45174</v>
      </c>
      <c r="B142" s="401">
        <f t="shared" si="14"/>
        <v>67</v>
      </c>
      <c r="C142" s="55">
        <f t="shared" si="8"/>
        <v>61714000</v>
      </c>
      <c r="D142" s="55">
        <v>8800000</v>
      </c>
      <c r="E142" s="396"/>
      <c r="F142" s="55"/>
      <c r="G142" s="114"/>
      <c r="H142" s="114"/>
      <c r="I142" s="265"/>
    </row>
    <row r="143" spans="1:9" ht="12.75">
      <c r="A143" s="113">
        <v>45199</v>
      </c>
      <c r="B143" s="401">
        <f t="shared" si="14"/>
        <v>25</v>
      </c>
      <c r="C143" s="55">
        <f t="shared" si="8"/>
        <v>61714000</v>
      </c>
      <c r="D143" s="55"/>
      <c r="E143" s="396">
        <f>E141</f>
        <v>0.03876</v>
      </c>
      <c r="F143" s="55">
        <f>((C142+D142)*E143/360*B142)+((C143+D143)*E143/360*B143)</f>
        <v>674778.008</v>
      </c>
      <c r="G143" s="114"/>
      <c r="H143" s="114"/>
      <c r="I143" s="265"/>
    </row>
    <row r="144" spans="1:9" ht="12.75">
      <c r="A144" s="113">
        <v>45265</v>
      </c>
      <c r="B144" s="401">
        <f t="shared" si="14"/>
        <v>66</v>
      </c>
      <c r="C144" s="55">
        <f t="shared" si="8"/>
        <v>52914000</v>
      </c>
      <c r="D144" s="55">
        <v>8800000</v>
      </c>
      <c r="E144" s="396"/>
      <c r="F144" s="55"/>
      <c r="G144" s="114"/>
      <c r="H144" s="114"/>
      <c r="I144" s="265"/>
    </row>
    <row r="145" spans="1:9" ht="12.75">
      <c r="A145" s="120">
        <v>45291</v>
      </c>
      <c r="B145" s="402">
        <f t="shared" si="14"/>
        <v>26</v>
      </c>
      <c r="C145" s="122">
        <f t="shared" si="8"/>
        <v>52914000</v>
      </c>
      <c r="D145" s="122"/>
      <c r="E145" s="397">
        <f>E143</f>
        <v>0.03876</v>
      </c>
      <c r="F145" s="122">
        <f>((C144+D144)*E145/360*B144)+((C145+D145)*E145/360*B145)</f>
        <v>586663.608</v>
      </c>
      <c r="G145" s="382">
        <f>SUM(F139:F145)</f>
        <v>2844037.61</v>
      </c>
      <c r="H145" s="382">
        <f>SUM(D138:D145)</f>
        <v>35200000</v>
      </c>
      <c r="I145" s="383">
        <f>SUM(G145:H145)</f>
        <v>38044037.61</v>
      </c>
    </row>
    <row r="146" spans="1:9" ht="12.75">
      <c r="A146" s="126">
        <v>45356</v>
      </c>
      <c r="B146" s="400">
        <f>A146-A145</f>
        <v>65</v>
      </c>
      <c r="C146" s="56">
        <f t="shared" si="8"/>
        <v>44114000</v>
      </c>
      <c r="D146" s="56">
        <v>8800000</v>
      </c>
      <c r="E146" s="127"/>
      <c r="F146" s="127"/>
      <c r="G146" s="127"/>
      <c r="H146" s="127"/>
      <c r="I146" s="276"/>
    </row>
    <row r="147" spans="1:9" ht="12.75">
      <c r="A147" s="113">
        <v>45382</v>
      </c>
      <c r="B147" s="401">
        <f aca="true" t="shared" si="15" ref="B147:B153">A147-A146</f>
        <v>26</v>
      </c>
      <c r="C147" s="55">
        <f t="shared" si="8"/>
        <v>44114000</v>
      </c>
      <c r="D147" s="55"/>
      <c r="E147" s="396">
        <f>E145</f>
        <v>0.03876</v>
      </c>
      <c r="F147" s="55">
        <f>((C146+D146)*E147/360*B146)+((C147+D147)*E147/360*B147)</f>
        <v>493799.60066666675</v>
      </c>
      <c r="G147" s="114"/>
      <c r="H147" s="114"/>
      <c r="I147" s="265"/>
    </row>
    <row r="148" spans="1:9" ht="12.75">
      <c r="A148" s="113">
        <v>45448</v>
      </c>
      <c r="B148" s="401">
        <f t="shared" si="15"/>
        <v>66</v>
      </c>
      <c r="C148" s="55">
        <f t="shared" si="8"/>
        <v>35314000</v>
      </c>
      <c r="D148" s="55">
        <v>8800000</v>
      </c>
      <c r="E148" s="396"/>
      <c r="F148" s="55"/>
      <c r="G148" s="114"/>
      <c r="H148" s="114"/>
      <c r="I148" s="265"/>
    </row>
    <row r="149" spans="1:9" ht="12.75">
      <c r="A149" s="113">
        <v>45473</v>
      </c>
      <c r="B149" s="401">
        <f t="shared" si="15"/>
        <v>25</v>
      </c>
      <c r="C149" s="55">
        <f t="shared" si="8"/>
        <v>35314000</v>
      </c>
      <c r="D149" s="55"/>
      <c r="E149" s="396">
        <f>E147</f>
        <v>0.03876</v>
      </c>
      <c r="F149" s="55">
        <f>((C148+D148)*E149/360*B148)+((C149+D149)*E149/360*B149)</f>
        <v>408527.6006666667</v>
      </c>
      <c r="G149" s="114"/>
      <c r="H149" s="114"/>
      <c r="I149" s="265"/>
    </row>
    <row r="150" spans="1:9" ht="12.75">
      <c r="A150" s="113">
        <v>45540</v>
      </c>
      <c r="B150" s="401">
        <f t="shared" si="15"/>
        <v>67</v>
      </c>
      <c r="C150" s="55">
        <f t="shared" si="8"/>
        <v>26514000</v>
      </c>
      <c r="D150" s="55">
        <v>8800000</v>
      </c>
      <c r="E150" s="396"/>
      <c r="F150" s="55"/>
      <c r="G150" s="114"/>
      <c r="H150" s="114"/>
      <c r="I150" s="265"/>
    </row>
    <row r="151" spans="1:9" ht="12.75">
      <c r="A151" s="113">
        <v>45565</v>
      </c>
      <c r="B151" s="401">
        <f t="shared" si="15"/>
        <v>25</v>
      </c>
      <c r="C151" s="55">
        <f t="shared" si="8"/>
        <v>26514000</v>
      </c>
      <c r="D151" s="55"/>
      <c r="E151" s="396">
        <f>E149</f>
        <v>0.03876</v>
      </c>
      <c r="F151" s="55">
        <f>((C150+D150)*E151/360*B150)+((C151+D151)*E151/360*B151)</f>
        <v>326110.2746666667</v>
      </c>
      <c r="G151" s="114"/>
      <c r="H151" s="114"/>
      <c r="I151" s="265"/>
    </row>
    <row r="152" spans="1:9" ht="12.75">
      <c r="A152" s="113">
        <v>45631</v>
      </c>
      <c r="B152" s="401">
        <f t="shared" si="15"/>
        <v>66</v>
      </c>
      <c r="C152" s="55">
        <f t="shared" si="8"/>
        <v>17714000</v>
      </c>
      <c r="D152" s="55">
        <v>8800000</v>
      </c>
      <c r="E152" s="396"/>
      <c r="F152" s="55"/>
      <c r="G152" s="114"/>
      <c r="H152" s="114"/>
      <c r="I152" s="265"/>
    </row>
    <row r="153" spans="1:9" ht="12.75">
      <c r="A153" s="120">
        <v>45657</v>
      </c>
      <c r="B153" s="402">
        <f t="shared" si="15"/>
        <v>26</v>
      </c>
      <c r="C153" s="122">
        <f t="shared" si="8"/>
        <v>17714000</v>
      </c>
      <c r="D153" s="122"/>
      <c r="E153" s="397">
        <f>E151</f>
        <v>0.03876</v>
      </c>
      <c r="F153" s="122">
        <f>((C152+D152)*E153/360*B152)+((C153+D153)*E153/360*B153)</f>
        <v>237995.8746666667</v>
      </c>
      <c r="G153" s="382">
        <f>SUM(F147:F153)</f>
        <v>1466433.3506666669</v>
      </c>
      <c r="H153" s="382">
        <f>SUM(D146:D153)</f>
        <v>35200000</v>
      </c>
      <c r="I153" s="383">
        <f>SUM(G153:H153)</f>
        <v>36666433.350666665</v>
      </c>
    </row>
    <row r="154" spans="1:9" ht="12.75">
      <c r="A154" s="126">
        <v>45721</v>
      </c>
      <c r="B154" s="400">
        <f>A154-A153</f>
        <v>64</v>
      </c>
      <c r="C154" s="56">
        <f t="shared" si="8"/>
        <v>8914000</v>
      </c>
      <c r="D154" s="56">
        <v>8800000</v>
      </c>
      <c r="E154" s="127"/>
      <c r="F154" s="127"/>
      <c r="G154" s="127"/>
      <c r="H154" s="127"/>
      <c r="I154" s="276"/>
    </row>
    <row r="155" spans="1:9" ht="12.75">
      <c r="A155" s="113">
        <v>45747</v>
      </c>
      <c r="B155" s="401">
        <f>A155-A154</f>
        <v>26</v>
      </c>
      <c r="C155" s="55">
        <f t="shared" si="8"/>
        <v>8914000</v>
      </c>
      <c r="D155" s="55"/>
      <c r="E155" s="396">
        <f>E153</f>
        <v>0.03876</v>
      </c>
      <c r="F155" s="55">
        <f>((C154+D154)*E155/360*B154)+((C155+D155)*E155/360*B155)</f>
        <v>147014.52666666667</v>
      </c>
      <c r="G155" s="114"/>
      <c r="H155" s="114"/>
      <c r="I155" s="265"/>
    </row>
    <row r="156" spans="1:9" ht="13.5" thickBot="1">
      <c r="A156" s="113">
        <v>45813</v>
      </c>
      <c r="B156" s="401">
        <f>A156-A155</f>
        <v>66</v>
      </c>
      <c r="C156" s="55">
        <f t="shared" si="8"/>
        <v>0</v>
      </c>
      <c r="D156" s="55">
        <v>8914000</v>
      </c>
      <c r="E156" s="396">
        <f>E155</f>
        <v>0.03876</v>
      </c>
      <c r="F156" s="55">
        <f>((C156+D156)*E156/360*B156)</f>
        <v>63342.884000000005</v>
      </c>
      <c r="G156" s="382">
        <f>SUM(F155:F156)</f>
        <v>210357.4106666667</v>
      </c>
      <c r="H156" s="382">
        <f>SUM(D154:D156)</f>
        <v>17714000</v>
      </c>
      <c r="I156" s="383">
        <f>SUM(G156:H156)</f>
        <v>17924357.410666667</v>
      </c>
    </row>
    <row r="157" spans="1:9" ht="13.5" thickTop="1">
      <c r="A157" s="425" t="s">
        <v>14</v>
      </c>
      <c r="B157" s="426"/>
      <c r="C157" s="427"/>
      <c r="D157" s="143">
        <f>SUM(D7:D156)</f>
        <v>607314000</v>
      </c>
      <c r="E157" s="144"/>
      <c r="F157" s="143">
        <f>SUM(F7:F156)</f>
        <v>262476448.20133346</v>
      </c>
      <c r="G157" s="143">
        <f>SUM(G7:G156)</f>
        <v>262476448.20133334</v>
      </c>
      <c r="H157" s="143">
        <f>SUM(H7:H156)</f>
        <v>607314000</v>
      </c>
      <c r="I157" s="145">
        <f>SUM(I7:I156)</f>
        <v>869790448.2013335</v>
      </c>
    </row>
    <row r="158" spans="1:9" ht="12.75">
      <c r="A158" s="146"/>
      <c r="B158" s="147"/>
      <c r="E158" s="148"/>
      <c r="G158" s="147"/>
      <c r="I158" s="147"/>
    </row>
    <row r="159" spans="1:9" ht="12.75">
      <c r="A159" s="146"/>
      <c r="B159" s="147"/>
      <c r="E159" s="148"/>
      <c r="G159" s="147"/>
      <c r="I159" s="147"/>
    </row>
    <row r="160" spans="2:9" ht="12.75">
      <c r="B160" s="81" t="s">
        <v>200</v>
      </c>
      <c r="D160" s="81"/>
      <c r="E160" s="148" t="s">
        <v>196</v>
      </c>
      <c r="G160" s="414">
        <v>500000000</v>
      </c>
      <c r="I160" s="147"/>
    </row>
    <row r="161" spans="2:9" ht="13.5" thickBot="1">
      <c r="B161" s="81" t="s">
        <v>201</v>
      </c>
      <c r="D161" s="81"/>
      <c r="E161" s="148" t="s">
        <v>187</v>
      </c>
      <c r="G161" s="414">
        <v>107314000</v>
      </c>
      <c r="I161" s="147"/>
    </row>
    <row r="162" spans="2:9" ht="13.5" thickTop="1">
      <c r="B162" s="150" t="s">
        <v>14</v>
      </c>
      <c r="C162" s="155"/>
      <c r="D162" s="150"/>
      <c r="E162" s="151"/>
      <c r="F162" s="152"/>
      <c r="G162" s="415">
        <f>SUM(G160:G161)</f>
        <v>607314000</v>
      </c>
      <c r="I162" s="147"/>
    </row>
  </sheetData>
  <mergeCells count="1">
    <mergeCell ref="A157:C157"/>
  </mergeCells>
  <printOptions horizontalCentered="1"/>
  <pageMargins left="0.3937007874015748" right="0.3937007874015748" top="0.7874015748031497" bottom="0.3937007874015748" header="0.1968503937007874" footer="0.11811023622047245"/>
  <pageSetup blackAndWhite="1" horizontalDpi="300" verticalDpi="300" orientation="portrait" paperSize="9" r:id="rId1"/>
  <headerFooter alignWithMargins="0">
    <oddHeader>&amp;C&amp;"Times New Roman CE,Félkövér dőlt"&amp;12Adósságszolgálat számítása
2005. december 1-i felvételre tervezett 607.314 eFt hitel</oddHeader>
    <oddFooter>&amp;L&amp;8&amp;D&amp;C&amp;8C:\Andi\adósságszolgálat\&amp;F\&amp;A&amp;R&amp;8&amp;P/&amp;N</oddFooter>
  </headerFooter>
  <rowBreaks count="1" manualBreakCount="1">
    <brk id="5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1">
      <pane ySplit="7" topLeftCell="BM2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81" customWidth="1"/>
    <col min="2" max="2" width="7.00390625" style="81" customWidth="1"/>
    <col min="3" max="3" width="11.875" style="81" customWidth="1"/>
    <col min="4" max="4" width="12.625" style="81" customWidth="1"/>
    <col min="5" max="5" width="9.50390625" style="81" customWidth="1"/>
    <col min="6" max="6" width="13.00390625" style="81" bestFit="1" customWidth="1"/>
    <col min="7" max="7" width="11.50390625" style="81" customWidth="1"/>
    <col min="8" max="9" width="12.625" style="81" customWidth="1"/>
    <col min="10" max="10" width="2.875" style="81" customWidth="1"/>
    <col min="11" max="12" width="11.50390625" style="81" customWidth="1"/>
    <col min="13" max="16384" width="9.375" style="81" customWidth="1"/>
  </cols>
  <sheetData>
    <row r="1" spans="1:12" ht="12.75">
      <c r="A1" s="156" t="s">
        <v>102</v>
      </c>
      <c r="B1" s="157"/>
      <c r="C1" s="156"/>
      <c r="D1" s="156"/>
      <c r="F1" s="156"/>
      <c r="G1" s="156"/>
      <c r="H1" s="156"/>
      <c r="I1" s="156"/>
      <c r="K1" s="156"/>
      <c r="L1" s="156"/>
    </row>
    <row r="2" spans="1:9" s="159" customFormat="1" ht="12.75">
      <c r="A2" s="158" t="s">
        <v>17</v>
      </c>
      <c r="B2" s="158"/>
      <c r="C2" s="158"/>
      <c r="D2" s="158"/>
      <c r="E2" s="158"/>
      <c r="I2" s="158"/>
    </row>
    <row r="3" spans="1:12" s="159" customFormat="1" ht="12.75">
      <c r="A3" s="160" t="s">
        <v>71</v>
      </c>
      <c r="C3" s="158"/>
      <c r="D3" s="158"/>
      <c r="E3" s="158"/>
      <c r="F3" s="158"/>
      <c r="G3" s="158"/>
      <c r="H3" s="158"/>
      <c r="I3" s="158"/>
      <c r="K3" s="158"/>
      <c r="L3" s="158"/>
    </row>
    <row r="4" spans="1:12" ht="12.75">
      <c r="A4" s="161"/>
      <c r="B4" s="159"/>
      <c r="C4" s="158"/>
      <c r="D4" s="158"/>
      <c r="E4" s="158"/>
      <c r="F4" s="158"/>
      <c r="G4" s="158"/>
      <c r="H4" s="158"/>
      <c r="I4" s="158" t="s">
        <v>2</v>
      </c>
      <c r="K4" s="158"/>
      <c r="L4" s="158"/>
    </row>
    <row r="5" spans="1:12" ht="12.75">
      <c r="A5" s="89" t="s">
        <v>3</v>
      </c>
      <c r="B5" s="90" t="s">
        <v>4</v>
      </c>
      <c r="C5" s="91" t="s">
        <v>5</v>
      </c>
      <c r="D5" s="91" t="s">
        <v>21</v>
      </c>
      <c r="E5" s="91" t="s">
        <v>109</v>
      </c>
      <c r="F5" s="92" t="s">
        <v>20</v>
      </c>
      <c r="G5" s="93" t="s">
        <v>6</v>
      </c>
      <c r="H5" s="93" t="s">
        <v>6</v>
      </c>
      <c r="I5" s="94" t="s">
        <v>6</v>
      </c>
      <c r="K5" s="337" t="s">
        <v>161</v>
      </c>
      <c r="L5" s="338"/>
    </row>
    <row r="6" spans="1:12" ht="12.75">
      <c r="A6" s="95"/>
      <c r="B6" s="96" t="s">
        <v>7</v>
      </c>
      <c r="C6" s="97" t="s">
        <v>8</v>
      </c>
      <c r="D6" s="97" t="s">
        <v>13</v>
      </c>
      <c r="E6" s="97" t="s">
        <v>19</v>
      </c>
      <c r="F6" s="98" t="s">
        <v>13</v>
      </c>
      <c r="G6" s="99" t="s">
        <v>9</v>
      </c>
      <c r="H6" s="99" t="s">
        <v>11</v>
      </c>
      <c r="I6" s="100" t="s">
        <v>10</v>
      </c>
      <c r="K6" s="339" t="s">
        <v>162</v>
      </c>
      <c r="L6" s="340" t="s">
        <v>159</v>
      </c>
    </row>
    <row r="7" spans="1:12" ht="12.75">
      <c r="A7" s="101"/>
      <c r="B7" s="102"/>
      <c r="C7" s="103"/>
      <c r="D7" s="103"/>
      <c r="E7" s="162"/>
      <c r="F7" s="103" t="s">
        <v>165</v>
      </c>
      <c r="G7" s="104"/>
      <c r="H7" s="105" t="s">
        <v>13</v>
      </c>
      <c r="I7" s="106" t="s">
        <v>12</v>
      </c>
      <c r="K7" s="351" t="s">
        <v>163</v>
      </c>
      <c r="L7" s="352" t="s">
        <v>160</v>
      </c>
    </row>
    <row r="8" spans="1:12" ht="12.75">
      <c r="A8" s="107">
        <v>37236</v>
      </c>
      <c r="B8" s="163"/>
      <c r="C8" s="164">
        <v>107411000</v>
      </c>
      <c r="D8" s="56"/>
      <c r="E8" s="165"/>
      <c r="F8" s="165"/>
      <c r="G8" s="166"/>
      <c r="H8" s="166"/>
      <c r="I8" s="167"/>
      <c r="K8" s="341"/>
      <c r="L8" s="342"/>
    </row>
    <row r="9" spans="1:12" ht="12.75">
      <c r="A9" s="168">
        <v>37253</v>
      </c>
      <c r="B9" s="121">
        <f aca="true" t="shared" si="0" ref="B9:B73">A9-A8</f>
        <v>17</v>
      </c>
      <c r="C9" s="169">
        <f>C8-D9</f>
        <v>107411000</v>
      </c>
      <c r="D9" s="122"/>
      <c r="E9" s="123">
        <v>0.0478</v>
      </c>
      <c r="F9" s="170">
        <v>189043</v>
      </c>
      <c r="G9" s="171">
        <f>SUM(F8:F9)</f>
        <v>189043</v>
      </c>
      <c r="H9" s="171">
        <f>SUM(D8:D9)</f>
        <v>0</v>
      </c>
      <c r="I9" s="172">
        <f>SUM(G9:H9)</f>
        <v>189043</v>
      </c>
      <c r="K9" s="343"/>
      <c r="L9" s="344"/>
    </row>
    <row r="10" spans="1:12" ht="12.75">
      <c r="A10" s="126">
        <v>37344</v>
      </c>
      <c r="B10" s="108">
        <f t="shared" si="0"/>
        <v>91</v>
      </c>
      <c r="C10" s="165">
        <f aca="true" t="shared" si="1" ref="C10:C74">C9-D10</f>
        <v>107411000</v>
      </c>
      <c r="D10" s="165"/>
      <c r="E10" s="173">
        <v>0.0456</v>
      </c>
      <c r="F10" s="165">
        <v>684195</v>
      </c>
      <c r="G10" s="166"/>
      <c r="H10" s="166"/>
      <c r="I10" s="167"/>
      <c r="K10" s="341">
        <v>684195</v>
      </c>
      <c r="L10" s="342">
        <v>0</v>
      </c>
    </row>
    <row r="11" spans="1:12" ht="12.75">
      <c r="A11" s="107">
        <v>37437</v>
      </c>
      <c r="B11" s="114">
        <f t="shared" si="0"/>
        <v>93</v>
      </c>
      <c r="C11" s="164">
        <f t="shared" si="1"/>
        <v>107411000</v>
      </c>
      <c r="D11" s="164"/>
      <c r="E11" s="76">
        <v>0.0444</v>
      </c>
      <c r="F11" s="164">
        <v>852038</v>
      </c>
      <c r="G11" s="174"/>
      <c r="H11" s="174"/>
      <c r="I11" s="175"/>
      <c r="K11" s="345">
        <v>852038</v>
      </c>
      <c r="L11" s="346">
        <v>0</v>
      </c>
    </row>
    <row r="12" spans="1:12" ht="12.75">
      <c r="A12" s="107">
        <v>37527</v>
      </c>
      <c r="B12" s="114">
        <f t="shared" si="0"/>
        <v>90</v>
      </c>
      <c r="C12" s="164">
        <f t="shared" si="1"/>
        <v>104440000</v>
      </c>
      <c r="D12" s="164">
        <v>2971000</v>
      </c>
      <c r="E12" s="76"/>
      <c r="F12" s="164"/>
      <c r="G12" s="174"/>
      <c r="H12" s="174"/>
      <c r="I12" s="175"/>
      <c r="K12" s="345"/>
      <c r="L12" s="346"/>
    </row>
    <row r="13" spans="1:12" ht="12.75">
      <c r="A13" s="107">
        <v>37529</v>
      </c>
      <c r="B13" s="114">
        <f t="shared" si="0"/>
        <v>2</v>
      </c>
      <c r="C13" s="164">
        <f t="shared" si="1"/>
        <v>104440000</v>
      </c>
      <c r="D13" s="164"/>
      <c r="E13" s="76">
        <v>0.0424</v>
      </c>
      <c r="F13" s="164">
        <v>907504</v>
      </c>
      <c r="G13" s="174"/>
      <c r="H13" s="174"/>
      <c r="I13" s="175"/>
      <c r="K13" s="345">
        <v>907504</v>
      </c>
      <c r="L13" s="346">
        <v>0</v>
      </c>
    </row>
    <row r="14" spans="1:12" ht="12.75">
      <c r="A14" s="107">
        <v>37618</v>
      </c>
      <c r="B14" s="114">
        <f t="shared" si="0"/>
        <v>89</v>
      </c>
      <c r="C14" s="164">
        <f t="shared" si="1"/>
        <v>101456000</v>
      </c>
      <c r="D14" s="164">
        <v>2984000</v>
      </c>
      <c r="E14" s="76"/>
      <c r="F14" s="164"/>
      <c r="G14" s="174"/>
      <c r="H14" s="174"/>
      <c r="I14" s="175"/>
      <c r="K14" s="345"/>
      <c r="L14" s="346"/>
    </row>
    <row r="15" spans="1:12" ht="12.75">
      <c r="A15" s="168">
        <v>37621</v>
      </c>
      <c r="B15" s="121">
        <f t="shared" si="0"/>
        <v>3</v>
      </c>
      <c r="C15" s="169">
        <f t="shared" si="1"/>
        <v>101456000</v>
      </c>
      <c r="D15" s="169"/>
      <c r="E15" s="123">
        <v>0.0427</v>
      </c>
      <c r="F15" s="164">
        <v>956408</v>
      </c>
      <c r="G15" s="176">
        <f>SUM(F10:F15)</f>
        <v>3400145</v>
      </c>
      <c r="H15" s="176">
        <f>SUM(D10:D15)</f>
        <v>5955000</v>
      </c>
      <c r="I15" s="177">
        <f>SUM(G15:H15)</f>
        <v>9355145</v>
      </c>
      <c r="K15" s="345">
        <v>956408</v>
      </c>
      <c r="L15" s="346">
        <v>0</v>
      </c>
    </row>
    <row r="16" spans="1:12" ht="12.75">
      <c r="A16" s="126">
        <v>37708</v>
      </c>
      <c r="B16" s="108">
        <f t="shared" si="0"/>
        <v>87</v>
      </c>
      <c r="C16" s="165">
        <f t="shared" si="1"/>
        <v>98472000</v>
      </c>
      <c r="D16" s="164">
        <v>2984000</v>
      </c>
      <c r="E16" s="76"/>
      <c r="F16" s="165"/>
      <c r="G16" s="166"/>
      <c r="H16" s="166"/>
      <c r="I16" s="167"/>
      <c r="K16" s="341"/>
      <c r="L16" s="342"/>
    </row>
    <row r="17" spans="1:12" ht="12.75">
      <c r="A17" s="107">
        <v>37711</v>
      </c>
      <c r="B17" s="114">
        <f t="shared" si="0"/>
        <v>3</v>
      </c>
      <c r="C17" s="164">
        <f t="shared" si="1"/>
        <v>98472000</v>
      </c>
      <c r="D17" s="164"/>
      <c r="E17" s="76">
        <v>0.0369</v>
      </c>
      <c r="F17" s="164">
        <v>819438</v>
      </c>
      <c r="G17" s="174"/>
      <c r="H17" s="174"/>
      <c r="I17" s="175"/>
      <c r="K17" s="345">
        <v>566047</v>
      </c>
      <c r="L17" s="346">
        <v>253391</v>
      </c>
    </row>
    <row r="18" spans="1:12" ht="12.75">
      <c r="A18" s="107">
        <v>37800</v>
      </c>
      <c r="B18" s="114">
        <f t="shared" si="0"/>
        <v>89</v>
      </c>
      <c r="C18" s="164">
        <f t="shared" si="1"/>
        <v>95488000</v>
      </c>
      <c r="D18" s="164">
        <f>D16</f>
        <v>2984000</v>
      </c>
      <c r="E18" s="76"/>
      <c r="F18" s="164"/>
      <c r="G18" s="174"/>
      <c r="H18" s="174"/>
      <c r="I18" s="175"/>
      <c r="K18" s="345"/>
      <c r="L18" s="346"/>
    </row>
    <row r="19" spans="1:12" ht="12.75">
      <c r="A19" s="107">
        <v>37802</v>
      </c>
      <c r="B19" s="114">
        <f t="shared" si="0"/>
        <v>2</v>
      </c>
      <c r="C19" s="164">
        <f t="shared" si="1"/>
        <v>95488000</v>
      </c>
      <c r="D19" s="164"/>
      <c r="E19" s="76">
        <v>0.0356</v>
      </c>
      <c r="F19" s="164">
        <f>488996+248915</f>
        <v>737911</v>
      </c>
      <c r="G19" s="174"/>
      <c r="H19" s="174"/>
      <c r="I19" s="175"/>
      <c r="K19" s="345">
        <v>488996</v>
      </c>
      <c r="L19" s="346">
        <v>248915</v>
      </c>
    </row>
    <row r="20" spans="1:12" ht="12.75">
      <c r="A20" s="107">
        <v>37892</v>
      </c>
      <c r="B20" s="114">
        <f t="shared" si="0"/>
        <v>90</v>
      </c>
      <c r="C20" s="164">
        <f t="shared" si="1"/>
        <v>92504000</v>
      </c>
      <c r="D20" s="164">
        <f>D16</f>
        <v>2984000</v>
      </c>
      <c r="E20" s="76"/>
      <c r="F20" s="164"/>
      <c r="G20" s="174"/>
      <c r="H20" s="174"/>
      <c r="I20" s="175"/>
      <c r="K20" s="345"/>
      <c r="L20" s="346"/>
    </row>
    <row r="21" spans="1:12" ht="12.75">
      <c r="A21" s="107">
        <v>37894</v>
      </c>
      <c r="B21" s="114">
        <f t="shared" si="0"/>
        <v>2</v>
      </c>
      <c r="C21" s="164">
        <f t="shared" si="1"/>
        <v>92504000</v>
      </c>
      <c r="D21" s="164"/>
      <c r="E21" s="76">
        <v>0.0584</v>
      </c>
      <c r="F21" s="164">
        <v>1418090</v>
      </c>
      <c r="G21" s="174"/>
      <c r="H21" s="174"/>
      <c r="I21" s="175"/>
      <c r="K21" s="345">
        <v>1174231</v>
      </c>
      <c r="L21" s="346">
        <v>243859</v>
      </c>
    </row>
    <row r="22" spans="1:12" ht="12.75">
      <c r="A22" s="107">
        <v>37983</v>
      </c>
      <c r="B22" s="114">
        <f t="shared" si="0"/>
        <v>89</v>
      </c>
      <c r="C22" s="164">
        <f t="shared" si="1"/>
        <v>89520000</v>
      </c>
      <c r="D22" s="164">
        <f>D16</f>
        <v>2984000</v>
      </c>
      <c r="E22" s="76"/>
      <c r="F22" s="164"/>
      <c r="G22" s="174"/>
      <c r="H22" s="174"/>
      <c r="I22" s="175"/>
      <c r="K22" s="345"/>
      <c r="L22" s="346"/>
    </row>
    <row r="23" spans="1:12" ht="12.75">
      <c r="A23" s="168">
        <v>37986</v>
      </c>
      <c r="B23" s="121">
        <f t="shared" si="0"/>
        <v>3</v>
      </c>
      <c r="C23" s="169">
        <f t="shared" si="1"/>
        <v>89520000</v>
      </c>
      <c r="D23" s="169"/>
      <c r="E23" s="123">
        <v>0.057</v>
      </c>
      <c r="F23" s="164">
        <f>1134164+236150</f>
        <v>1370314</v>
      </c>
      <c r="G23" s="176">
        <f>SUM(F17:F23)</f>
        <v>4345753</v>
      </c>
      <c r="H23" s="176">
        <f>SUM(D16:D23)</f>
        <v>11936000</v>
      </c>
      <c r="I23" s="177">
        <f>SUM(G23:H23)</f>
        <v>16281753</v>
      </c>
      <c r="K23" s="345">
        <v>1134164</v>
      </c>
      <c r="L23" s="346">
        <v>236150</v>
      </c>
    </row>
    <row r="24" spans="1:12" ht="12.75">
      <c r="A24" s="126">
        <v>38074</v>
      </c>
      <c r="B24" s="108">
        <f t="shared" si="0"/>
        <v>88</v>
      </c>
      <c r="C24" s="165">
        <f t="shared" si="1"/>
        <v>86536000</v>
      </c>
      <c r="D24" s="164">
        <f>D16</f>
        <v>2984000</v>
      </c>
      <c r="E24" s="76"/>
      <c r="F24" s="165"/>
      <c r="G24" s="166"/>
      <c r="H24" s="166"/>
      <c r="I24" s="167"/>
      <c r="K24" s="341"/>
      <c r="L24" s="342"/>
    </row>
    <row r="25" spans="1:12" ht="12.75">
      <c r="A25" s="107">
        <v>38077</v>
      </c>
      <c r="B25" s="114">
        <f t="shared" si="0"/>
        <v>3</v>
      </c>
      <c r="C25" s="164">
        <f t="shared" si="1"/>
        <v>86536000</v>
      </c>
      <c r="D25" s="164"/>
      <c r="E25" s="76">
        <v>0.06</v>
      </c>
      <c r="F25" s="164">
        <v>1355979</v>
      </c>
      <c r="G25" s="174"/>
      <c r="H25" s="174"/>
      <c r="I25" s="175"/>
      <c r="K25" s="345">
        <v>1129858</v>
      </c>
      <c r="L25" s="346">
        <v>226121</v>
      </c>
    </row>
    <row r="26" spans="1:12" ht="12.75">
      <c r="A26" s="107">
        <v>38166</v>
      </c>
      <c r="B26" s="114">
        <f t="shared" si="0"/>
        <v>89</v>
      </c>
      <c r="C26" s="164">
        <f t="shared" si="1"/>
        <v>83552000</v>
      </c>
      <c r="D26" s="164">
        <f>D16</f>
        <v>2984000</v>
      </c>
      <c r="E26" s="76"/>
      <c r="F26" s="164"/>
      <c r="G26" s="174"/>
      <c r="H26" s="174"/>
      <c r="I26" s="175"/>
      <c r="K26" s="345"/>
      <c r="L26" s="346"/>
    </row>
    <row r="27" spans="1:12" ht="12.75">
      <c r="A27" s="107">
        <v>38168</v>
      </c>
      <c r="B27" s="114">
        <f t="shared" si="0"/>
        <v>2</v>
      </c>
      <c r="C27" s="164">
        <f t="shared" si="1"/>
        <v>83552000</v>
      </c>
      <c r="D27" s="164"/>
      <c r="E27" s="76">
        <v>0.06</v>
      </c>
      <c r="F27" s="164">
        <f>((C26+D26)*E27/360*B26)+((C27+D27)*E27/360*B27)</f>
        <v>1311468</v>
      </c>
      <c r="G27" s="174"/>
      <c r="H27" s="174"/>
      <c r="I27" s="175"/>
      <c r="K27" s="345">
        <v>1092890</v>
      </c>
      <c r="L27" s="346">
        <v>218578</v>
      </c>
    </row>
    <row r="28" spans="1:12" ht="12.75">
      <c r="A28" s="107">
        <v>38258</v>
      </c>
      <c r="B28" s="114">
        <f t="shared" si="0"/>
        <v>90</v>
      </c>
      <c r="C28" s="164">
        <f t="shared" si="1"/>
        <v>80568000</v>
      </c>
      <c r="D28" s="164">
        <f>D16</f>
        <v>2984000</v>
      </c>
      <c r="E28" s="76"/>
      <c r="F28" s="164"/>
      <c r="G28" s="174"/>
      <c r="H28" s="174"/>
      <c r="I28" s="175"/>
      <c r="K28" s="345"/>
      <c r="L28" s="346"/>
    </row>
    <row r="29" spans="1:12" ht="12.75">
      <c r="A29" s="107">
        <v>38260</v>
      </c>
      <c r="B29" s="114">
        <f t="shared" si="0"/>
        <v>2</v>
      </c>
      <c r="C29" s="164">
        <f t="shared" si="1"/>
        <v>80568000</v>
      </c>
      <c r="D29" s="164"/>
      <c r="E29" s="76">
        <f>E27</f>
        <v>0.06</v>
      </c>
      <c r="F29" s="164">
        <f>((C28+D28)*E29/360*B28)+((C29+D29)*E29/360*B29)</f>
        <v>1280136</v>
      </c>
      <c r="G29" s="174"/>
      <c r="H29" s="174"/>
      <c r="I29" s="175"/>
      <c r="K29" s="345">
        <v>1066780</v>
      </c>
      <c r="L29" s="346">
        <v>213356</v>
      </c>
    </row>
    <row r="30" spans="1:12" ht="12.75">
      <c r="A30" s="107">
        <v>38349</v>
      </c>
      <c r="B30" s="114">
        <f t="shared" si="0"/>
        <v>89</v>
      </c>
      <c r="C30" s="164">
        <f t="shared" si="1"/>
        <v>77584000</v>
      </c>
      <c r="D30" s="164">
        <f>D16</f>
        <v>2984000</v>
      </c>
      <c r="E30" s="76"/>
      <c r="F30" s="164"/>
      <c r="G30" s="174"/>
      <c r="H30" s="174"/>
      <c r="I30" s="175"/>
      <c r="K30" s="345"/>
      <c r="L30" s="346"/>
    </row>
    <row r="31" spans="1:12" ht="12.75">
      <c r="A31" s="168">
        <v>38352</v>
      </c>
      <c r="B31" s="121">
        <f t="shared" si="0"/>
        <v>3</v>
      </c>
      <c r="C31" s="169">
        <f t="shared" si="1"/>
        <v>77584000</v>
      </c>
      <c r="D31" s="169"/>
      <c r="E31" s="123">
        <v>0.0408</v>
      </c>
      <c r="F31" s="164">
        <v>843338</v>
      </c>
      <c r="G31" s="176">
        <f>SUM(F25:F31)</f>
        <v>4790921</v>
      </c>
      <c r="H31" s="176">
        <f>SUM(D24:D31)</f>
        <v>11936000</v>
      </c>
      <c r="I31" s="177">
        <f>SUM(G31:H31)</f>
        <v>16726921</v>
      </c>
      <c r="K31" s="345">
        <v>637691</v>
      </c>
      <c r="L31" s="346">
        <v>205647</v>
      </c>
    </row>
    <row r="32" spans="1:12" ht="12.75">
      <c r="A32" s="126">
        <v>38440</v>
      </c>
      <c r="B32" s="108">
        <f t="shared" si="0"/>
        <v>88</v>
      </c>
      <c r="C32" s="165">
        <f t="shared" si="1"/>
        <v>74600000</v>
      </c>
      <c r="D32" s="164">
        <f>D16</f>
        <v>2984000</v>
      </c>
      <c r="E32" s="76"/>
      <c r="F32" s="165"/>
      <c r="G32" s="166"/>
      <c r="H32" s="166"/>
      <c r="I32" s="167"/>
      <c r="K32" s="341"/>
      <c r="L32" s="342"/>
    </row>
    <row r="33" spans="1:12" ht="12.75">
      <c r="A33" s="107">
        <v>38442</v>
      </c>
      <c r="B33" s="114">
        <f t="shared" si="0"/>
        <v>2</v>
      </c>
      <c r="C33" s="164">
        <f t="shared" si="1"/>
        <v>74600000</v>
      </c>
      <c r="D33" s="164"/>
      <c r="E33" s="76">
        <v>0.0244</v>
      </c>
      <c r="F33" s="164">
        <v>476392</v>
      </c>
      <c r="G33" s="174"/>
      <c r="H33" s="174"/>
      <c r="I33" s="175"/>
      <c r="K33" s="345">
        <v>282598</v>
      </c>
      <c r="L33" s="346">
        <v>193794</v>
      </c>
    </row>
    <row r="34" spans="1:12" ht="12.75">
      <c r="A34" s="107">
        <v>38473</v>
      </c>
      <c r="B34" s="114">
        <f t="shared" si="0"/>
        <v>31</v>
      </c>
      <c r="C34" s="164">
        <f t="shared" si="1"/>
        <v>74600000</v>
      </c>
      <c r="D34" s="164"/>
      <c r="E34" s="76">
        <v>0.0249</v>
      </c>
      <c r="F34" s="164"/>
      <c r="G34" s="174"/>
      <c r="H34" s="174"/>
      <c r="I34" s="175"/>
      <c r="K34" s="345"/>
      <c r="L34" s="346"/>
    </row>
    <row r="35" spans="1:12" ht="12.75">
      <c r="A35" s="107">
        <v>38531</v>
      </c>
      <c r="B35" s="114">
        <f t="shared" si="0"/>
        <v>58</v>
      </c>
      <c r="C35" s="164">
        <f t="shared" si="1"/>
        <v>71616000</v>
      </c>
      <c r="D35" s="164">
        <f>D16</f>
        <v>2984000</v>
      </c>
      <c r="E35" s="76"/>
      <c r="F35" s="164"/>
      <c r="G35" s="174"/>
      <c r="H35" s="174"/>
      <c r="I35" s="175"/>
      <c r="K35" s="345"/>
      <c r="L35" s="346"/>
    </row>
    <row r="36" spans="1:12" ht="12.75">
      <c r="A36" s="107">
        <v>38533</v>
      </c>
      <c r="B36" s="114">
        <f t="shared" si="0"/>
        <v>2</v>
      </c>
      <c r="C36" s="164">
        <f t="shared" si="1"/>
        <v>71616000</v>
      </c>
      <c r="D36" s="164"/>
      <c r="E36" s="76">
        <v>0.031</v>
      </c>
      <c r="F36" s="164">
        <f>SUM(K36:L36)</f>
        <v>619069</v>
      </c>
      <c r="G36" s="174"/>
      <c r="H36" s="174"/>
      <c r="I36" s="175"/>
      <c r="K36" s="345">
        <v>430663</v>
      </c>
      <c r="L36" s="346">
        <v>188406</v>
      </c>
    </row>
    <row r="37" spans="1:12" ht="12.75">
      <c r="A37" s="107">
        <v>38623</v>
      </c>
      <c r="B37" s="114">
        <f t="shared" si="0"/>
        <v>90</v>
      </c>
      <c r="C37" s="164">
        <f t="shared" si="1"/>
        <v>68632000</v>
      </c>
      <c r="D37" s="164">
        <f>D16</f>
        <v>2984000</v>
      </c>
      <c r="E37" s="76"/>
      <c r="F37" s="164"/>
      <c r="G37" s="174"/>
      <c r="H37" s="174"/>
      <c r="I37" s="175"/>
      <c r="K37" s="345"/>
      <c r="L37" s="346"/>
    </row>
    <row r="38" spans="1:12" ht="12.75">
      <c r="A38" s="107">
        <v>38625</v>
      </c>
      <c r="B38" s="114">
        <f t="shared" si="0"/>
        <v>2</v>
      </c>
      <c r="C38" s="164">
        <f t="shared" si="1"/>
        <v>68632000</v>
      </c>
      <c r="D38" s="164"/>
      <c r="E38" s="76">
        <v>0.038</v>
      </c>
      <c r="F38" s="164">
        <f>SUM(K38:L38)</f>
        <v>609578</v>
      </c>
      <c r="G38" s="174"/>
      <c r="H38" s="174"/>
      <c r="I38" s="175"/>
      <c r="K38" s="345">
        <v>426725</v>
      </c>
      <c r="L38" s="346">
        <v>182853</v>
      </c>
    </row>
    <row r="39" spans="1:12" ht="12.75">
      <c r="A39" s="107">
        <v>38714</v>
      </c>
      <c r="B39" s="114">
        <f t="shared" si="0"/>
        <v>89</v>
      </c>
      <c r="C39" s="164">
        <f t="shared" si="1"/>
        <v>65648000</v>
      </c>
      <c r="D39" s="164">
        <f>D16</f>
        <v>2984000</v>
      </c>
      <c r="E39" s="76"/>
      <c r="F39" s="164"/>
      <c r="G39" s="174"/>
      <c r="H39" s="174"/>
      <c r="I39" s="175"/>
      <c r="K39" s="345"/>
      <c r="L39" s="346"/>
    </row>
    <row r="40" spans="1:12" ht="12.75">
      <c r="A40" s="168">
        <v>38717</v>
      </c>
      <c r="B40" s="121">
        <f t="shared" si="0"/>
        <v>3</v>
      </c>
      <c r="C40" s="169">
        <f t="shared" si="1"/>
        <v>65648000</v>
      </c>
      <c r="D40" s="169"/>
      <c r="E40" s="123">
        <v>0.0288</v>
      </c>
      <c r="F40" s="164">
        <f>((C39+D39)*E40/360*B39)+((C40+D40)*E40/360*B40)</f>
        <v>504415.36</v>
      </c>
      <c r="G40" s="176">
        <f>SUM(F33:F40)</f>
        <v>2209454.36</v>
      </c>
      <c r="H40" s="176">
        <f>SUM(D32:D40)</f>
        <v>11936000</v>
      </c>
      <c r="I40" s="177">
        <f>SUM(G40:H40)</f>
        <v>14145454.36</v>
      </c>
      <c r="K40" s="345"/>
      <c r="L40" s="346"/>
    </row>
    <row r="41" spans="1:12" ht="12.75">
      <c r="A41" s="126">
        <v>38804</v>
      </c>
      <c r="B41" s="108">
        <f t="shared" si="0"/>
        <v>87</v>
      </c>
      <c r="C41" s="165">
        <f t="shared" si="1"/>
        <v>62664000</v>
      </c>
      <c r="D41" s="164">
        <f>D16</f>
        <v>2984000</v>
      </c>
      <c r="E41" s="76"/>
      <c r="F41" s="165"/>
      <c r="G41" s="166"/>
      <c r="H41" s="166"/>
      <c r="I41" s="167"/>
      <c r="K41" s="341"/>
      <c r="L41" s="342"/>
    </row>
    <row r="42" spans="1:12" ht="12.75">
      <c r="A42" s="107">
        <v>38807</v>
      </c>
      <c r="B42" s="114">
        <f t="shared" si="0"/>
        <v>3</v>
      </c>
      <c r="C42" s="164">
        <f t="shared" si="1"/>
        <v>62664000</v>
      </c>
      <c r="D42" s="164"/>
      <c r="E42" s="76">
        <f>E40</f>
        <v>0.0288</v>
      </c>
      <c r="F42" s="164">
        <f>((C41+D41)*E42/360*B41)+((C42+D42)*E42/360*B42)</f>
        <v>471949.44</v>
      </c>
      <c r="G42" s="174"/>
      <c r="H42" s="174"/>
      <c r="I42" s="175"/>
      <c r="K42" s="345"/>
      <c r="L42" s="346"/>
    </row>
    <row r="43" spans="1:12" ht="12.75">
      <c r="A43" s="107">
        <v>38896</v>
      </c>
      <c r="B43" s="114">
        <f t="shared" si="0"/>
        <v>89</v>
      </c>
      <c r="C43" s="164">
        <f t="shared" si="1"/>
        <v>59680000</v>
      </c>
      <c r="D43" s="164">
        <f>D16</f>
        <v>2984000</v>
      </c>
      <c r="E43" s="76"/>
      <c r="F43" s="164"/>
      <c r="G43" s="174"/>
      <c r="H43" s="174"/>
      <c r="I43" s="175"/>
      <c r="K43" s="345"/>
      <c r="L43" s="346"/>
    </row>
    <row r="44" spans="1:12" ht="12.75">
      <c r="A44" s="107">
        <v>38898</v>
      </c>
      <c r="B44" s="114">
        <f t="shared" si="0"/>
        <v>2</v>
      </c>
      <c r="C44" s="164">
        <f t="shared" si="1"/>
        <v>59680000</v>
      </c>
      <c r="D44" s="164"/>
      <c r="E44" s="76">
        <f>E42</f>
        <v>0.0288</v>
      </c>
      <c r="F44" s="164">
        <f>((C43+D43)*E44/360*B43)+((C44+D44)*E44/360*B44)</f>
        <v>455716.48</v>
      </c>
      <c r="G44" s="174"/>
      <c r="H44" s="174"/>
      <c r="I44" s="175"/>
      <c r="K44" s="345"/>
      <c r="L44" s="346"/>
    </row>
    <row r="45" spans="1:12" ht="12.75">
      <c r="A45" s="107">
        <v>38988</v>
      </c>
      <c r="B45" s="114">
        <f t="shared" si="0"/>
        <v>90</v>
      </c>
      <c r="C45" s="164">
        <f t="shared" si="1"/>
        <v>56696000</v>
      </c>
      <c r="D45" s="164">
        <f>D16</f>
        <v>2984000</v>
      </c>
      <c r="E45" s="76"/>
      <c r="F45" s="164"/>
      <c r="G45" s="174"/>
      <c r="H45" s="174"/>
      <c r="I45" s="175"/>
      <c r="K45" s="345"/>
      <c r="L45" s="346"/>
    </row>
    <row r="46" spans="1:12" ht="12.75">
      <c r="A46" s="107">
        <v>38990</v>
      </c>
      <c r="B46" s="114">
        <f t="shared" si="0"/>
        <v>2</v>
      </c>
      <c r="C46" s="164">
        <f t="shared" si="1"/>
        <v>56696000</v>
      </c>
      <c r="D46" s="164"/>
      <c r="E46" s="76">
        <f>E44</f>
        <v>0.0288</v>
      </c>
      <c r="F46" s="164">
        <f>((C45+D45)*E46/360*B45)+((C46+D46)*E46/360*B46)</f>
        <v>438767.3599999999</v>
      </c>
      <c r="G46" s="174"/>
      <c r="H46" s="174"/>
      <c r="I46" s="175"/>
      <c r="K46" s="345"/>
      <c r="L46" s="346"/>
    </row>
    <row r="47" spans="1:12" ht="12.75">
      <c r="A47" s="107">
        <v>39079</v>
      </c>
      <c r="B47" s="114">
        <f t="shared" si="0"/>
        <v>89</v>
      </c>
      <c r="C47" s="164">
        <f t="shared" si="1"/>
        <v>53712000</v>
      </c>
      <c r="D47" s="164">
        <f>D16</f>
        <v>2984000</v>
      </c>
      <c r="E47" s="76"/>
      <c r="F47" s="164"/>
      <c r="G47" s="174"/>
      <c r="H47" s="174"/>
      <c r="I47" s="175"/>
      <c r="K47" s="345"/>
      <c r="L47" s="346"/>
    </row>
    <row r="48" spans="1:12" ht="12.75">
      <c r="A48" s="168">
        <v>39082</v>
      </c>
      <c r="B48" s="121">
        <f t="shared" si="0"/>
        <v>3</v>
      </c>
      <c r="C48" s="169">
        <f t="shared" si="1"/>
        <v>53712000</v>
      </c>
      <c r="D48" s="169"/>
      <c r="E48" s="123">
        <f>E46</f>
        <v>0.0288</v>
      </c>
      <c r="F48" s="164">
        <f>((C47+D47)*E48/360*B47)+((C48+D48)*E48/360*B48)</f>
        <v>416566.4</v>
      </c>
      <c r="G48" s="176">
        <f>SUM(F42:F48)</f>
        <v>1782999.6799999997</v>
      </c>
      <c r="H48" s="176">
        <f>SUM(D41:D48)</f>
        <v>11936000</v>
      </c>
      <c r="I48" s="177">
        <f>SUM(G48:H48)</f>
        <v>13718999.68</v>
      </c>
      <c r="K48" s="345"/>
      <c r="L48" s="346"/>
    </row>
    <row r="49" spans="1:12" ht="12.75">
      <c r="A49" s="126">
        <v>39169</v>
      </c>
      <c r="B49" s="108">
        <f t="shared" si="0"/>
        <v>87</v>
      </c>
      <c r="C49" s="165">
        <f t="shared" si="1"/>
        <v>50728000</v>
      </c>
      <c r="D49" s="164">
        <f>D16</f>
        <v>2984000</v>
      </c>
      <c r="E49" s="76"/>
      <c r="F49" s="165"/>
      <c r="G49" s="166"/>
      <c r="H49" s="166"/>
      <c r="I49" s="167"/>
      <c r="K49" s="341"/>
      <c r="L49" s="342"/>
    </row>
    <row r="50" spans="1:12" ht="12.75">
      <c r="A50" s="107">
        <v>39172</v>
      </c>
      <c r="B50" s="114">
        <f t="shared" si="0"/>
        <v>3</v>
      </c>
      <c r="C50" s="164">
        <f t="shared" si="1"/>
        <v>50728000</v>
      </c>
      <c r="D50" s="164"/>
      <c r="E50" s="76">
        <f>E48</f>
        <v>0.0288</v>
      </c>
      <c r="F50" s="164">
        <f>((C49+D49)*E50/360*B49)+((C50+D50)*E50/360*B50)</f>
        <v>386010.24</v>
      </c>
      <c r="G50" s="174"/>
      <c r="H50" s="174"/>
      <c r="I50" s="175"/>
      <c r="K50" s="345"/>
      <c r="L50" s="346"/>
    </row>
    <row r="51" spans="1:12" ht="12.75">
      <c r="A51" s="107">
        <v>39261</v>
      </c>
      <c r="B51" s="114">
        <f t="shared" si="0"/>
        <v>89</v>
      </c>
      <c r="C51" s="164">
        <f t="shared" si="1"/>
        <v>47744000</v>
      </c>
      <c r="D51" s="164">
        <f>D16</f>
        <v>2984000</v>
      </c>
      <c r="E51" s="76"/>
      <c r="F51" s="164"/>
      <c r="G51" s="174"/>
      <c r="H51" s="174"/>
      <c r="I51" s="175"/>
      <c r="K51" s="345"/>
      <c r="L51" s="346"/>
    </row>
    <row r="52" spans="1:12" ht="12.75">
      <c r="A52" s="107">
        <v>39263</v>
      </c>
      <c r="B52" s="114">
        <f t="shared" si="0"/>
        <v>2</v>
      </c>
      <c r="C52" s="164">
        <f t="shared" si="1"/>
        <v>47744000</v>
      </c>
      <c r="D52" s="164"/>
      <c r="E52" s="76">
        <f>E50</f>
        <v>0.0288</v>
      </c>
      <c r="F52" s="164">
        <f>((C51+D51)*E52/360*B51)+((C52+D52)*E52/360*B52)</f>
        <v>368822.39999999997</v>
      </c>
      <c r="G52" s="174"/>
      <c r="H52" s="174"/>
      <c r="I52" s="175"/>
      <c r="K52" s="345"/>
      <c r="L52" s="346"/>
    </row>
    <row r="53" spans="1:12" ht="12.75">
      <c r="A53" s="107">
        <v>39353</v>
      </c>
      <c r="B53" s="114">
        <f t="shared" si="0"/>
        <v>90</v>
      </c>
      <c r="C53" s="164">
        <f t="shared" si="1"/>
        <v>44760000</v>
      </c>
      <c r="D53" s="164">
        <f>D16</f>
        <v>2984000</v>
      </c>
      <c r="E53" s="76"/>
      <c r="F53" s="164"/>
      <c r="G53" s="174"/>
      <c r="H53" s="174"/>
      <c r="I53" s="175"/>
      <c r="K53" s="345"/>
      <c r="L53" s="346"/>
    </row>
    <row r="54" spans="1:12" ht="12.75">
      <c r="A54" s="107">
        <v>39355</v>
      </c>
      <c r="B54" s="114">
        <f t="shared" si="0"/>
        <v>2</v>
      </c>
      <c r="C54" s="164">
        <f t="shared" si="1"/>
        <v>44760000</v>
      </c>
      <c r="D54" s="164"/>
      <c r="E54" s="76">
        <f>E52</f>
        <v>0.0288</v>
      </c>
      <c r="F54" s="164">
        <f>((C53+D53)*E54/360*B53)+((C54+D54)*E54/360*B54)</f>
        <v>350918.39999999997</v>
      </c>
      <c r="G54" s="174"/>
      <c r="H54" s="174"/>
      <c r="I54" s="175"/>
      <c r="K54" s="345"/>
      <c r="L54" s="346"/>
    </row>
    <row r="55" spans="1:12" ht="12.75">
      <c r="A55" s="107">
        <v>39444</v>
      </c>
      <c r="B55" s="114">
        <f t="shared" si="0"/>
        <v>89</v>
      </c>
      <c r="C55" s="164">
        <f t="shared" si="1"/>
        <v>41776000</v>
      </c>
      <c r="D55" s="164">
        <f>D16</f>
        <v>2984000</v>
      </c>
      <c r="E55" s="76"/>
      <c r="F55" s="164"/>
      <c r="G55" s="174"/>
      <c r="H55" s="174"/>
      <c r="I55" s="175"/>
      <c r="K55" s="345"/>
      <c r="L55" s="346"/>
    </row>
    <row r="56" spans="1:12" ht="12.75">
      <c r="A56" s="120">
        <v>39447</v>
      </c>
      <c r="B56" s="121">
        <f t="shared" si="0"/>
        <v>3</v>
      </c>
      <c r="C56" s="122">
        <f t="shared" si="1"/>
        <v>41776000</v>
      </c>
      <c r="D56" s="122"/>
      <c r="E56" s="123">
        <f>E54</f>
        <v>0.0288</v>
      </c>
      <c r="F56" s="122">
        <f>((C55+D55)*E56/360*B55)+((C56+D56)*E56/360*B56)</f>
        <v>328717.44</v>
      </c>
      <c r="G56" s="124">
        <f>SUM(F50:F56)</f>
        <v>1434468.4799999997</v>
      </c>
      <c r="H56" s="124">
        <f>SUM(D49:D56)</f>
        <v>11936000</v>
      </c>
      <c r="I56" s="125">
        <f>SUM(G56:H56)</f>
        <v>13370468.48</v>
      </c>
      <c r="K56" s="343"/>
      <c r="L56" s="347"/>
    </row>
    <row r="57" spans="1:12" ht="12.75">
      <c r="A57" s="126">
        <v>39535</v>
      </c>
      <c r="B57" s="127">
        <f t="shared" si="0"/>
        <v>88</v>
      </c>
      <c r="C57" s="56">
        <f t="shared" si="1"/>
        <v>38792000</v>
      </c>
      <c r="D57" s="56">
        <f>D16</f>
        <v>2984000</v>
      </c>
      <c r="E57" s="173"/>
      <c r="F57" s="56"/>
      <c r="G57" s="178"/>
      <c r="H57" s="178"/>
      <c r="I57" s="179"/>
      <c r="K57" s="341"/>
      <c r="L57" s="129"/>
    </row>
    <row r="58" spans="1:12" ht="12.75">
      <c r="A58" s="113">
        <v>39538</v>
      </c>
      <c r="B58" s="114">
        <f t="shared" si="0"/>
        <v>3</v>
      </c>
      <c r="C58" s="180">
        <f t="shared" si="1"/>
        <v>38792000</v>
      </c>
      <c r="D58" s="180"/>
      <c r="E58" s="76">
        <f>E56</f>
        <v>0.0288</v>
      </c>
      <c r="F58" s="164">
        <f>((C57+D57)*E58/360*B57)+((C58+D58)*E58/360*B58)</f>
        <v>303413.12</v>
      </c>
      <c r="G58" s="181"/>
      <c r="H58" s="181"/>
      <c r="I58" s="182"/>
      <c r="K58" s="345"/>
      <c r="L58" s="346"/>
    </row>
    <row r="59" spans="1:12" ht="12.75">
      <c r="A59" s="113">
        <v>39627</v>
      </c>
      <c r="B59" s="114">
        <f t="shared" si="0"/>
        <v>89</v>
      </c>
      <c r="C59" s="180">
        <f t="shared" si="1"/>
        <v>35808000</v>
      </c>
      <c r="D59" s="180">
        <f>D16</f>
        <v>2984000</v>
      </c>
      <c r="E59" s="76"/>
      <c r="F59" s="180"/>
      <c r="G59" s="181"/>
      <c r="H59" s="181"/>
      <c r="I59" s="182"/>
      <c r="K59" s="348"/>
      <c r="L59" s="349"/>
    </row>
    <row r="60" spans="1:12" ht="12.75">
      <c r="A60" s="113">
        <v>39629</v>
      </c>
      <c r="B60" s="114">
        <f t="shared" si="0"/>
        <v>2</v>
      </c>
      <c r="C60" s="180">
        <f t="shared" si="1"/>
        <v>35808000</v>
      </c>
      <c r="D60" s="180"/>
      <c r="E60" s="76">
        <f>E58</f>
        <v>0.0288</v>
      </c>
      <c r="F60" s="164">
        <f>((C59+D59)*E60/360*B59)+((C60+D60)*E60/360*B60)</f>
        <v>281928.32</v>
      </c>
      <c r="G60" s="181"/>
      <c r="H60" s="181"/>
      <c r="I60" s="182"/>
      <c r="K60" s="345"/>
      <c r="L60" s="346"/>
    </row>
    <row r="61" spans="1:12" ht="12.75">
      <c r="A61" s="107">
        <v>39719</v>
      </c>
      <c r="B61" s="114">
        <f t="shared" si="0"/>
        <v>90</v>
      </c>
      <c r="C61" s="164">
        <f t="shared" si="1"/>
        <v>32824000</v>
      </c>
      <c r="D61" s="164">
        <f>D16</f>
        <v>2984000</v>
      </c>
      <c r="E61" s="76"/>
      <c r="F61" s="164"/>
      <c r="G61" s="174"/>
      <c r="H61" s="174"/>
      <c r="I61" s="175"/>
      <c r="K61" s="345"/>
      <c r="L61" s="346"/>
    </row>
    <row r="62" spans="1:12" ht="12.75">
      <c r="A62" s="107">
        <v>39721</v>
      </c>
      <c r="B62" s="114">
        <f t="shared" si="0"/>
        <v>2</v>
      </c>
      <c r="C62" s="164">
        <f t="shared" si="1"/>
        <v>32824000</v>
      </c>
      <c r="D62" s="164"/>
      <c r="E62" s="76">
        <f>E60</f>
        <v>0.0288</v>
      </c>
      <c r="F62" s="164">
        <f>((C61+D61)*E62/360*B61)+((C62+D62)*E62/360*B62)</f>
        <v>263069.44</v>
      </c>
      <c r="G62" s="174"/>
      <c r="H62" s="174"/>
      <c r="I62" s="175"/>
      <c r="K62" s="345"/>
      <c r="L62" s="346"/>
    </row>
    <row r="63" spans="1:12" ht="12.75">
      <c r="A63" s="107">
        <v>39810</v>
      </c>
      <c r="B63" s="114">
        <f t="shared" si="0"/>
        <v>89</v>
      </c>
      <c r="C63" s="164">
        <f t="shared" si="1"/>
        <v>29840000</v>
      </c>
      <c r="D63" s="164">
        <f>D16</f>
        <v>2984000</v>
      </c>
      <c r="E63" s="76"/>
      <c r="F63" s="164"/>
      <c r="G63" s="174"/>
      <c r="H63" s="174"/>
      <c r="I63" s="175"/>
      <c r="K63" s="345"/>
      <c r="L63" s="346"/>
    </row>
    <row r="64" spans="1:12" ht="12.75">
      <c r="A64" s="120">
        <v>39813</v>
      </c>
      <c r="B64" s="121">
        <f t="shared" si="0"/>
        <v>3</v>
      </c>
      <c r="C64" s="170">
        <f t="shared" si="1"/>
        <v>29840000</v>
      </c>
      <c r="D64" s="170"/>
      <c r="E64" s="123">
        <f>E62</f>
        <v>0.0288</v>
      </c>
      <c r="F64" s="164">
        <f>((C63+D63)*E64/360*B63)+((C64+D64)*E64/360*B64)</f>
        <v>240868.48</v>
      </c>
      <c r="G64" s="171">
        <f>SUM(F58:F64)</f>
        <v>1089279.3599999999</v>
      </c>
      <c r="H64" s="171">
        <f>SUM(D57:D64)</f>
        <v>11936000</v>
      </c>
      <c r="I64" s="172">
        <f>SUM(G64:H64)</f>
        <v>13025279.36</v>
      </c>
      <c r="K64" s="345"/>
      <c r="L64" s="346"/>
    </row>
    <row r="65" spans="1:12" ht="12.75">
      <c r="A65" s="126">
        <v>39900</v>
      </c>
      <c r="B65" s="108">
        <f t="shared" si="0"/>
        <v>87</v>
      </c>
      <c r="C65" s="165">
        <f t="shared" si="1"/>
        <v>26856000</v>
      </c>
      <c r="D65" s="164">
        <f>D16</f>
        <v>2984000</v>
      </c>
      <c r="E65" s="76"/>
      <c r="F65" s="165"/>
      <c r="G65" s="166"/>
      <c r="H65" s="166"/>
      <c r="I65" s="167"/>
      <c r="K65" s="341"/>
      <c r="L65" s="342"/>
    </row>
    <row r="66" spans="1:12" ht="12.75">
      <c r="A66" s="107">
        <v>39903</v>
      </c>
      <c r="B66" s="114">
        <f t="shared" si="0"/>
        <v>3</v>
      </c>
      <c r="C66" s="164">
        <f t="shared" si="1"/>
        <v>26856000</v>
      </c>
      <c r="D66" s="164"/>
      <c r="E66" s="76">
        <f>E64</f>
        <v>0.0288</v>
      </c>
      <c r="F66" s="164">
        <f>((C65+D65)*E66/360*B65)+((C66+D66)*E66/360*B66)</f>
        <v>214131.84</v>
      </c>
      <c r="G66" s="174"/>
      <c r="H66" s="174"/>
      <c r="I66" s="175"/>
      <c r="K66" s="345"/>
      <c r="L66" s="346"/>
    </row>
    <row r="67" spans="1:12" ht="12.75">
      <c r="A67" s="107">
        <v>39992</v>
      </c>
      <c r="B67" s="114">
        <f t="shared" si="0"/>
        <v>89</v>
      </c>
      <c r="C67" s="164">
        <f t="shared" si="1"/>
        <v>23872000</v>
      </c>
      <c r="D67" s="164">
        <f>D16</f>
        <v>2984000</v>
      </c>
      <c r="E67" s="76"/>
      <c r="F67" s="164"/>
      <c r="G67" s="174"/>
      <c r="H67" s="174"/>
      <c r="I67" s="175"/>
      <c r="K67" s="345"/>
      <c r="L67" s="346"/>
    </row>
    <row r="68" spans="1:12" ht="12.75">
      <c r="A68" s="107">
        <v>39994</v>
      </c>
      <c r="B68" s="114">
        <f t="shared" si="0"/>
        <v>2</v>
      </c>
      <c r="C68" s="164">
        <f t="shared" si="1"/>
        <v>23872000</v>
      </c>
      <c r="D68" s="164"/>
      <c r="E68" s="76">
        <f>E66</f>
        <v>0.0288</v>
      </c>
      <c r="F68" s="164">
        <f>((C67+D67)*E68/360*B67)+((C68+D68)*E68/360*B68)</f>
        <v>195034.24</v>
      </c>
      <c r="G68" s="174"/>
      <c r="H68" s="174"/>
      <c r="I68" s="175"/>
      <c r="K68" s="345"/>
      <c r="L68" s="346"/>
    </row>
    <row r="69" spans="1:12" ht="12.75">
      <c r="A69" s="107">
        <v>40084</v>
      </c>
      <c r="B69" s="114">
        <f t="shared" si="0"/>
        <v>90</v>
      </c>
      <c r="C69" s="164">
        <f t="shared" si="1"/>
        <v>20888000</v>
      </c>
      <c r="D69" s="164">
        <f>D16</f>
        <v>2984000</v>
      </c>
      <c r="E69" s="76"/>
      <c r="F69" s="164"/>
      <c r="G69" s="174"/>
      <c r="H69" s="174"/>
      <c r="I69" s="175"/>
      <c r="K69" s="345"/>
      <c r="L69" s="346"/>
    </row>
    <row r="70" spans="1:12" ht="12.75">
      <c r="A70" s="107">
        <v>40086</v>
      </c>
      <c r="B70" s="114">
        <f t="shared" si="0"/>
        <v>2</v>
      </c>
      <c r="C70" s="164">
        <f t="shared" si="1"/>
        <v>20888000</v>
      </c>
      <c r="D70" s="164"/>
      <c r="E70" s="76">
        <f>E68</f>
        <v>0.0288</v>
      </c>
      <c r="F70" s="164">
        <f>((C69+D69)*E70/360*B69)+((C70+D70)*E70/360*B70)</f>
        <v>175220.47999999998</v>
      </c>
      <c r="G70" s="174"/>
      <c r="H70" s="174"/>
      <c r="I70" s="175"/>
      <c r="K70" s="345"/>
      <c r="L70" s="346"/>
    </row>
    <row r="71" spans="1:12" ht="12.75">
      <c r="A71" s="107">
        <v>40175</v>
      </c>
      <c r="B71" s="114">
        <f t="shared" si="0"/>
        <v>89</v>
      </c>
      <c r="C71" s="164">
        <f t="shared" si="1"/>
        <v>17904000</v>
      </c>
      <c r="D71" s="164">
        <f>D16</f>
        <v>2984000</v>
      </c>
      <c r="E71" s="76"/>
      <c r="F71" s="164"/>
      <c r="G71" s="174"/>
      <c r="H71" s="174"/>
      <c r="I71" s="175"/>
      <c r="K71" s="345"/>
      <c r="L71" s="346"/>
    </row>
    <row r="72" spans="1:12" ht="12.75">
      <c r="A72" s="120">
        <v>40178</v>
      </c>
      <c r="B72" s="121">
        <f t="shared" si="0"/>
        <v>3</v>
      </c>
      <c r="C72" s="170">
        <f t="shared" si="1"/>
        <v>17904000</v>
      </c>
      <c r="D72" s="170"/>
      <c r="E72" s="123">
        <f>E70</f>
        <v>0.0288</v>
      </c>
      <c r="F72" s="170">
        <f>((C71+D71)*E72/360*B71)+((C72+D72)*E72/360*B72)</f>
        <v>153019.52</v>
      </c>
      <c r="G72" s="171">
        <f>SUM(F66:F72)</f>
        <v>737406.08</v>
      </c>
      <c r="H72" s="171">
        <f>SUM(D65:D72)</f>
        <v>11936000</v>
      </c>
      <c r="I72" s="172">
        <f>SUM(G72:H72)</f>
        <v>12673406.08</v>
      </c>
      <c r="K72" s="343"/>
      <c r="L72" s="344"/>
    </row>
    <row r="73" spans="1:12" ht="12.75">
      <c r="A73" s="126">
        <v>40265</v>
      </c>
      <c r="B73" s="127">
        <f t="shared" si="0"/>
        <v>87</v>
      </c>
      <c r="C73" s="165">
        <f t="shared" si="1"/>
        <v>14920000</v>
      </c>
      <c r="D73" s="165">
        <f>D16</f>
        <v>2984000</v>
      </c>
      <c r="E73" s="292"/>
      <c r="F73" s="165"/>
      <c r="G73" s="166"/>
      <c r="H73" s="166"/>
      <c r="I73" s="167"/>
      <c r="K73" s="341"/>
      <c r="L73" s="342"/>
    </row>
    <row r="74" spans="1:12" ht="12.75">
      <c r="A74" s="107">
        <v>40268</v>
      </c>
      <c r="B74" s="114">
        <f aca="true" t="shared" si="2" ref="B74:B83">A74-A73</f>
        <v>3</v>
      </c>
      <c r="C74" s="164">
        <f t="shared" si="1"/>
        <v>14920000</v>
      </c>
      <c r="D74" s="164"/>
      <c r="E74" s="76">
        <f>E72</f>
        <v>0.0288</v>
      </c>
      <c r="F74" s="164">
        <f>((C73+D73)*E74/360*B73)+((C74+D74)*E74/360*B74)</f>
        <v>128192.64</v>
      </c>
      <c r="G74" s="174"/>
      <c r="H74" s="174"/>
      <c r="I74" s="175"/>
      <c r="K74" s="345"/>
      <c r="L74" s="346"/>
    </row>
    <row r="75" spans="1:12" ht="12.75">
      <c r="A75" s="107">
        <v>40357</v>
      </c>
      <c r="B75" s="114">
        <f t="shared" si="2"/>
        <v>89</v>
      </c>
      <c r="C75" s="164">
        <f aca="true" t="shared" si="3" ref="C75:C83">C74-D75</f>
        <v>11936000</v>
      </c>
      <c r="D75" s="164">
        <f>D16</f>
        <v>2984000</v>
      </c>
      <c r="E75" s="76"/>
      <c r="F75" s="164"/>
      <c r="G75" s="174"/>
      <c r="H75" s="174"/>
      <c r="I75" s="175"/>
      <c r="K75" s="345"/>
      <c r="L75" s="346"/>
    </row>
    <row r="76" spans="1:12" ht="12.75">
      <c r="A76" s="107">
        <v>40359</v>
      </c>
      <c r="B76" s="114">
        <f t="shared" si="2"/>
        <v>2</v>
      </c>
      <c r="C76" s="164">
        <f t="shared" si="3"/>
        <v>11936000</v>
      </c>
      <c r="D76" s="164"/>
      <c r="E76" s="76">
        <f>E74</f>
        <v>0.0288</v>
      </c>
      <c r="F76" s="164">
        <f>((C75+D75)*E76/360*B75)+((C76+D76)*E76/360*B76)</f>
        <v>108140.15999999999</v>
      </c>
      <c r="G76" s="174"/>
      <c r="H76" s="174"/>
      <c r="I76" s="175"/>
      <c r="K76" s="345"/>
      <c r="L76" s="346"/>
    </row>
    <row r="77" spans="1:12" ht="12.75">
      <c r="A77" s="107">
        <v>40449</v>
      </c>
      <c r="B77" s="114">
        <f t="shared" si="2"/>
        <v>90</v>
      </c>
      <c r="C77" s="164">
        <f t="shared" si="3"/>
        <v>8952000</v>
      </c>
      <c r="D77" s="164">
        <f>D16</f>
        <v>2984000</v>
      </c>
      <c r="E77" s="76"/>
      <c r="F77" s="164"/>
      <c r="G77" s="174"/>
      <c r="H77" s="174"/>
      <c r="I77" s="175"/>
      <c r="K77" s="345"/>
      <c r="L77" s="346"/>
    </row>
    <row r="78" spans="1:12" ht="12.75">
      <c r="A78" s="107">
        <v>40451</v>
      </c>
      <c r="B78" s="114">
        <f t="shared" si="2"/>
        <v>2</v>
      </c>
      <c r="C78" s="164">
        <f t="shared" si="3"/>
        <v>8952000</v>
      </c>
      <c r="D78" s="164"/>
      <c r="E78" s="76">
        <f>E76</f>
        <v>0.0288</v>
      </c>
      <c r="F78" s="164">
        <f>((C77+D77)*E78/360*B77)+((C78+D78)*E78/360*B78)</f>
        <v>87371.52</v>
      </c>
      <c r="G78" s="174"/>
      <c r="H78" s="174"/>
      <c r="I78" s="175"/>
      <c r="K78" s="345"/>
      <c r="L78" s="346"/>
    </row>
    <row r="79" spans="1:12" ht="12.75">
      <c r="A79" s="107">
        <v>40540</v>
      </c>
      <c r="B79" s="114">
        <f t="shared" si="2"/>
        <v>89</v>
      </c>
      <c r="C79" s="164">
        <f t="shared" si="3"/>
        <v>5968000</v>
      </c>
      <c r="D79" s="164">
        <f>D16</f>
        <v>2984000</v>
      </c>
      <c r="E79" s="76"/>
      <c r="F79" s="164"/>
      <c r="G79" s="174"/>
      <c r="H79" s="174"/>
      <c r="I79" s="175"/>
      <c r="K79" s="345"/>
      <c r="L79" s="346"/>
    </row>
    <row r="80" spans="1:12" ht="12.75">
      <c r="A80" s="120">
        <v>40543</v>
      </c>
      <c r="B80" s="121">
        <f t="shared" si="2"/>
        <v>3</v>
      </c>
      <c r="C80" s="170">
        <f t="shared" si="3"/>
        <v>5968000</v>
      </c>
      <c r="D80" s="170"/>
      <c r="E80" s="123">
        <f>E78</f>
        <v>0.0288</v>
      </c>
      <c r="F80" s="164">
        <f>((C79+D79)*E80/360*B79)+((C80+D80)*E80/360*B80)</f>
        <v>65170.56</v>
      </c>
      <c r="G80" s="171">
        <f>SUM(F74:F80)</f>
        <v>388874.88</v>
      </c>
      <c r="H80" s="171">
        <f>SUM(D73:D80)</f>
        <v>11936000</v>
      </c>
      <c r="I80" s="172">
        <f>SUM(G80:H80)</f>
        <v>12324874.88</v>
      </c>
      <c r="K80" s="345"/>
      <c r="L80" s="346"/>
    </row>
    <row r="81" spans="1:12" ht="12.75">
      <c r="A81" s="126">
        <v>40630</v>
      </c>
      <c r="B81" s="108">
        <f t="shared" si="2"/>
        <v>87</v>
      </c>
      <c r="C81" s="165">
        <f t="shared" si="3"/>
        <v>2984000</v>
      </c>
      <c r="D81" s="164">
        <f>D16</f>
        <v>2984000</v>
      </c>
      <c r="E81" s="76"/>
      <c r="F81" s="165"/>
      <c r="G81" s="166"/>
      <c r="H81" s="166"/>
      <c r="I81" s="167"/>
      <c r="K81" s="341"/>
      <c r="L81" s="342"/>
    </row>
    <row r="82" spans="1:12" ht="12.75">
      <c r="A82" s="107">
        <v>40633</v>
      </c>
      <c r="B82" s="114">
        <f t="shared" si="2"/>
        <v>3</v>
      </c>
      <c r="C82" s="164">
        <f t="shared" si="3"/>
        <v>2984000</v>
      </c>
      <c r="D82" s="164"/>
      <c r="E82" s="76">
        <f>E80</f>
        <v>0.0288</v>
      </c>
      <c r="F82" s="164">
        <f>((C81+D81)*E82/360*B81)+((C82+D82)*E82/360*B82)</f>
        <v>42253.44</v>
      </c>
      <c r="G82" s="174"/>
      <c r="H82" s="174"/>
      <c r="I82" s="175"/>
      <c r="K82" s="345"/>
      <c r="L82" s="346"/>
    </row>
    <row r="83" spans="1:12" ht="13.5" thickBot="1">
      <c r="A83" s="107">
        <v>40722</v>
      </c>
      <c r="B83" s="114">
        <f t="shared" si="2"/>
        <v>89</v>
      </c>
      <c r="C83" s="164">
        <f t="shared" si="3"/>
        <v>0</v>
      </c>
      <c r="D83" s="164">
        <f>D16</f>
        <v>2984000</v>
      </c>
      <c r="E83" s="76">
        <f>E82</f>
        <v>0.0288</v>
      </c>
      <c r="F83" s="164">
        <f>((C83+D83)*E83/360*B83)</f>
        <v>21246.079999999998</v>
      </c>
      <c r="G83" s="174">
        <f>SUM(F81:F83)</f>
        <v>63499.520000000004</v>
      </c>
      <c r="H83" s="174">
        <f>SUM(D81:D83)</f>
        <v>5968000</v>
      </c>
      <c r="I83" s="175">
        <f>SUM(G83:H83)</f>
        <v>6031499.52</v>
      </c>
      <c r="K83" s="345"/>
      <c r="L83" s="346"/>
    </row>
    <row r="84" spans="1:12" ht="13.5" thickTop="1">
      <c r="A84" s="183" t="s">
        <v>14</v>
      </c>
      <c r="B84" s="184"/>
      <c r="C84" s="185"/>
      <c r="D84" s="186">
        <f>SUM(D8:D83)</f>
        <v>107411000</v>
      </c>
      <c r="E84" s="186"/>
      <c r="F84" s="186">
        <f>SUM(F8:F83)</f>
        <v>20431844.359999996</v>
      </c>
      <c r="G84" s="186">
        <f>SUM(G8:G83)</f>
        <v>20431844.359999996</v>
      </c>
      <c r="H84" s="186">
        <f>SUM(H8:H83)</f>
        <v>107411000</v>
      </c>
      <c r="I84" s="187">
        <f>SUM(I8:I83)</f>
        <v>127842844.35999998</v>
      </c>
      <c r="K84" s="350">
        <f>SUM(K8:K83)</f>
        <v>11830788</v>
      </c>
      <c r="L84" s="187">
        <f>SUM(L8:L83)</f>
        <v>2411070</v>
      </c>
    </row>
    <row r="86" ht="12.75">
      <c r="A86" s="188" t="s">
        <v>110</v>
      </c>
    </row>
    <row r="88" spans="3:12" ht="12.75">
      <c r="C88" s="147"/>
      <c r="D88" s="147"/>
      <c r="F88" s="147"/>
      <c r="K88" s="147"/>
      <c r="L88" s="147"/>
    </row>
    <row r="89" spans="3:12" ht="12.75">
      <c r="C89" s="147"/>
      <c r="D89" s="147"/>
      <c r="F89" s="147"/>
      <c r="K89" s="147"/>
      <c r="L89" s="147"/>
    </row>
    <row r="90" spans="3:4" ht="12.75">
      <c r="C90" s="147"/>
      <c r="D90" s="147"/>
    </row>
    <row r="91" spans="3:4" ht="12.75">
      <c r="C91" s="147"/>
      <c r="D91" s="147"/>
    </row>
    <row r="92" spans="3:12" ht="12.75">
      <c r="C92" s="147"/>
      <c r="D92" s="147"/>
      <c r="F92" s="147"/>
      <c r="K92" s="147"/>
      <c r="L92" s="147"/>
    </row>
  </sheetData>
  <printOptions horizontalCentered="1"/>
  <pageMargins left="0.5905511811023623" right="0.3937007874015748" top="0.7874015748031497" bottom="0.5905511811023623" header="0.1968503937007874" footer="0.1968503937007874"/>
  <pageSetup blackAndWhite="1" horizontalDpi="300" verticalDpi="300" orientation="portrait" paperSize="9" scale="80" r:id="rId1"/>
  <headerFooter alignWithMargins="0">
    <oddHeader xml:space="preserve">&amp;C&amp;"Times New Roman CE,Félkövér"&amp;12Adósságszolgálat számítása az OTP tájékoztatása alapján&amp;"Times New Roman CE,Félkövér dőlt"
69 db bérlakás építésére 2001. decemberben felvett 107.411 eFt hitel </oddHeader>
    <oddFooter>&amp;L&amp;9Nyomtatás dátuma: &amp;D
C:\Andi\adósságszolgálat\&amp;F\&amp;A&amp;R&amp;P/&amp;N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pane ySplit="7" topLeftCell="BM2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50390625" style="81" customWidth="1"/>
    <col min="2" max="2" width="6.125" style="81" customWidth="1"/>
    <col min="3" max="3" width="11.50390625" style="81" customWidth="1"/>
    <col min="4" max="4" width="13.00390625" style="81" customWidth="1"/>
    <col min="5" max="5" width="6.50390625" style="148" customWidth="1"/>
    <col min="6" max="6" width="11.50390625" style="81" customWidth="1"/>
    <col min="7" max="7" width="11.125" style="81" customWidth="1"/>
    <col min="8" max="9" width="12.625" style="81" customWidth="1"/>
    <col min="10" max="10" width="1.875" style="81" customWidth="1"/>
    <col min="11" max="12" width="11.50390625" style="81" customWidth="1"/>
    <col min="13" max="16384" width="9.375" style="81" customWidth="1"/>
  </cols>
  <sheetData>
    <row r="1" spans="1:12" ht="12.75">
      <c r="A1" s="189" t="s">
        <v>105</v>
      </c>
      <c r="B1" s="188"/>
      <c r="C1" s="189"/>
      <c r="D1" s="189"/>
      <c r="E1" s="190"/>
      <c r="F1" s="189"/>
      <c r="H1" s="189"/>
      <c r="I1" s="189"/>
      <c r="K1" s="189"/>
      <c r="L1" s="189"/>
    </row>
    <row r="2" spans="1:12" ht="12.75">
      <c r="A2" s="81" t="s">
        <v>47</v>
      </c>
      <c r="B2" s="159"/>
      <c r="C2" s="158"/>
      <c r="D2" s="158"/>
      <c r="E2" s="191"/>
      <c r="F2" s="158"/>
      <c r="G2" s="158"/>
      <c r="H2" s="158"/>
      <c r="I2" s="158"/>
      <c r="K2" s="158"/>
      <c r="L2" s="158"/>
    </row>
    <row r="3" spans="1:12" ht="12.75">
      <c r="A3" s="161" t="s">
        <v>50</v>
      </c>
      <c r="B3" s="159"/>
      <c r="C3" s="158"/>
      <c r="D3" s="158"/>
      <c r="E3" s="191"/>
      <c r="F3" s="158"/>
      <c r="G3" s="158"/>
      <c r="H3" s="158"/>
      <c r="I3" s="158"/>
      <c r="K3" s="158"/>
      <c r="L3" s="158"/>
    </row>
    <row r="4" spans="1:12" ht="12.75">
      <c r="A4" s="160" t="s">
        <v>71</v>
      </c>
      <c r="B4" s="159"/>
      <c r="C4" s="158"/>
      <c r="D4" s="158"/>
      <c r="E4" s="191"/>
      <c r="F4" s="158"/>
      <c r="G4" s="158"/>
      <c r="H4" s="158"/>
      <c r="I4" s="158"/>
      <c r="K4" s="158"/>
      <c r="L4" s="158"/>
    </row>
    <row r="5" spans="1:12" ht="12.75">
      <c r="A5" s="89" t="s">
        <v>3</v>
      </c>
      <c r="B5" s="90" t="s">
        <v>4</v>
      </c>
      <c r="C5" s="91" t="s">
        <v>5</v>
      </c>
      <c r="D5" s="91" t="s">
        <v>33</v>
      </c>
      <c r="E5" s="192" t="s">
        <v>20</v>
      </c>
      <c r="F5" s="91" t="s">
        <v>20</v>
      </c>
      <c r="G5" s="93" t="s">
        <v>6</v>
      </c>
      <c r="H5" s="93" t="s">
        <v>6</v>
      </c>
      <c r="I5" s="94" t="s">
        <v>6</v>
      </c>
      <c r="K5" s="337" t="s">
        <v>161</v>
      </c>
      <c r="L5" s="338"/>
    </row>
    <row r="6" spans="1:12" ht="12.75">
      <c r="A6" s="95"/>
      <c r="B6" s="96" t="s">
        <v>7</v>
      </c>
      <c r="C6" s="97" t="s">
        <v>8</v>
      </c>
      <c r="D6" s="97"/>
      <c r="E6" s="193" t="s">
        <v>112</v>
      </c>
      <c r="F6" s="378" t="s">
        <v>13</v>
      </c>
      <c r="G6" s="99" t="s">
        <v>9</v>
      </c>
      <c r="H6" s="99" t="s">
        <v>11</v>
      </c>
      <c r="I6" s="100" t="s">
        <v>10</v>
      </c>
      <c r="K6" s="339" t="s">
        <v>162</v>
      </c>
      <c r="L6" s="340" t="s">
        <v>159</v>
      </c>
    </row>
    <row r="7" spans="1:12" ht="12.75">
      <c r="A7" s="101"/>
      <c r="B7" s="102"/>
      <c r="C7" s="103"/>
      <c r="D7" s="103"/>
      <c r="E7" s="195" t="s">
        <v>48</v>
      </c>
      <c r="F7" s="379" t="s">
        <v>165</v>
      </c>
      <c r="G7" s="105"/>
      <c r="H7" s="105" t="s">
        <v>13</v>
      </c>
      <c r="I7" s="106" t="s">
        <v>12</v>
      </c>
      <c r="K7" s="351" t="s">
        <v>163</v>
      </c>
      <c r="L7" s="352" t="s">
        <v>160</v>
      </c>
    </row>
    <row r="8" spans="1:12" ht="12.75">
      <c r="A8" s="107">
        <v>37586</v>
      </c>
      <c r="B8" s="127"/>
      <c r="C8" s="164">
        <v>124412000</v>
      </c>
      <c r="D8" s="164"/>
      <c r="E8" s="196"/>
      <c r="F8" s="164"/>
      <c r="G8" s="174"/>
      <c r="H8" s="174"/>
      <c r="I8" s="175"/>
      <c r="K8" s="345"/>
      <c r="L8" s="346"/>
    </row>
    <row r="9" spans="1:12" ht="12.75">
      <c r="A9" s="168">
        <v>37621</v>
      </c>
      <c r="B9" s="131">
        <f>A9-A8</f>
        <v>35</v>
      </c>
      <c r="C9" s="197">
        <f>C8-D9</f>
        <v>124412000</v>
      </c>
      <c r="D9" s="169"/>
      <c r="E9" s="198">
        <v>0.0422</v>
      </c>
      <c r="F9" s="197">
        <v>399224</v>
      </c>
      <c r="G9" s="176">
        <f>SUM(F8:F9)</f>
        <v>399224</v>
      </c>
      <c r="H9" s="176">
        <f>SUM(D8:D9)</f>
        <v>0</v>
      </c>
      <c r="I9" s="177">
        <f>SUM(G9:H9)</f>
        <v>399224</v>
      </c>
      <c r="K9" s="353">
        <v>399224</v>
      </c>
      <c r="L9" s="354">
        <v>0</v>
      </c>
    </row>
    <row r="10" spans="1:12" ht="12.75">
      <c r="A10" s="126">
        <v>37711</v>
      </c>
      <c r="B10" s="199">
        <f aca="true" t="shared" si="0" ref="B10:B24">A10-A9</f>
        <v>90</v>
      </c>
      <c r="C10" s="56">
        <f aca="true" t="shared" si="1" ref="C10:C74">C9-D10</f>
        <v>124412000</v>
      </c>
      <c r="D10" s="165"/>
      <c r="E10" s="200">
        <v>0.0369</v>
      </c>
      <c r="F10" s="56">
        <v>1005456</v>
      </c>
      <c r="G10" s="166"/>
      <c r="H10" s="166"/>
      <c r="I10" s="167"/>
      <c r="K10" s="341">
        <v>694426</v>
      </c>
      <c r="L10" s="129">
        <v>311030</v>
      </c>
    </row>
    <row r="11" spans="1:12" ht="12.75">
      <c r="A11" s="107">
        <v>37802</v>
      </c>
      <c r="B11" s="131">
        <f t="shared" si="0"/>
        <v>91</v>
      </c>
      <c r="C11" s="109">
        <f t="shared" si="1"/>
        <v>124412000</v>
      </c>
      <c r="D11" s="164"/>
      <c r="E11" s="196">
        <v>0.0356</v>
      </c>
      <c r="F11" s="109">
        <f>617809+314486</f>
        <v>932295</v>
      </c>
      <c r="G11" s="174"/>
      <c r="H11" s="174"/>
      <c r="I11" s="175"/>
      <c r="K11" s="345">
        <v>617809</v>
      </c>
      <c r="L11" s="355">
        <v>314486</v>
      </c>
    </row>
    <row r="12" spans="1:12" ht="12.75">
      <c r="A12" s="107">
        <v>37892</v>
      </c>
      <c r="B12" s="131">
        <f t="shared" si="0"/>
        <v>90</v>
      </c>
      <c r="C12" s="109">
        <f t="shared" si="1"/>
        <v>121442000</v>
      </c>
      <c r="D12" s="164">
        <v>2970000</v>
      </c>
      <c r="E12" s="196"/>
      <c r="F12" s="109"/>
      <c r="G12" s="174"/>
      <c r="H12" s="174"/>
      <c r="I12" s="175"/>
      <c r="K12" s="345"/>
      <c r="L12" s="355"/>
    </row>
    <row r="13" spans="1:12" ht="12.75">
      <c r="A13" s="107">
        <v>37894</v>
      </c>
      <c r="B13" s="131">
        <f t="shared" si="0"/>
        <v>2</v>
      </c>
      <c r="C13" s="109">
        <f t="shared" si="1"/>
        <v>121442000</v>
      </c>
      <c r="D13" s="164"/>
      <c r="E13" s="196">
        <v>0.0584</v>
      </c>
      <c r="F13" s="109">
        <v>1847937</v>
      </c>
      <c r="G13" s="174"/>
      <c r="H13" s="174"/>
      <c r="I13" s="175"/>
      <c r="K13" s="345">
        <v>1530160</v>
      </c>
      <c r="L13" s="355">
        <v>317777</v>
      </c>
    </row>
    <row r="14" spans="1:12" ht="12.75">
      <c r="A14" s="107">
        <v>37983</v>
      </c>
      <c r="B14" s="131">
        <f t="shared" si="0"/>
        <v>89</v>
      </c>
      <c r="C14" s="109">
        <f t="shared" si="1"/>
        <v>118480000</v>
      </c>
      <c r="D14" s="164">
        <v>2962000</v>
      </c>
      <c r="E14" s="196"/>
      <c r="F14" s="109"/>
      <c r="G14" s="174"/>
      <c r="H14" s="174"/>
      <c r="I14" s="175"/>
      <c r="K14" s="345"/>
      <c r="L14" s="355"/>
    </row>
    <row r="15" spans="1:12" ht="12.75">
      <c r="A15" s="168">
        <v>37986</v>
      </c>
      <c r="B15" s="121">
        <f t="shared" si="0"/>
        <v>3</v>
      </c>
      <c r="C15" s="201">
        <f t="shared" si="1"/>
        <v>118480000</v>
      </c>
      <c r="D15" s="169"/>
      <c r="E15" s="198">
        <v>0.057</v>
      </c>
      <c r="F15" s="109">
        <f>1489338+310105</f>
        <v>1799443</v>
      </c>
      <c r="G15" s="176">
        <f>SUM(F10:F15)</f>
        <v>5585131</v>
      </c>
      <c r="H15" s="176">
        <f>SUM(D10:D15)</f>
        <v>5932000</v>
      </c>
      <c r="I15" s="177">
        <f>SUM(G15:H15)</f>
        <v>11517131</v>
      </c>
      <c r="K15" s="345">
        <v>1489338</v>
      </c>
      <c r="L15" s="355">
        <v>310105</v>
      </c>
    </row>
    <row r="16" spans="1:12" ht="12.75">
      <c r="A16" s="126">
        <v>38074</v>
      </c>
      <c r="B16" s="135">
        <f t="shared" si="0"/>
        <v>88</v>
      </c>
      <c r="C16" s="164">
        <f t="shared" si="1"/>
        <v>115518000</v>
      </c>
      <c r="D16" s="164">
        <f>D14</f>
        <v>2962000</v>
      </c>
      <c r="E16" s="196"/>
      <c r="F16" s="56"/>
      <c r="G16" s="166"/>
      <c r="H16" s="166"/>
      <c r="I16" s="167"/>
      <c r="K16" s="341"/>
      <c r="L16" s="129"/>
    </row>
    <row r="17" spans="1:12" ht="12.75">
      <c r="A17" s="107">
        <v>38077</v>
      </c>
      <c r="B17" s="131">
        <f t="shared" si="0"/>
        <v>3</v>
      </c>
      <c r="C17" s="164">
        <f t="shared" si="1"/>
        <v>115518000</v>
      </c>
      <c r="D17" s="164"/>
      <c r="E17" s="196">
        <v>0.06</v>
      </c>
      <c r="F17" s="109">
        <v>1794972</v>
      </c>
      <c r="G17" s="174"/>
      <c r="H17" s="174"/>
      <c r="I17" s="175"/>
      <c r="K17" s="345">
        <v>1495645</v>
      </c>
      <c r="L17" s="355">
        <v>299327</v>
      </c>
    </row>
    <row r="18" spans="1:12" ht="12.75">
      <c r="A18" s="107">
        <v>38166</v>
      </c>
      <c r="B18" s="131">
        <f>A18-A17</f>
        <v>89</v>
      </c>
      <c r="C18" s="164">
        <f t="shared" si="1"/>
        <v>112556000</v>
      </c>
      <c r="D18" s="164">
        <f>D16</f>
        <v>2962000</v>
      </c>
      <c r="E18" s="196"/>
      <c r="F18" s="109"/>
      <c r="G18" s="174"/>
      <c r="H18" s="174"/>
      <c r="I18" s="175"/>
      <c r="K18" s="345"/>
      <c r="L18" s="355"/>
    </row>
    <row r="19" spans="1:12" ht="12.75">
      <c r="A19" s="107">
        <v>38168</v>
      </c>
      <c r="B19" s="131">
        <f t="shared" si="0"/>
        <v>2</v>
      </c>
      <c r="C19" s="164">
        <f t="shared" si="1"/>
        <v>112556000</v>
      </c>
      <c r="D19" s="164"/>
      <c r="E19" s="196">
        <v>0.06</v>
      </c>
      <c r="F19" s="109">
        <f>((C18+D18)*E19/360*B18)+((C19+D19)*E19/360*B19)-1</f>
        <v>1751034.6666666667</v>
      </c>
      <c r="G19" s="174"/>
      <c r="H19" s="174"/>
      <c r="I19" s="175"/>
      <c r="K19" s="345">
        <v>1459196</v>
      </c>
      <c r="L19" s="355">
        <v>291839</v>
      </c>
    </row>
    <row r="20" spans="1:12" ht="12.75">
      <c r="A20" s="107">
        <v>38258</v>
      </c>
      <c r="B20" s="131">
        <f t="shared" si="0"/>
        <v>90</v>
      </c>
      <c r="C20" s="164">
        <f t="shared" si="1"/>
        <v>109594000</v>
      </c>
      <c r="D20" s="164">
        <f>D18</f>
        <v>2962000</v>
      </c>
      <c r="E20" s="196"/>
      <c r="F20" s="109"/>
      <c r="G20" s="174"/>
      <c r="H20" s="174"/>
      <c r="I20" s="175"/>
      <c r="K20" s="345"/>
      <c r="L20" s="355"/>
    </row>
    <row r="21" spans="1:12" ht="12.75">
      <c r="A21" s="107">
        <v>38260</v>
      </c>
      <c r="B21" s="131">
        <f t="shared" si="0"/>
        <v>2</v>
      </c>
      <c r="C21" s="164">
        <f t="shared" si="1"/>
        <v>109594000</v>
      </c>
      <c r="D21" s="164"/>
      <c r="E21" s="196">
        <f>E19</f>
        <v>0.06</v>
      </c>
      <c r="F21" s="109">
        <f>((C20+D20)*E21/360*B20)+((C21+D21)*E21/360*B21)+1</f>
        <v>1724872.3333333333</v>
      </c>
      <c r="G21" s="174"/>
      <c r="H21" s="174"/>
      <c r="I21" s="175"/>
      <c r="K21" s="345">
        <v>1437393</v>
      </c>
      <c r="L21" s="355">
        <v>287479</v>
      </c>
    </row>
    <row r="22" spans="1:12" ht="12.75">
      <c r="A22" s="107">
        <v>38349</v>
      </c>
      <c r="B22" s="131">
        <f t="shared" si="0"/>
        <v>89</v>
      </c>
      <c r="C22" s="164">
        <f t="shared" si="1"/>
        <v>106632000</v>
      </c>
      <c r="D22" s="164">
        <f>D20</f>
        <v>2962000</v>
      </c>
      <c r="E22" s="196"/>
      <c r="F22" s="109"/>
      <c r="G22" s="174"/>
      <c r="H22" s="174"/>
      <c r="I22" s="175"/>
      <c r="K22" s="345"/>
      <c r="L22" s="355"/>
    </row>
    <row r="23" spans="1:12" ht="12.75">
      <c r="A23" s="168">
        <v>38352</v>
      </c>
      <c r="B23" s="131">
        <f t="shared" si="0"/>
        <v>3</v>
      </c>
      <c r="C23" s="197">
        <f t="shared" si="1"/>
        <v>106632000</v>
      </c>
      <c r="D23" s="169"/>
      <c r="E23" s="198">
        <v>0.0408</v>
      </c>
      <c r="F23" s="122">
        <v>1147538</v>
      </c>
      <c r="G23" s="176">
        <f>SUM(F16:F23)</f>
        <v>6418417</v>
      </c>
      <c r="H23" s="176">
        <f>SUM(D16:D23)</f>
        <v>11848000</v>
      </c>
      <c r="I23" s="177">
        <f>SUM(G23:H23)</f>
        <v>18266417</v>
      </c>
      <c r="K23" s="343">
        <v>867711</v>
      </c>
      <c r="L23" s="347">
        <v>279827</v>
      </c>
    </row>
    <row r="24" spans="1:12" ht="12.75">
      <c r="A24" s="126">
        <v>38440</v>
      </c>
      <c r="B24" s="199">
        <f t="shared" si="0"/>
        <v>88</v>
      </c>
      <c r="C24" s="56">
        <f t="shared" si="1"/>
        <v>103670000</v>
      </c>
      <c r="D24" s="164">
        <f>D22</f>
        <v>2962000</v>
      </c>
      <c r="E24" s="196"/>
      <c r="F24" s="164"/>
      <c r="G24" s="166"/>
      <c r="H24" s="166"/>
      <c r="I24" s="167"/>
      <c r="K24" s="345"/>
      <c r="L24" s="346"/>
    </row>
    <row r="25" spans="1:12" ht="12.75">
      <c r="A25" s="107">
        <v>38442</v>
      </c>
      <c r="B25" s="131">
        <f aca="true" t="shared" si="2" ref="B25:B73">A25-A24</f>
        <v>2</v>
      </c>
      <c r="C25" s="109">
        <f t="shared" si="1"/>
        <v>103670000</v>
      </c>
      <c r="D25" s="164"/>
      <c r="E25" s="196">
        <v>0.0244</v>
      </c>
      <c r="F25" s="109">
        <v>654911</v>
      </c>
      <c r="G25" s="174"/>
      <c r="H25" s="174"/>
      <c r="I25" s="175"/>
      <c r="K25" s="345">
        <v>388496</v>
      </c>
      <c r="L25" s="355">
        <v>266415</v>
      </c>
    </row>
    <row r="26" spans="1:12" ht="12.75">
      <c r="A26" s="107">
        <v>38473</v>
      </c>
      <c r="B26" s="131">
        <f>A26-A25</f>
        <v>31</v>
      </c>
      <c r="C26" s="109">
        <f>C25-D26</f>
        <v>103670000</v>
      </c>
      <c r="D26" s="164"/>
      <c r="E26" s="196">
        <v>0.0249</v>
      </c>
      <c r="F26" s="164"/>
      <c r="G26" s="174"/>
      <c r="H26" s="174"/>
      <c r="I26" s="175"/>
      <c r="K26" s="345"/>
      <c r="L26" s="346"/>
    </row>
    <row r="27" spans="1:12" ht="12.75">
      <c r="A27" s="107">
        <v>38531</v>
      </c>
      <c r="B27" s="131">
        <f>A27-A25</f>
        <v>89</v>
      </c>
      <c r="C27" s="109">
        <f>C25-D27</f>
        <v>100708000</v>
      </c>
      <c r="D27" s="164">
        <f>D24</f>
        <v>2962000</v>
      </c>
      <c r="E27" s="196"/>
      <c r="F27" s="164"/>
      <c r="G27" s="174"/>
      <c r="H27" s="174"/>
      <c r="I27" s="175"/>
      <c r="K27" s="345"/>
      <c r="L27" s="346"/>
    </row>
    <row r="28" spans="1:12" ht="12.75">
      <c r="A28" s="107">
        <v>38533</v>
      </c>
      <c r="B28" s="131">
        <f t="shared" si="2"/>
        <v>2</v>
      </c>
      <c r="C28" s="109">
        <f t="shared" si="1"/>
        <v>100708000</v>
      </c>
      <c r="D28" s="164"/>
      <c r="E28" s="196">
        <v>0.031</v>
      </c>
      <c r="F28" s="109">
        <f>SUM(K28:L28)</f>
        <v>859397</v>
      </c>
      <c r="G28" s="174"/>
      <c r="H28" s="174"/>
      <c r="I28" s="175"/>
      <c r="K28" s="345">
        <v>597507</v>
      </c>
      <c r="L28" s="355">
        <v>261890</v>
      </c>
    </row>
    <row r="29" spans="1:12" ht="12.75">
      <c r="A29" s="107">
        <v>38623</v>
      </c>
      <c r="B29" s="131">
        <f t="shared" si="2"/>
        <v>90</v>
      </c>
      <c r="C29" s="109">
        <f t="shared" si="1"/>
        <v>97746000</v>
      </c>
      <c r="D29" s="164">
        <f>D27</f>
        <v>2962000</v>
      </c>
      <c r="E29" s="196"/>
      <c r="F29" s="164"/>
      <c r="G29" s="174"/>
      <c r="H29" s="174"/>
      <c r="I29" s="175"/>
      <c r="K29" s="345"/>
      <c r="L29" s="346"/>
    </row>
    <row r="30" spans="1:12" ht="12.75">
      <c r="A30" s="107">
        <v>38625</v>
      </c>
      <c r="B30" s="131">
        <f t="shared" si="2"/>
        <v>2</v>
      </c>
      <c r="C30" s="109">
        <f>C29-D30</f>
        <v>97746000</v>
      </c>
      <c r="D30" s="164"/>
      <c r="E30" s="196">
        <v>0.038</v>
      </c>
      <c r="F30" s="109">
        <f>SUM(K30:L30)</f>
        <v>857462</v>
      </c>
      <c r="G30" s="174"/>
      <c r="H30" s="174"/>
      <c r="I30" s="175"/>
      <c r="K30" s="345">
        <v>600262</v>
      </c>
      <c r="L30" s="355">
        <v>257200</v>
      </c>
    </row>
    <row r="31" spans="1:12" ht="12.75">
      <c r="A31" s="107">
        <v>38714</v>
      </c>
      <c r="B31" s="131">
        <f t="shared" si="2"/>
        <v>89</v>
      </c>
      <c r="C31" s="109">
        <f t="shared" si="1"/>
        <v>94784000</v>
      </c>
      <c r="D31" s="164">
        <f>D29</f>
        <v>2962000</v>
      </c>
      <c r="E31" s="196"/>
      <c r="F31" s="164"/>
      <c r="G31" s="174"/>
      <c r="H31" s="174"/>
      <c r="I31" s="175"/>
      <c r="K31" s="345"/>
      <c r="L31" s="346"/>
    </row>
    <row r="32" spans="1:12" ht="12.75">
      <c r="A32" s="168">
        <v>38717</v>
      </c>
      <c r="B32" s="121">
        <f t="shared" si="2"/>
        <v>3</v>
      </c>
      <c r="C32" s="201">
        <f t="shared" si="1"/>
        <v>94784000</v>
      </c>
      <c r="D32" s="169"/>
      <c r="E32" s="198">
        <v>0.0288</v>
      </c>
      <c r="F32" s="109">
        <f>((C31+D31)*E32/360*B31)+((C32+D32)*E32/360*B32)</f>
        <v>718699.6799999999</v>
      </c>
      <c r="G32" s="176">
        <f>SUM(F24:F32)</f>
        <v>3090469.6799999997</v>
      </c>
      <c r="H32" s="176">
        <f>SUM(D24:D32)</f>
        <v>11848000</v>
      </c>
      <c r="I32" s="177">
        <f>SUM(G32:H32)</f>
        <v>14938469.68</v>
      </c>
      <c r="K32" s="345"/>
      <c r="L32" s="355"/>
    </row>
    <row r="33" spans="1:12" ht="12.75">
      <c r="A33" s="126">
        <v>38804</v>
      </c>
      <c r="B33" s="199">
        <f t="shared" si="2"/>
        <v>87</v>
      </c>
      <c r="C33" s="164">
        <f t="shared" si="1"/>
        <v>91822000</v>
      </c>
      <c r="D33" s="164">
        <f>D31</f>
        <v>2962000</v>
      </c>
      <c r="E33" s="196"/>
      <c r="F33" s="56"/>
      <c r="G33" s="166"/>
      <c r="H33" s="166"/>
      <c r="I33" s="167"/>
      <c r="K33" s="341"/>
      <c r="L33" s="129"/>
    </row>
    <row r="34" spans="1:12" ht="12.75">
      <c r="A34" s="107">
        <v>38807</v>
      </c>
      <c r="B34" s="131">
        <f t="shared" si="2"/>
        <v>3</v>
      </c>
      <c r="C34" s="164">
        <f t="shared" si="1"/>
        <v>91822000</v>
      </c>
      <c r="D34" s="164"/>
      <c r="E34" s="196">
        <f>E32</f>
        <v>0.0288</v>
      </c>
      <c r="F34" s="109">
        <f>((C33+D33)*E34/360*B33)+((C34+D34)*E34/360*B34)</f>
        <v>681733.9199999999</v>
      </c>
      <c r="G34" s="174"/>
      <c r="H34" s="174"/>
      <c r="I34" s="175"/>
      <c r="K34" s="345"/>
      <c r="L34" s="355"/>
    </row>
    <row r="35" spans="1:12" ht="12.75">
      <c r="A35" s="107">
        <v>38896</v>
      </c>
      <c r="B35" s="131">
        <f t="shared" si="2"/>
        <v>89</v>
      </c>
      <c r="C35" s="164">
        <f t="shared" si="1"/>
        <v>88860000</v>
      </c>
      <c r="D35" s="164">
        <f>D33</f>
        <v>2962000</v>
      </c>
      <c r="E35" s="196"/>
      <c r="F35" s="109"/>
      <c r="G35" s="174"/>
      <c r="H35" s="174"/>
      <c r="I35" s="175"/>
      <c r="K35" s="345"/>
      <c r="L35" s="355"/>
    </row>
    <row r="36" spans="1:12" ht="12.75">
      <c r="A36" s="107">
        <v>38898</v>
      </c>
      <c r="B36" s="131">
        <f t="shared" si="2"/>
        <v>2</v>
      </c>
      <c r="C36" s="164">
        <f t="shared" si="1"/>
        <v>88860000</v>
      </c>
      <c r="D36" s="164"/>
      <c r="E36" s="196">
        <f>E34</f>
        <v>0.0288</v>
      </c>
      <c r="F36" s="109">
        <f>((C35+D35)*E36/360*B35)+((C36+D36)*E36/360*B36)</f>
        <v>667990.24</v>
      </c>
      <c r="G36" s="174"/>
      <c r="H36" s="174"/>
      <c r="I36" s="175"/>
      <c r="K36" s="345"/>
      <c r="L36" s="355"/>
    </row>
    <row r="37" spans="1:12" ht="12.75">
      <c r="A37" s="107">
        <v>38988</v>
      </c>
      <c r="B37" s="131">
        <f t="shared" si="2"/>
        <v>90</v>
      </c>
      <c r="C37" s="164">
        <f t="shared" si="1"/>
        <v>85898000</v>
      </c>
      <c r="D37" s="164">
        <f>D35</f>
        <v>2962000</v>
      </c>
      <c r="E37" s="196"/>
      <c r="F37" s="109"/>
      <c r="G37" s="174"/>
      <c r="H37" s="174"/>
      <c r="I37" s="175"/>
      <c r="K37" s="345"/>
      <c r="L37" s="355"/>
    </row>
    <row r="38" spans="1:12" ht="12.75">
      <c r="A38" s="107">
        <v>38990</v>
      </c>
      <c r="B38" s="131">
        <f t="shared" si="2"/>
        <v>2</v>
      </c>
      <c r="C38" s="164">
        <f t="shared" si="1"/>
        <v>85898000</v>
      </c>
      <c r="D38" s="164"/>
      <c r="E38" s="196">
        <f>E36</f>
        <v>0.0288</v>
      </c>
      <c r="F38" s="109">
        <f>((C37+D37)*E38/360*B37)+((C38+D38)*E38/360*B38)</f>
        <v>653535.68</v>
      </c>
      <c r="G38" s="174"/>
      <c r="H38" s="174"/>
      <c r="I38" s="175"/>
      <c r="K38" s="345"/>
      <c r="L38" s="355"/>
    </row>
    <row r="39" spans="1:12" ht="12.75">
      <c r="A39" s="107">
        <v>39079</v>
      </c>
      <c r="B39" s="131">
        <f t="shared" si="2"/>
        <v>89</v>
      </c>
      <c r="C39" s="164">
        <f t="shared" si="1"/>
        <v>82936000</v>
      </c>
      <c r="D39" s="164">
        <f>D37</f>
        <v>2962000</v>
      </c>
      <c r="E39" s="196"/>
      <c r="F39" s="109"/>
      <c r="G39" s="174"/>
      <c r="H39" s="174"/>
      <c r="I39" s="175"/>
      <c r="K39" s="345"/>
      <c r="L39" s="355"/>
    </row>
    <row r="40" spans="1:12" ht="12.75">
      <c r="A40" s="168">
        <v>39082</v>
      </c>
      <c r="B40" s="121">
        <f t="shared" si="2"/>
        <v>3</v>
      </c>
      <c r="C40" s="197">
        <f t="shared" si="1"/>
        <v>82936000</v>
      </c>
      <c r="D40" s="169"/>
      <c r="E40" s="198">
        <f>E38</f>
        <v>0.0288</v>
      </c>
      <c r="F40" s="122">
        <f>((C39+D39)*E40/360*B39)+((C40+D40)*E40/360*B40)</f>
        <v>631498.4</v>
      </c>
      <c r="G40" s="176">
        <f>SUM(F33:F40)</f>
        <v>2634758.2399999998</v>
      </c>
      <c r="H40" s="176">
        <f>SUM(D33:D40)</f>
        <v>11848000</v>
      </c>
      <c r="I40" s="177">
        <f>SUM(G40:H40)</f>
        <v>14482758.24</v>
      </c>
      <c r="K40" s="343"/>
      <c r="L40" s="347"/>
    </row>
    <row r="41" spans="1:12" ht="12.75">
      <c r="A41" s="126">
        <v>39169</v>
      </c>
      <c r="B41" s="135">
        <f t="shared" si="2"/>
        <v>87</v>
      </c>
      <c r="C41" s="56">
        <f t="shared" si="1"/>
        <v>79974000</v>
      </c>
      <c r="D41" s="164">
        <f>D39</f>
        <v>2962000</v>
      </c>
      <c r="E41" s="196"/>
      <c r="F41" s="164"/>
      <c r="G41" s="166"/>
      <c r="H41" s="166"/>
      <c r="I41" s="167"/>
      <c r="K41" s="345"/>
      <c r="L41" s="346"/>
    </row>
    <row r="42" spans="1:12" ht="12.75">
      <c r="A42" s="107">
        <v>39172</v>
      </c>
      <c r="B42" s="131">
        <f t="shared" si="2"/>
        <v>3</v>
      </c>
      <c r="C42" s="109">
        <f>C41-D42</f>
        <v>79974000</v>
      </c>
      <c r="D42" s="164"/>
      <c r="E42" s="196">
        <f>E40</f>
        <v>0.0288</v>
      </c>
      <c r="F42" s="109">
        <f>((C41+D41)*E42/360*B41)+((C42+D42)*E42/360*B42)</f>
        <v>596428.32</v>
      </c>
      <c r="G42" s="174"/>
      <c r="H42" s="174"/>
      <c r="I42" s="175"/>
      <c r="K42" s="345"/>
      <c r="L42" s="355"/>
    </row>
    <row r="43" spans="1:12" ht="12.75">
      <c r="A43" s="107">
        <v>39261</v>
      </c>
      <c r="B43" s="131">
        <f t="shared" si="2"/>
        <v>89</v>
      </c>
      <c r="C43" s="109">
        <f t="shared" si="1"/>
        <v>77012000</v>
      </c>
      <c r="D43" s="164">
        <f>D41</f>
        <v>2962000</v>
      </c>
      <c r="E43" s="196"/>
      <c r="F43" s="164"/>
      <c r="G43" s="174"/>
      <c r="H43" s="174"/>
      <c r="I43" s="175"/>
      <c r="K43" s="345"/>
      <c r="L43" s="346"/>
    </row>
    <row r="44" spans="1:12" ht="12.75">
      <c r="A44" s="107">
        <v>39263</v>
      </c>
      <c r="B44" s="131">
        <f t="shared" si="2"/>
        <v>2</v>
      </c>
      <c r="C44" s="109">
        <f t="shared" si="1"/>
        <v>77012000</v>
      </c>
      <c r="D44" s="164"/>
      <c r="E44" s="196">
        <f>E42</f>
        <v>0.0288</v>
      </c>
      <c r="F44" s="109">
        <f>((C43+D43)*E44/360*B43)+((C44+D44)*E44/360*B44)</f>
        <v>581736.7999999999</v>
      </c>
      <c r="G44" s="174"/>
      <c r="H44" s="174"/>
      <c r="I44" s="175"/>
      <c r="K44" s="345"/>
      <c r="L44" s="355"/>
    </row>
    <row r="45" spans="1:12" ht="12.75">
      <c r="A45" s="107">
        <v>39353</v>
      </c>
      <c r="B45" s="131">
        <f t="shared" si="2"/>
        <v>90</v>
      </c>
      <c r="C45" s="109">
        <f t="shared" si="1"/>
        <v>74050000</v>
      </c>
      <c r="D45" s="164">
        <f>D43</f>
        <v>2962000</v>
      </c>
      <c r="E45" s="196"/>
      <c r="F45" s="164"/>
      <c r="G45" s="174"/>
      <c r="H45" s="174"/>
      <c r="I45" s="175"/>
      <c r="K45" s="345"/>
      <c r="L45" s="346"/>
    </row>
    <row r="46" spans="1:12" ht="12.75">
      <c r="A46" s="107">
        <v>39355</v>
      </c>
      <c r="B46" s="131">
        <f t="shared" si="2"/>
        <v>2</v>
      </c>
      <c r="C46" s="109">
        <f t="shared" si="1"/>
        <v>74050000</v>
      </c>
      <c r="D46" s="164"/>
      <c r="E46" s="196">
        <f>E44</f>
        <v>0.0288</v>
      </c>
      <c r="F46" s="109">
        <f>((C45+D45)*E46/360*B45)+((C46+D46)*E46/360*B46)</f>
        <v>566334.4</v>
      </c>
      <c r="G46" s="174"/>
      <c r="H46" s="174"/>
      <c r="I46" s="175"/>
      <c r="K46" s="345"/>
      <c r="L46" s="355"/>
    </row>
    <row r="47" spans="1:12" ht="12.75">
      <c r="A47" s="107">
        <v>39444</v>
      </c>
      <c r="B47" s="131">
        <f t="shared" si="2"/>
        <v>89</v>
      </c>
      <c r="C47" s="109">
        <f t="shared" si="1"/>
        <v>71088000</v>
      </c>
      <c r="D47" s="164">
        <f>D45</f>
        <v>2962000</v>
      </c>
      <c r="E47" s="196"/>
      <c r="F47" s="164"/>
      <c r="G47" s="174"/>
      <c r="H47" s="174"/>
      <c r="I47" s="175"/>
      <c r="K47" s="345"/>
      <c r="L47" s="346"/>
    </row>
    <row r="48" spans="1:12" ht="12.75">
      <c r="A48" s="168">
        <v>39447</v>
      </c>
      <c r="B48" s="131">
        <f t="shared" si="2"/>
        <v>3</v>
      </c>
      <c r="C48" s="201">
        <f t="shared" si="1"/>
        <v>71088000</v>
      </c>
      <c r="D48" s="169"/>
      <c r="E48" s="198">
        <f>E46</f>
        <v>0.0288</v>
      </c>
      <c r="F48" s="109">
        <f>((C47+D47)*E48/360*B47)+((C48+D48)*E48/360*B48)</f>
        <v>544297.12</v>
      </c>
      <c r="G48" s="176">
        <f>SUM(F41:F48)</f>
        <v>2288796.64</v>
      </c>
      <c r="H48" s="176">
        <f>SUM(D41:D48)</f>
        <v>11848000</v>
      </c>
      <c r="I48" s="177">
        <f>SUM(G48:H48)</f>
        <v>14136796.64</v>
      </c>
      <c r="K48" s="345"/>
      <c r="L48" s="355"/>
    </row>
    <row r="49" spans="1:12" ht="12.75">
      <c r="A49" s="126">
        <v>39535</v>
      </c>
      <c r="B49" s="199">
        <f t="shared" si="2"/>
        <v>88</v>
      </c>
      <c r="C49" s="164">
        <f t="shared" si="1"/>
        <v>68126000</v>
      </c>
      <c r="D49" s="164">
        <f>D47</f>
        <v>2962000</v>
      </c>
      <c r="E49" s="196"/>
      <c r="F49" s="56"/>
      <c r="G49" s="166"/>
      <c r="H49" s="166"/>
      <c r="I49" s="167"/>
      <c r="K49" s="341"/>
      <c r="L49" s="129"/>
    </row>
    <row r="50" spans="1:12" ht="12.75">
      <c r="A50" s="107">
        <v>39538</v>
      </c>
      <c r="B50" s="131">
        <f t="shared" si="2"/>
        <v>3</v>
      </c>
      <c r="C50" s="164">
        <f t="shared" si="1"/>
        <v>68126000</v>
      </c>
      <c r="D50" s="164"/>
      <c r="E50" s="196">
        <f>E48</f>
        <v>0.0288</v>
      </c>
      <c r="F50" s="109">
        <f>((C49+D49)*E50/360*B49)+((C50+D50)*E50/360*B50)</f>
        <v>516809.76</v>
      </c>
      <c r="G50" s="174"/>
      <c r="H50" s="174"/>
      <c r="I50" s="175"/>
      <c r="K50" s="345"/>
      <c r="L50" s="355"/>
    </row>
    <row r="51" spans="1:12" ht="12.75">
      <c r="A51" s="107">
        <v>39627</v>
      </c>
      <c r="B51" s="131">
        <f t="shared" si="2"/>
        <v>89</v>
      </c>
      <c r="C51" s="164">
        <f t="shared" si="1"/>
        <v>65164000</v>
      </c>
      <c r="D51" s="164">
        <f>D49</f>
        <v>2962000</v>
      </c>
      <c r="E51" s="196"/>
      <c r="F51" s="109"/>
      <c r="G51" s="174"/>
      <c r="H51" s="174"/>
      <c r="I51" s="175"/>
      <c r="K51" s="345"/>
      <c r="L51" s="355"/>
    </row>
    <row r="52" spans="1:12" ht="12.75">
      <c r="A52" s="107">
        <v>39629</v>
      </c>
      <c r="B52" s="131">
        <f t="shared" si="2"/>
        <v>2</v>
      </c>
      <c r="C52" s="164">
        <f t="shared" si="1"/>
        <v>65164000</v>
      </c>
      <c r="D52" s="164"/>
      <c r="E52" s="196">
        <f>E50</f>
        <v>0.0288</v>
      </c>
      <c r="F52" s="109">
        <f>((C51+D51)*E52/360*B51)+((C52+D52)*E52/360*B52)</f>
        <v>495483.36</v>
      </c>
      <c r="G52" s="174"/>
      <c r="H52" s="174"/>
      <c r="I52" s="175"/>
      <c r="K52" s="345"/>
      <c r="L52" s="355"/>
    </row>
    <row r="53" spans="1:12" ht="12.75">
      <c r="A53" s="107">
        <v>39719</v>
      </c>
      <c r="B53" s="131">
        <f t="shared" si="2"/>
        <v>90</v>
      </c>
      <c r="C53" s="164">
        <f>C52-D53</f>
        <v>62202000</v>
      </c>
      <c r="D53" s="164">
        <f>D51</f>
        <v>2962000</v>
      </c>
      <c r="E53" s="196"/>
      <c r="F53" s="109"/>
      <c r="G53" s="174"/>
      <c r="H53" s="174"/>
      <c r="I53" s="175"/>
      <c r="K53" s="345"/>
      <c r="L53" s="355"/>
    </row>
    <row r="54" spans="1:12" ht="12.75">
      <c r="A54" s="113">
        <v>39721</v>
      </c>
      <c r="B54" s="114">
        <f t="shared" si="2"/>
        <v>2</v>
      </c>
      <c r="C54" s="180">
        <f t="shared" si="1"/>
        <v>62202000</v>
      </c>
      <c r="D54" s="180"/>
      <c r="E54" s="202">
        <f>E52</f>
        <v>0.0288</v>
      </c>
      <c r="F54" s="55">
        <f>((C53+D53)*E54/360*B53)+((C54+D54)*E54/360*B54)</f>
        <v>479133.12</v>
      </c>
      <c r="G54" s="181"/>
      <c r="H54" s="181"/>
      <c r="I54" s="182"/>
      <c r="K54" s="348"/>
      <c r="L54" s="119"/>
    </row>
    <row r="55" spans="1:12" ht="12.75">
      <c r="A55" s="113">
        <v>39810</v>
      </c>
      <c r="B55" s="114">
        <f t="shared" si="2"/>
        <v>89</v>
      </c>
      <c r="C55" s="180">
        <f t="shared" si="1"/>
        <v>59240000</v>
      </c>
      <c r="D55" s="180">
        <f>D53</f>
        <v>2962000</v>
      </c>
      <c r="E55" s="202"/>
      <c r="F55" s="55"/>
      <c r="G55" s="181"/>
      <c r="H55" s="181"/>
      <c r="I55" s="182"/>
      <c r="K55" s="348"/>
      <c r="L55" s="119"/>
    </row>
    <row r="56" spans="1:12" ht="12.75">
      <c r="A56" s="120">
        <v>39813</v>
      </c>
      <c r="B56" s="121">
        <f t="shared" si="2"/>
        <v>3</v>
      </c>
      <c r="C56" s="170">
        <f t="shared" si="1"/>
        <v>59240000</v>
      </c>
      <c r="D56" s="170"/>
      <c r="E56" s="203">
        <f>E54</f>
        <v>0.0288</v>
      </c>
      <c r="F56" s="122">
        <f>((C55+D55)*E56/360*B55)+((C56+D56)*E56/360*B56)</f>
        <v>457095.83999999997</v>
      </c>
      <c r="G56" s="171">
        <f>SUM(F49:F56)</f>
        <v>1948522.08</v>
      </c>
      <c r="H56" s="171">
        <f>SUM(D49:D56)</f>
        <v>11848000</v>
      </c>
      <c r="I56" s="172">
        <f>SUM(G56:H56)</f>
        <v>13796522.08</v>
      </c>
      <c r="K56" s="343"/>
      <c r="L56" s="347"/>
    </row>
    <row r="57" spans="1:12" ht="12.75">
      <c r="A57" s="126">
        <v>39900</v>
      </c>
      <c r="B57" s="127">
        <f t="shared" si="2"/>
        <v>87</v>
      </c>
      <c r="C57" s="56">
        <f t="shared" si="1"/>
        <v>56278000</v>
      </c>
      <c r="D57" s="165">
        <f>D55</f>
        <v>2962000</v>
      </c>
      <c r="E57" s="200"/>
      <c r="F57" s="165"/>
      <c r="G57" s="166"/>
      <c r="H57" s="166"/>
      <c r="I57" s="167"/>
      <c r="K57" s="341"/>
      <c r="L57" s="342"/>
    </row>
    <row r="58" spans="1:12" ht="12.75">
      <c r="A58" s="107">
        <v>39903</v>
      </c>
      <c r="B58" s="131">
        <f t="shared" si="2"/>
        <v>3</v>
      </c>
      <c r="C58" s="109">
        <f t="shared" si="1"/>
        <v>56278000</v>
      </c>
      <c r="D58" s="164"/>
      <c r="E58" s="196">
        <f>E56</f>
        <v>0.0288</v>
      </c>
      <c r="F58" s="109">
        <f>((C57+D57)*E58/360*B57)+((C58+D58)*E58/360*B58)</f>
        <v>425817.11999999994</v>
      </c>
      <c r="G58" s="174"/>
      <c r="H58" s="174"/>
      <c r="I58" s="175"/>
      <c r="K58" s="345"/>
      <c r="L58" s="355"/>
    </row>
    <row r="59" spans="1:12" ht="12.75">
      <c r="A59" s="107">
        <v>39992</v>
      </c>
      <c r="B59" s="131">
        <f t="shared" si="2"/>
        <v>89</v>
      </c>
      <c r="C59" s="109">
        <f t="shared" si="1"/>
        <v>53316000</v>
      </c>
      <c r="D59" s="164">
        <f>D57</f>
        <v>2962000</v>
      </c>
      <c r="E59" s="196"/>
      <c r="F59" s="164"/>
      <c r="G59" s="174"/>
      <c r="H59" s="174"/>
      <c r="I59" s="175"/>
      <c r="K59" s="345"/>
      <c r="L59" s="346"/>
    </row>
    <row r="60" spans="1:12" ht="12.75">
      <c r="A60" s="107">
        <v>39994</v>
      </c>
      <c r="B60" s="131">
        <f t="shared" si="2"/>
        <v>2</v>
      </c>
      <c r="C60" s="109">
        <f t="shared" si="1"/>
        <v>53316000</v>
      </c>
      <c r="D60" s="164"/>
      <c r="E60" s="196">
        <f>E58</f>
        <v>0.0288</v>
      </c>
      <c r="F60" s="109">
        <f>((C59+D59)*E60/360*B59)+((C60+D60)*E60/360*B60)</f>
        <v>409229.92</v>
      </c>
      <c r="G60" s="174"/>
      <c r="H60" s="174"/>
      <c r="I60" s="175"/>
      <c r="K60" s="345"/>
      <c r="L60" s="355"/>
    </row>
    <row r="61" spans="1:12" ht="12.75">
      <c r="A61" s="107">
        <v>40084</v>
      </c>
      <c r="B61" s="131">
        <f t="shared" si="2"/>
        <v>90</v>
      </c>
      <c r="C61" s="109">
        <f t="shared" si="1"/>
        <v>50354000</v>
      </c>
      <c r="D61" s="164">
        <f>D59</f>
        <v>2962000</v>
      </c>
      <c r="E61" s="196"/>
      <c r="F61" s="164"/>
      <c r="G61" s="174"/>
      <c r="H61" s="174"/>
      <c r="I61" s="175"/>
      <c r="K61" s="345"/>
      <c r="L61" s="346"/>
    </row>
    <row r="62" spans="1:12" ht="12.75">
      <c r="A62" s="107">
        <v>40086</v>
      </c>
      <c r="B62" s="131">
        <f t="shared" si="2"/>
        <v>2</v>
      </c>
      <c r="C62" s="109">
        <f t="shared" si="1"/>
        <v>50354000</v>
      </c>
      <c r="D62" s="164"/>
      <c r="E62" s="196">
        <f>E60</f>
        <v>0.0288</v>
      </c>
      <c r="F62" s="109">
        <f>((C61+D61)*E62/360*B61)+((C62+D62)*E62/360*B62)</f>
        <v>391931.83999999997</v>
      </c>
      <c r="G62" s="174"/>
      <c r="H62" s="174"/>
      <c r="I62" s="175"/>
      <c r="K62" s="345"/>
      <c r="L62" s="355"/>
    </row>
    <row r="63" spans="1:12" ht="12.75">
      <c r="A63" s="107">
        <v>40175</v>
      </c>
      <c r="B63" s="131">
        <f t="shared" si="2"/>
        <v>89</v>
      </c>
      <c r="C63" s="109">
        <f t="shared" si="1"/>
        <v>47392000</v>
      </c>
      <c r="D63" s="164">
        <f>D61</f>
        <v>2962000</v>
      </c>
      <c r="E63" s="196"/>
      <c r="F63" s="164"/>
      <c r="G63" s="174"/>
      <c r="H63" s="174"/>
      <c r="I63" s="175"/>
      <c r="K63" s="345"/>
      <c r="L63" s="346"/>
    </row>
    <row r="64" spans="1:12" ht="12.75">
      <c r="A64" s="168">
        <v>40178</v>
      </c>
      <c r="B64" s="131">
        <f t="shared" si="2"/>
        <v>3</v>
      </c>
      <c r="C64" s="201">
        <f t="shared" si="1"/>
        <v>47392000</v>
      </c>
      <c r="D64" s="169"/>
      <c r="E64" s="198">
        <f>E62</f>
        <v>0.0288</v>
      </c>
      <c r="F64" s="109">
        <f>((C63+D63)*E64/360*B63)+((C64+D64)*E64/360*B64)</f>
        <v>369894.56</v>
      </c>
      <c r="G64" s="176">
        <f>SUM(F57:F64)</f>
        <v>1596873.44</v>
      </c>
      <c r="H64" s="176">
        <f>SUM(D57:D64)</f>
        <v>11848000</v>
      </c>
      <c r="I64" s="177">
        <f>SUM(G64:H64)</f>
        <v>13444873.44</v>
      </c>
      <c r="K64" s="345"/>
      <c r="L64" s="355"/>
    </row>
    <row r="65" spans="1:12" ht="12.75">
      <c r="A65" s="126">
        <v>40265</v>
      </c>
      <c r="B65" s="199">
        <f t="shared" si="2"/>
        <v>87</v>
      </c>
      <c r="C65" s="164">
        <f t="shared" si="1"/>
        <v>44430000</v>
      </c>
      <c r="D65" s="164">
        <f>D63</f>
        <v>2962000</v>
      </c>
      <c r="E65" s="196"/>
      <c r="F65" s="56"/>
      <c r="G65" s="166"/>
      <c r="H65" s="166"/>
      <c r="I65" s="167"/>
      <c r="K65" s="341"/>
      <c r="L65" s="129"/>
    </row>
    <row r="66" spans="1:12" ht="12.75">
      <c r="A66" s="107">
        <v>40268</v>
      </c>
      <c r="B66" s="131">
        <f t="shared" si="2"/>
        <v>3</v>
      </c>
      <c r="C66" s="164">
        <f t="shared" si="1"/>
        <v>44430000</v>
      </c>
      <c r="D66" s="164"/>
      <c r="E66" s="196">
        <f>E64</f>
        <v>0.0288</v>
      </c>
      <c r="F66" s="109">
        <f>((C65+D65)*E66/360*B65)+((C66+D66)*E66/360*B66)</f>
        <v>340511.51999999996</v>
      </c>
      <c r="G66" s="174"/>
      <c r="H66" s="174"/>
      <c r="I66" s="175"/>
      <c r="K66" s="345"/>
      <c r="L66" s="355"/>
    </row>
    <row r="67" spans="1:12" ht="12.75">
      <c r="A67" s="107">
        <v>40357</v>
      </c>
      <c r="B67" s="131">
        <f t="shared" si="2"/>
        <v>89</v>
      </c>
      <c r="C67" s="164">
        <f t="shared" si="1"/>
        <v>41468000</v>
      </c>
      <c r="D67" s="164">
        <f>D65</f>
        <v>2962000</v>
      </c>
      <c r="E67" s="196"/>
      <c r="F67" s="109"/>
      <c r="G67" s="174"/>
      <c r="H67" s="174"/>
      <c r="I67" s="175"/>
      <c r="K67" s="345"/>
      <c r="L67" s="355"/>
    </row>
    <row r="68" spans="1:12" ht="12.75">
      <c r="A68" s="107">
        <v>40359</v>
      </c>
      <c r="B68" s="131">
        <f t="shared" si="2"/>
        <v>2</v>
      </c>
      <c r="C68" s="164">
        <f t="shared" si="1"/>
        <v>41468000</v>
      </c>
      <c r="D68" s="164"/>
      <c r="E68" s="196">
        <f>E66</f>
        <v>0.0288</v>
      </c>
      <c r="F68" s="109">
        <f>((C67+D67)*E68/360*B67)+((C68+D68)*E68/360*B68)</f>
        <v>322976.48000000004</v>
      </c>
      <c r="G68" s="174"/>
      <c r="H68" s="174"/>
      <c r="I68" s="175"/>
      <c r="K68" s="345"/>
      <c r="L68" s="355"/>
    </row>
    <row r="69" spans="1:12" ht="12.75">
      <c r="A69" s="107">
        <v>40449</v>
      </c>
      <c r="B69" s="131">
        <f t="shared" si="2"/>
        <v>90</v>
      </c>
      <c r="C69" s="164">
        <f>C68-D69</f>
        <v>38506000</v>
      </c>
      <c r="D69" s="164">
        <f>D67</f>
        <v>2962000</v>
      </c>
      <c r="E69" s="196"/>
      <c r="F69" s="109"/>
      <c r="G69" s="174"/>
      <c r="H69" s="174"/>
      <c r="I69" s="175"/>
      <c r="K69" s="345"/>
      <c r="L69" s="355"/>
    </row>
    <row r="70" spans="1:12" ht="12.75">
      <c r="A70" s="107">
        <v>40451</v>
      </c>
      <c r="B70" s="131">
        <f t="shared" si="2"/>
        <v>2</v>
      </c>
      <c r="C70" s="164">
        <f t="shared" si="1"/>
        <v>38506000</v>
      </c>
      <c r="D70" s="164"/>
      <c r="E70" s="196">
        <f>E68</f>
        <v>0.0288</v>
      </c>
      <c r="F70" s="109">
        <f>((C69+D69)*E70/360*B69)+((C70+D70)*E70/360*B70)</f>
        <v>304730.56</v>
      </c>
      <c r="G70" s="174"/>
      <c r="H70" s="174"/>
      <c r="I70" s="175"/>
      <c r="K70" s="345"/>
      <c r="L70" s="355"/>
    </row>
    <row r="71" spans="1:12" ht="12.75">
      <c r="A71" s="107">
        <v>40540</v>
      </c>
      <c r="B71" s="131">
        <f t="shared" si="2"/>
        <v>89</v>
      </c>
      <c r="C71" s="164">
        <f t="shared" si="1"/>
        <v>35544000</v>
      </c>
      <c r="D71" s="164">
        <f>D69</f>
        <v>2962000</v>
      </c>
      <c r="E71" s="196"/>
      <c r="F71" s="109"/>
      <c r="G71" s="174"/>
      <c r="H71" s="174"/>
      <c r="I71" s="175"/>
      <c r="K71" s="345"/>
      <c r="L71" s="355"/>
    </row>
    <row r="72" spans="1:12" ht="12.75">
      <c r="A72" s="120">
        <v>40543</v>
      </c>
      <c r="B72" s="121">
        <f t="shared" si="2"/>
        <v>3</v>
      </c>
      <c r="C72" s="170">
        <f t="shared" si="1"/>
        <v>35544000</v>
      </c>
      <c r="D72" s="170"/>
      <c r="E72" s="203">
        <f>E70</f>
        <v>0.0288</v>
      </c>
      <c r="F72" s="122">
        <f>((C71+D71)*E72/360*B71)+((C72+D72)*E72/360*B72)</f>
        <v>282693.28</v>
      </c>
      <c r="G72" s="171">
        <f>SUM(F65:F72)</f>
        <v>1250911.84</v>
      </c>
      <c r="H72" s="171">
        <f>SUM(D65:D72)</f>
        <v>11848000</v>
      </c>
      <c r="I72" s="172">
        <f>SUM(G72:H72)</f>
        <v>13098911.84</v>
      </c>
      <c r="K72" s="343"/>
      <c r="L72" s="347"/>
    </row>
    <row r="73" spans="1:12" ht="12.75">
      <c r="A73" s="126">
        <v>40630</v>
      </c>
      <c r="B73" s="127">
        <f t="shared" si="2"/>
        <v>87</v>
      </c>
      <c r="C73" s="56">
        <f t="shared" si="1"/>
        <v>32582000</v>
      </c>
      <c r="D73" s="165">
        <f>D71</f>
        <v>2962000</v>
      </c>
      <c r="E73" s="200"/>
      <c r="F73" s="165"/>
      <c r="G73" s="166"/>
      <c r="H73" s="166"/>
      <c r="I73" s="167"/>
      <c r="K73" s="341"/>
      <c r="L73" s="342"/>
    </row>
    <row r="74" spans="1:12" ht="12.75">
      <c r="A74" s="107">
        <v>40633</v>
      </c>
      <c r="B74" s="131">
        <f aca="true" t="shared" si="3" ref="B74:B95">A74-A73</f>
        <v>3</v>
      </c>
      <c r="C74" s="109">
        <f t="shared" si="1"/>
        <v>32582000</v>
      </c>
      <c r="D74" s="164"/>
      <c r="E74" s="196">
        <f>E72</f>
        <v>0.0288</v>
      </c>
      <c r="F74" s="109">
        <f>((C73+D73)*E74/360*B73)+((C74+D74)*E74/360*B74)</f>
        <v>255205.91999999998</v>
      </c>
      <c r="G74" s="174"/>
      <c r="H74" s="174"/>
      <c r="I74" s="175"/>
      <c r="K74" s="345"/>
      <c r="L74" s="355"/>
    </row>
    <row r="75" spans="1:12" ht="12.75">
      <c r="A75" s="107">
        <v>40722</v>
      </c>
      <c r="B75" s="131">
        <f t="shared" si="3"/>
        <v>89</v>
      </c>
      <c r="C75" s="109">
        <f aca="true" t="shared" si="4" ref="C75:C83">C74-D75</f>
        <v>29620000</v>
      </c>
      <c r="D75" s="164">
        <f>D73</f>
        <v>2962000</v>
      </c>
      <c r="E75" s="196"/>
      <c r="F75" s="164"/>
      <c r="G75" s="174"/>
      <c r="H75" s="174"/>
      <c r="I75" s="175"/>
      <c r="K75" s="345"/>
      <c r="L75" s="346"/>
    </row>
    <row r="76" spans="1:12" ht="12.75">
      <c r="A76" s="107">
        <v>40724</v>
      </c>
      <c r="B76" s="131">
        <f t="shared" si="3"/>
        <v>2</v>
      </c>
      <c r="C76" s="109">
        <f t="shared" si="4"/>
        <v>29620000</v>
      </c>
      <c r="D76" s="164"/>
      <c r="E76" s="196">
        <f>E74</f>
        <v>0.0288</v>
      </c>
      <c r="F76" s="109">
        <f>((C75+D75)*E76/360*B75)+((C76+D76)*E76/360*B76)</f>
        <v>236723.04</v>
      </c>
      <c r="G76" s="174"/>
      <c r="H76" s="174"/>
      <c r="I76" s="175"/>
      <c r="K76" s="345"/>
      <c r="L76" s="355"/>
    </row>
    <row r="77" spans="1:12" ht="12.75">
      <c r="A77" s="107">
        <v>40814</v>
      </c>
      <c r="B77" s="131">
        <f t="shared" si="3"/>
        <v>90</v>
      </c>
      <c r="C77" s="109">
        <f t="shared" si="4"/>
        <v>26658000</v>
      </c>
      <c r="D77" s="164">
        <f>D75</f>
        <v>2962000</v>
      </c>
      <c r="E77" s="196"/>
      <c r="F77" s="164"/>
      <c r="G77" s="174"/>
      <c r="H77" s="174"/>
      <c r="I77" s="175"/>
      <c r="K77" s="345"/>
      <c r="L77" s="346"/>
    </row>
    <row r="78" spans="1:12" ht="12.75">
      <c r="A78" s="107">
        <v>40816</v>
      </c>
      <c r="B78" s="131">
        <f t="shared" si="3"/>
        <v>2</v>
      </c>
      <c r="C78" s="109">
        <f t="shared" si="4"/>
        <v>26658000</v>
      </c>
      <c r="D78" s="164"/>
      <c r="E78" s="196">
        <f>E76</f>
        <v>0.0288</v>
      </c>
      <c r="F78" s="109">
        <f>((C77+D77)*E78/360*B77)+((C78+D78)*E78/360*B78)</f>
        <v>217529.28</v>
      </c>
      <c r="G78" s="174"/>
      <c r="H78" s="174"/>
      <c r="I78" s="175"/>
      <c r="K78" s="345"/>
      <c r="L78" s="355"/>
    </row>
    <row r="79" spans="1:12" ht="12.75">
      <c r="A79" s="107">
        <v>40905</v>
      </c>
      <c r="B79" s="131">
        <f t="shared" si="3"/>
        <v>89</v>
      </c>
      <c r="C79" s="109">
        <f t="shared" si="4"/>
        <v>23696000</v>
      </c>
      <c r="D79" s="164">
        <f>D77</f>
        <v>2962000</v>
      </c>
      <c r="E79" s="196"/>
      <c r="F79" s="164"/>
      <c r="G79" s="174"/>
      <c r="H79" s="174"/>
      <c r="I79" s="175"/>
      <c r="K79" s="345"/>
      <c r="L79" s="346"/>
    </row>
    <row r="80" spans="1:12" ht="12.75">
      <c r="A80" s="168">
        <v>40908</v>
      </c>
      <c r="B80" s="131">
        <f t="shared" si="3"/>
        <v>3</v>
      </c>
      <c r="C80" s="201">
        <f t="shared" si="4"/>
        <v>23696000</v>
      </c>
      <c r="D80" s="169"/>
      <c r="E80" s="198">
        <f>E78</f>
        <v>0.0288</v>
      </c>
      <c r="F80" s="109">
        <f>((C79+D79)*E80/360*B79)+((C80+D80)*E80/360*B80)</f>
        <v>195492</v>
      </c>
      <c r="G80" s="176">
        <f>SUM(F73:F80)</f>
        <v>904950.24</v>
      </c>
      <c r="H80" s="176">
        <f>SUM(D73:D80)</f>
        <v>11848000</v>
      </c>
      <c r="I80" s="177">
        <f>SUM(G80:H80)</f>
        <v>12752950.24</v>
      </c>
      <c r="K80" s="345"/>
      <c r="L80" s="355"/>
    </row>
    <row r="81" spans="1:12" ht="12.75">
      <c r="A81" s="126">
        <v>40996</v>
      </c>
      <c r="B81" s="199">
        <f t="shared" si="3"/>
        <v>88</v>
      </c>
      <c r="C81" s="56">
        <f t="shared" si="4"/>
        <v>20734000</v>
      </c>
      <c r="D81" s="164">
        <f>D79</f>
        <v>2962000</v>
      </c>
      <c r="E81" s="196"/>
      <c r="F81" s="56"/>
      <c r="G81" s="166"/>
      <c r="H81" s="166"/>
      <c r="I81" s="167"/>
      <c r="K81" s="341"/>
      <c r="L81" s="129"/>
    </row>
    <row r="82" spans="1:12" ht="12.75">
      <c r="A82" s="107">
        <v>40999</v>
      </c>
      <c r="B82" s="131">
        <f t="shared" si="3"/>
        <v>3</v>
      </c>
      <c r="C82" s="109">
        <f t="shared" si="4"/>
        <v>20734000</v>
      </c>
      <c r="D82" s="164"/>
      <c r="E82" s="196">
        <f>E80</f>
        <v>0.0288</v>
      </c>
      <c r="F82" s="109">
        <f>((C81+D81)*E82/360*B81)+((C82+D82)*E82/360*B82)</f>
        <v>171796</v>
      </c>
      <c r="G82" s="174"/>
      <c r="H82" s="174"/>
      <c r="I82" s="175"/>
      <c r="K82" s="345"/>
      <c r="L82" s="355"/>
    </row>
    <row r="83" spans="1:12" ht="12.75">
      <c r="A83" s="107">
        <v>41088</v>
      </c>
      <c r="B83" s="131">
        <f t="shared" si="3"/>
        <v>89</v>
      </c>
      <c r="C83" s="109">
        <f t="shared" si="4"/>
        <v>17772000</v>
      </c>
      <c r="D83" s="164">
        <f>D81</f>
        <v>2962000</v>
      </c>
      <c r="E83" s="196"/>
      <c r="F83" s="109"/>
      <c r="G83" s="174"/>
      <c r="H83" s="174"/>
      <c r="I83" s="175"/>
      <c r="K83" s="345"/>
      <c r="L83" s="355"/>
    </row>
    <row r="84" spans="1:12" ht="12.75">
      <c r="A84" s="107">
        <v>41090</v>
      </c>
      <c r="B84" s="131">
        <f t="shared" si="3"/>
        <v>2</v>
      </c>
      <c r="C84" s="109">
        <f>C83-D84</f>
        <v>17772000</v>
      </c>
      <c r="D84" s="164"/>
      <c r="E84" s="196">
        <f>E82</f>
        <v>0.0288</v>
      </c>
      <c r="F84" s="109">
        <f>((C83+D83)*E84/360*B83)+((C84+D84)*E84/360*B84)</f>
        <v>150469.59999999998</v>
      </c>
      <c r="G84" s="174"/>
      <c r="H84" s="174"/>
      <c r="I84" s="175"/>
      <c r="K84" s="345"/>
      <c r="L84" s="355"/>
    </row>
    <row r="85" spans="1:12" ht="12.75">
      <c r="A85" s="107">
        <v>41180</v>
      </c>
      <c r="B85" s="131">
        <f t="shared" si="3"/>
        <v>90</v>
      </c>
      <c r="C85" s="109">
        <f aca="true" t="shared" si="5" ref="C85:C95">C84-D85</f>
        <v>14810000</v>
      </c>
      <c r="D85" s="164">
        <f>D83</f>
        <v>2962000</v>
      </c>
      <c r="E85" s="196"/>
      <c r="F85" s="109"/>
      <c r="G85" s="174"/>
      <c r="H85" s="174"/>
      <c r="I85" s="175"/>
      <c r="K85" s="345"/>
      <c r="L85" s="355"/>
    </row>
    <row r="86" spans="1:12" ht="12.75">
      <c r="A86" s="107">
        <v>41182</v>
      </c>
      <c r="B86" s="131">
        <f t="shared" si="3"/>
        <v>2</v>
      </c>
      <c r="C86" s="109">
        <f t="shared" si="5"/>
        <v>14810000</v>
      </c>
      <c r="D86" s="164"/>
      <c r="E86" s="196">
        <f>E84</f>
        <v>0.0288</v>
      </c>
      <c r="F86" s="109">
        <f>((C85+D85)*E86/360*B85)+((C86+D86)*E86/360*B86)</f>
        <v>130328</v>
      </c>
      <c r="G86" s="174"/>
      <c r="H86" s="174"/>
      <c r="I86" s="175"/>
      <c r="K86" s="345"/>
      <c r="L86" s="355"/>
    </row>
    <row r="87" spans="1:12" ht="12.75">
      <c r="A87" s="107">
        <v>41271</v>
      </c>
      <c r="B87" s="131">
        <f t="shared" si="3"/>
        <v>89</v>
      </c>
      <c r="C87" s="109">
        <f t="shared" si="5"/>
        <v>11848000</v>
      </c>
      <c r="D87" s="164">
        <f>D85</f>
        <v>2962000</v>
      </c>
      <c r="E87" s="196"/>
      <c r="F87" s="109"/>
      <c r="G87" s="174"/>
      <c r="H87" s="174"/>
      <c r="I87" s="175"/>
      <c r="K87" s="345"/>
      <c r="L87" s="355"/>
    </row>
    <row r="88" spans="1:12" ht="12.75">
      <c r="A88" s="168">
        <v>41274</v>
      </c>
      <c r="B88" s="121">
        <f t="shared" si="3"/>
        <v>3</v>
      </c>
      <c r="C88" s="201">
        <f t="shared" si="5"/>
        <v>11848000</v>
      </c>
      <c r="D88" s="169"/>
      <c r="E88" s="198">
        <f>E86</f>
        <v>0.0288</v>
      </c>
      <c r="F88" s="122">
        <f>((C87+D87)*E88/360*B87)+((C88+D88)*E88/360*B88)</f>
        <v>108290.72</v>
      </c>
      <c r="G88" s="176">
        <f>SUM(F81:F88)</f>
        <v>560884.32</v>
      </c>
      <c r="H88" s="176">
        <f>SUM(D81:D88)</f>
        <v>11848000</v>
      </c>
      <c r="I88" s="177">
        <f>SUM(G88:H88)</f>
        <v>12408884.32</v>
      </c>
      <c r="K88" s="343"/>
      <c r="L88" s="347"/>
    </row>
    <row r="89" spans="1:12" ht="12.75">
      <c r="A89" s="126">
        <v>41361</v>
      </c>
      <c r="B89" s="135">
        <f t="shared" si="3"/>
        <v>87</v>
      </c>
      <c r="C89" s="164">
        <f t="shared" si="5"/>
        <v>8886000</v>
      </c>
      <c r="D89" s="164">
        <f>D87</f>
        <v>2962000</v>
      </c>
      <c r="E89" s="196"/>
      <c r="F89" s="164"/>
      <c r="G89" s="166"/>
      <c r="H89" s="166"/>
      <c r="I89" s="167"/>
      <c r="K89" s="345"/>
      <c r="L89" s="346"/>
    </row>
    <row r="90" spans="1:12" ht="12.75">
      <c r="A90" s="107">
        <v>41364</v>
      </c>
      <c r="B90" s="131">
        <f t="shared" si="3"/>
        <v>3</v>
      </c>
      <c r="C90" s="164">
        <f t="shared" si="5"/>
        <v>8886000</v>
      </c>
      <c r="D90" s="164"/>
      <c r="E90" s="196">
        <f>E88</f>
        <v>0.0288</v>
      </c>
      <c r="F90" s="109">
        <f>((C89+D89)*E90/360*B89)+((C90+D90)*E90/360*B90)</f>
        <v>84594.71999999999</v>
      </c>
      <c r="G90" s="174"/>
      <c r="H90" s="174"/>
      <c r="I90" s="175"/>
      <c r="K90" s="345"/>
      <c r="L90" s="355"/>
    </row>
    <row r="91" spans="1:12" ht="12.75">
      <c r="A91" s="107">
        <v>41453</v>
      </c>
      <c r="B91" s="131">
        <f t="shared" si="3"/>
        <v>89</v>
      </c>
      <c r="C91" s="164">
        <f t="shared" si="5"/>
        <v>5924000</v>
      </c>
      <c r="D91" s="164">
        <f>D89</f>
        <v>2962000</v>
      </c>
      <c r="E91" s="196"/>
      <c r="F91" s="164"/>
      <c r="G91" s="174"/>
      <c r="H91" s="174"/>
      <c r="I91" s="175"/>
      <c r="K91" s="345"/>
      <c r="L91" s="346"/>
    </row>
    <row r="92" spans="1:12" ht="12.75">
      <c r="A92" s="107">
        <v>41455</v>
      </c>
      <c r="B92" s="131">
        <f t="shared" si="3"/>
        <v>2</v>
      </c>
      <c r="C92" s="164">
        <f t="shared" si="5"/>
        <v>5924000</v>
      </c>
      <c r="D92" s="164"/>
      <c r="E92" s="196">
        <f>E90</f>
        <v>0.0288</v>
      </c>
      <c r="F92" s="109">
        <f>((C91+D91)*E92/360*B91)+((C92+D92)*E92/360*B92)</f>
        <v>64216.159999999996</v>
      </c>
      <c r="G92" s="174"/>
      <c r="H92" s="174"/>
      <c r="I92" s="175"/>
      <c r="K92" s="345"/>
      <c r="L92" s="355"/>
    </row>
    <row r="93" spans="1:12" ht="12.75">
      <c r="A93" s="107">
        <v>41545</v>
      </c>
      <c r="B93" s="131">
        <f t="shared" si="3"/>
        <v>90</v>
      </c>
      <c r="C93" s="164">
        <f t="shared" si="5"/>
        <v>2962000</v>
      </c>
      <c r="D93" s="164">
        <f>D91</f>
        <v>2962000</v>
      </c>
      <c r="E93" s="196"/>
      <c r="F93" s="164"/>
      <c r="G93" s="174"/>
      <c r="H93" s="174"/>
      <c r="I93" s="175"/>
      <c r="K93" s="345"/>
      <c r="L93" s="346"/>
    </row>
    <row r="94" spans="1:12" ht="12.75">
      <c r="A94" s="107">
        <v>41547</v>
      </c>
      <c r="B94" s="131">
        <f t="shared" si="3"/>
        <v>2</v>
      </c>
      <c r="C94" s="164">
        <f t="shared" si="5"/>
        <v>2962000</v>
      </c>
      <c r="D94" s="164"/>
      <c r="E94" s="196">
        <f>E92</f>
        <v>0.0288</v>
      </c>
      <c r="F94" s="109">
        <f>((C93+D93)*E94/360*B93)+((C94+D94)*E94/360*B94)</f>
        <v>43126.719999999994</v>
      </c>
      <c r="G94" s="174"/>
      <c r="H94" s="174"/>
      <c r="I94" s="175"/>
      <c r="K94" s="345"/>
      <c r="L94" s="355"/>
    </row>
    <row r="95" spans="1:12" ht="13.5" thickBot="1">
      <c r="A95" s="107">
        <v>41636</v>
      </c>
      <c r="B95" s="131">
        <f t="shared" si="3"/>
        <v>89</v>
      </c>
      <c r="C95" s="164">
        <f t="shared" si="5"/>
        <v>0</v>
      </c>
      <c r="D95" s="164">
        <f>D93</f>
        <v>2962000</v>
      </c>
      <c r="E95" s="196">
        <f>E94</f>
        <v>0.0288</v>
      </c>
      <c r="F95" s="109">
        <f>((C95+D95)*E95/360*B95)</f>
        <v>21089.44</v>
      </c>
      <c r="G95" s="176">
        <f>SUM(F89:F95)</f>
        <v>213027.03999999998</v>
      </c>
      <c r="H95" s="176">
        <f>SUM(D89:D95)</f>
        <v>11848000</v>
      </c>
      <c r="I95" s="177">
        <f>SUM(G95:H95)</f>
        <v>12061027.04</v>
      </c>
      <c r="K95" s="345"/>
      <c r="L95" s="355"/>
    </row>
    <row r="96" spans="1:12" ht="13.5" thickTop="1">
      <c r="A96" s="183" t="s">
        <v>14</v>
      </c>
      <c r="B96" s="184"/>
      <c r="C96" s="185"/>
      <c r="D96" s="186">
        <f>SUM(D8:D95)</f>
        <v>124412000</v>
      </c>
      <c r="E96" s="204"/>
      <c r="F96" s="186">
        <f>SUM(F8:F95)</f>
        <v>26891965.520000003</v>
      </c>
      <c r="G96" s="186">
        <f>SUM(G8:G95)</f>
        <v>26891965.52</v>
      </c>
      <c r="H96" s="186">
        <f>SUM(H8:H95)</f>
        <v>124412000</v>
      </c>
      <c r="I96" s="205">
        <f>SUM(I8:I95)</f>
        <v>151303965.51999998</v>
      </c>
      <c r="K96" s="350">
        <f>SUM(K8:K95)</f>
        <v>11577167</v>
      </c>
      <c r="L96" s="205">
        <f>SUM(L8:L95)</f>
        <v>3197375</v>
      </c>
    </row>
    <row r="97" spans="1:12" ht="12.75">
      <c r="A97" s="206"/>
      <c r="B97" s="207"/>
      <c r="C97" s="208"/>
      <c r="D97" s="209"/>
      <c r="E97" s="210"/>
      <c r="F97" s="209"/>
      <c r="G97" s="209"/>
      <c r="H97" s="209"/>
      <c r="I97" s="209"/>
      <c r="K97" s="209"/>
      <c r="L97" s="209"/>
    </row>
    <row r="98" spans="1:12" ht="12.75">
      <c r="A98" s="188" t="s">
        <v>110</v>
      </c>
      <c r="B98" s="207"/>
      <c r="C98" s="208"/>
      <c r="D98" s="209"/>
      <c r="E98" s="210"/>
      <c r="F98" s="209"/>
      <c r="G98" s="209"/>
      <c r="H98" s="209"/>
      <c r="I98" s="209"/>
      <c r="K98" s="209"/>
      <c r="L98" s="209"/>
    </row>
    <row r="100" spans="3:12" ht="12.75">
      <c r="C100" s="147"/>
      <c r="D100" s="147"/>
      <c r="E100" s="81"/>
      <c r="F100" s="147"/>
      <c r="K100" s="147"/>
      <c r="L100" s="147"/>
    </row>
    <row r="101" spans="3:12" ht="12.75">
      <c r="C101" s="147"/>
      <c r="D101" s="147"/>
      <c r="E101" s="81"/>
      <c r="F101" s="147"/>
      <c r="K101" s="147"/>
      <c r="L101" s="147"/>
    </row>
    <row r="102" spans="3:5" ht="12.75">
      <c r="C102" s="147"/>
      <c r="D102" s="147"/>
      <c r="E102" s="81"/>
    </row>
    <row r="103" spans="3:5" ht="12.75">
      <c r="C103" s="147"/>
      <c r="D103" s="147"/>
      <c r="E103" s="81"/>
    </row>
    <row r="104" spans="3:12" ht="12.75">
      <c r="C104" s="147"/>
      <c r="D104" s="147"/>
      <c r="E104" s="81"/>
      <c r="F104" s="147"/>
      <c r="K104" s="147"/>
      <c r="L104" s="147"/>
    </row>
  </sheetData>
  <printOptions horizontalCentered="1"/>
  <pageMargins left="0.5905511811023623" right="0.3937007874015748" top="0.7874015748031497" bottom="0.5905511811023623" header="0.1968503937007874" footer="0.1968503937007874"/>
  <pageSetup horizontalDpi="300" verticalDpi="300" orientation="portrait" paperSize="9" scale="80" r:id="rId1"/>
  <headerFooter alignWithMargins="0">
    <oddHeader xml:space="preserve">&amp;C&amp;"Times New Roman CE,Félkövér"&amp;12Adósságszolgálat számítása az OTP tájékoztatása alapján&amp;"Times New Roman CE,Félkövér dőlt"
59 db szociális bérlakás építésére 2002. decemberben felvett 124.412 eFt hitel </oddHeader>
    <oddFooter>&amp;L&amp;9Nyomtatás dátuma:&amp;D
C:\Andi\adósságszolgálat\&amp;F\&amp;A&amp;R&amp;P/&amp;N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33"/>
  <sheetViews>
    <sheetView workbookViewId="0" topLeftCell="A1">
      <pane ySplit="7" topLeftCell="BM2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625" style="81" customWidth="1"/>
    <col min="2" max="2" width="5.375" style="81" customWidth="1"/>
    <col min="3" max="3" width="11.125" style="81" bestFit="1" customWidth="1"/>
    <col min="4" max="4" width="12.625" style="81" bestFit="1" customWidth="1"/>
    <col min="5" max="5" width="6.375" style="148" customWidth="1"/>
    <col min="6" max="6" width="14.875" style="81" customWidth="1"/>
    <col min="7" max="7" width="11.375" style="81" customWidth="1"/>
    <col min="8" max="9" width="12.625" style="81" customWidth="1"/>
    <col min="10" max="10" width="1.4921875" style="81" customWidth="1"/>
    <col min="11" max="12" width="11.875" style="81" customWidth="1"/>
    <col min="13" max="16384" width="9.375" style="81" customWidth="1"/>
  </cols>
  <sheetData>
    <row r="1" spans="1:9" ht="12.75">
      <c r="A1" s="189" t="s">
        <v>104</v>
      </c>
      <c r="B1" s="188"/>
      <c r="C1" s="189"/>
      <c r="D1" s="189"/>
      <c r="E1" s="190"/>
      <c r="I1" s="189"/>
    </row>
    <row r="2" spans="1:12" ht="12.75">
      <c r="A2" s="188" t="s">
        <v>158</v>
      </c>
      <c r="B2" s="188"/>
      <c r="C2" s="188"/>
      <c r="E2" s="191"/>
      <c r="F2" s="158"/>
      <c r="G2" s="158"/>
      <c r="H2" s="158"/>
      <c r="I2" s="158"/>
      <c r="K2" s="158"/>
      <c r="L2" s="158"/>
    </row>
    <row r="3" spans="1:12" ht="12.75">
      <c r="A3" s="81" t="s">
        <v>49</v>
      </c>
      <c r="B3" s="159"/>
      <c r="C3" s="158"/>
      <c r="D3" s="158"/>
      <c r="F3" s="158"/>
      <c r="G3" s="158"/>
      <c r="H3" s="158"/>
      <c r="K3" s="158"/>
      <c r="L3" s="158"/>
    </row>
    <row r="4" spans="1:12" ht="12.75">
      <c r="A4" s="160" t="s">
        <v>71</v>
      </c>
      <c r="B4" s="159"/>
      <c r="C4" s="158"/>
      <c r="D4" s="158"/>
      <c r="E4" s="160"/>
      <c r="F4" s="158"/>
      <c r="G4" s="158"/>
      <c r="H4" s="158"/>
      <c r="I4" s="211" t="s">
        <v>2</v>
      </c>
      <c r="K4" s="158"/>
      <c r="L4" s="158"/>
    </row>
    <row r="5" spans="1:12" ht="12.75">
      <c r="A5" s="89" t="s">
        <v>3</v>
      </c>
      <c r="B5" s="90" t="s">
        <v>4</v>
      </c>
      <c r="C5" s="91" t="s">
        <v>5</v>
      </c>
      <c r="D5" s="91" t="s">
        <v>33</v>
      </c>
      <c r="E5" s="192" t="s">
        <v>20</v>
      </c>
      <c r="F5" s="91" t="s">
        <v>20</v>
      </c>
      <c r="G5" s="93" t="s">
        <v>6</v>
      </c>
      <c r="H5" s="93" t="s">
        <v>6</v>
      </c>
      <c r="I5" s="94" t="s">
        <v>6</v>
      </c>
      <c r="K5" s="356" t="s">
        <v>161</v>
      </c>
      <c r="L5" s="357"/>
    </row>
    <row r="6" spans="1:12" ht="12.75">
      <c r="A6" s="95"/>
      <c r="B6" s="96" t="s">
        <v>7</v>
      </c>
      <c r="C6" s="97" t="s">
        <v>8</v>
      </c>
      <c r="D6" s="97"/>
      <c r="E6" s="193" t="s">
        <v>111</v>
      </c>
      <c r="F6" s="194" t="s">
        <v>13</v>
      </c>
      <c r="G6" s="99" t="s">
        <v>9</v>
      </c>
      <c r="H6" s="99" t="s">
        <v>11</v>
      </c>
      <c r="I6" s="100" t="s">
        <v>10</v>
      </c>
      <c r="K6" s="358" t="s">
        <v>162</v>
      </c>
      <c r="L6" s="359" t="s">
        <v>159</v>
      </c>
    </row>
    <row r="7" spans="1:12" ht="12.75">
      <c r="A7" s="101"/>
      <c r="B7" s="102"/>
      <c r="C7" s="103"/>
      <c r="D7" s="103"/>
      <c r="E7" s="195" t="s">
        <v>48</v>
      </c>
      <c r="F7" s="103" t="s">
        <v>164</v>
      </c>
      <c r="G7" s="105"/>
      <c r="H7" s="105" t="s">
        <v>13</v>
      </c>
      <c r="I7" s="106" t="s">
        <v>12</v>
      </c>
      <c r="K7" s="360" t="s">
        <v>163</v>
      </c>
      <c r="L7" s="361" t="s">
        <v>160</v>
      </c>
    </row>
    <row r="8" spans="1:12" ht="12.75">
      <c r="A8" s="212">
        <v>37617</v>
      </c>
      <c r="B8" s="199"/>
      <c r="C8" s="56">
        <v>12499470</v>
      </c>
      <c r="D8" s="56"/>
      <c r="E8" s="128"/>
      <c r="F8" s="56">
        <v>0</v>
      </c>
      <c r="G8" s="178"/>
      <c r="H8" s="178"/>
      <c r="I8" s="179"/>
      <c r="K8" s="341"/>
      <c r="L8" s="129"/>
    </row>
    <row r="9" spans="1:12" ht="12.75">
      <c r="A9" s="120">
        <v>37621</v>
      </c>
      <c r="B9" s="213">
        <v>3</v>
      </c>
      <c r="C9" s="122">
        <f>C8-D9</f>
        <v>12499470</v>
      </c>
      <c r="D9" s="122"/>
      <c r="E9" s="214">
        <v>0.0288</v>
      </c>
      <c r="F9" s="122">
        <v>2611</v>
      </c>
      <c r="G9" s="215">
        <f>SUM(F5:F9)</f>
        <v>2611</v>
      </c>
      <c r="H9" s="124">
        <f>SUM(D5:D9)</f>
        <v>0</v>
      </c>
      <c r="I9" s="125">
        <f>SUM(G9:H9)</f>
        <v>2611</v>
      </c>
      <c r="K9" s="343">
        <v>2611</v>
      </c>
      <c r="L9" s="347">
        <v>0</v>
      </c>
    </row>
    <row r="10" spans="1:12" ht="12.75">
      <c r="A10" s="126">
        <v>37711</v>
      </c>
      <c r="B10" s="216">
        <f aca="true" t="shared" si="0" ref="B10:B75">A10-A9</f>
        <v>90</v>
      </c>
      <c r="C10" s="217">
        <f>C9-D10</f>
        <v>12499470</v>
      </c>
      <c r="D10" s="165"/>
      <c r="E10" s="128">
        <v>0.0369</v>
      </c>
      <c r="F10" s="56">
        <v>99100</v>
      </c>
      <c r="G10" s="166"/>
      <c r="H10" s="166"/>
      <c r="I10" s="167"/>
      <c r="K10" s="341">
        <v>67851</v>
      </c>
      <c r="L10" s="129">
        <v>31249</v>
      </c>
    </row>
    <row r="11" spans="1:12" ht="13.5" thickBot="1">
      <c r="A11" s="218">
        <v>37729</v>
      </c>
      <c r="B11" s="219">
        <f t="shared" si="0"/>
        <v>18</v>
      </c>
      <c r="C11" s="61">
        <f>(C10-D11)+10226303</f>
        <v>22725773</v>
      </c>
      <c r="D11" s="220"/>
      <c r="E11" s="221"/>
      <c r="F11" s="61"/>
      <c r="G11" s="222"/>
      <c r="H11" s="222"/>
      <c r="I11" s="223"/>
      <c r="K11" s="362"/>
      <c r="L11" s="363"/>
    </row>
    <row r="12" spans="1:12" ht="13.5" thickBot="1">
      <c r="A12" s="224">
        <v>37768</v>
      </c>
      <c r="B12" s="225">
        <f t="shared" si="0"/>
        <v>39</v>
      </c>
      <c r="C12" s="63">
        <f>(C11-D12)+56942030</f>
        <v>79667803</v>
      </c>
      <c r="D12" s="226"/>
      <c r="E12" s="227"/>
      <c r="F12" s="62"/>
      <c r="G12" s="228"/>
      <c r="H12" s="228"/>
      <c r="I12" s="229"/>
      <c r="K12" s="364"/>
      <c r="L12" s="365"/>
    </row>
    <row r="13" spans="1:12" ht="13.5" thickBot="1">
      <c r="A13" s="230">
        <v>37783</v>
      </c>
      <c r="B13" s="225">
        <f t="shared" si="0"/>
        <v>15</v>
      </c>
      <c r="C13" s="63">
        <f>(C12-D13)+22256001</f>
        <v>101923804</v>
      </c>
      <c r="D13" s="231"/>
      <c r="E13" s="232"/>
      <c r="F13" s="63"/>
      <c r="G13" s="233"/>
      <c r="H13" s="233"/>
      <c r="I13" s="234"/>
      <c r="K13" s="366"/>
      <c r="L13" s="367"/>
    </row>
    <row r="14" spans="1:12" ht="12.75">
      <c r="A14" s="235">
        <v>37802</v>
      </c>
      <c r="B14" s="236">
        <f t="shared" si="0"/>
        <v>19</v>
      </c>
      <c r="C14" s="237">
        <f>C13-D14</f>
        <v>101923804</v>
      </c>
      <c r="D14" s="237"/>
      <c r="E14" s="238">
        <v>0.0356</v>
      </c>
      <c r="F14" s="237">
        <f>266678+117857</f>
        <v>384535</v>
      </c>
      <c r="G14" s="239"/>
      <c r="H14" s="239"/>
      <c r="I14" s="240"/>
      <c r="K14" s="368">
        <v>266678</v>
      </c>
      <c r="L14" s="369">
        <v>117857</v>
      </c>
    </row>
    <row r="15" spans="1:12" ht="13.5" thickBot="1">
      <c r="A15" s="218">
        <v>37811</v>
      </c>
      <c r="B15" s="219">
        <f t="shared" si="0"/>
        <v>9</v>
      </c>
      <c r="C15" s="61">
        <f>(C14-D15)+22955624</f>
        <v>124879428</v>
      </c>
      <c r="D15" s="61"/>
      <c r="E15" s="221"/>
      <c r="F15" s="61"/>
      <c r="G15" s="241"/>
      <c r="H15" s="241"/>
      <c r="I15" s="242"/>
      <c r="K15" s="362"/>
      <c r="L15" s="363"/>
    </row>
    <row r="16" spans="1:12" ht="13.5" thickBot="1">
      <c r="A16" s="230">
        <v>37841</v>
      </c>
      <c r="B16" s="225">
        <f t="shared" si="0"/>
        <v>30</v>
      </c>
      <c r="C16" s="63">
        <f>(C15-D16)+22221280</f>
        <v>147100708</v>
      </c>
      <c r="D16" s="63"/>
      <c r="E16" s="232"/>
      <c r="F16" s="63"/>
      <c r="G16" s="243"/>
      <c r="H16" s="243"/>
      <c r="I16" s="244"/>
      <c r="K16" s="366"/>
      <c r="L16" s="367"/>
    </row>
    <row r="17" spans="1:12" ht="12.75">
      <c r="A17" s="235">
        <v>37864</v>
      </c>
      <c r="B17" s="245">
        <f t="shared" si="0"/>
        <v>23</v>
      </c>
      <c r="C17" s="237">
        <f>(C16-D17)</f>
        <v>147100708</v>
      </c>
      <c r="D17" s="237"/>
      <c r="E17" s="238"/>
      <c r="F17" s="237"/>
      <c r="G17" s="239"/>
      <c r="H17" s="239"/>
      <c r="I17" s="240"/>
      <c r="K17" s="368"/>
      <c r="L17" s="369"/>
    </row>
    <row r="18" spans="1:12" ht="12.75">
      <c r="A18" s="113">
        <v>37894</v>
      </c>
      <c r="B18" s="246">
        <f t="shared" si="0"/>
        <v>30</v>
      </c>
      <c r="C18" s="55">
        <f>C17-D18</f>
        <v>147100708</v>
      </c>
      <c r="D18" s="180"/>
      <c r="E18" s="118">
        <v>0.0584</v>
      </c>
      <c r="F18" s="55">
        <v>2014839</v>
      </c>
      <c r="G18" s="181"/>
      <c r="H18" s="181"/>
      <c r="I18" s="182"/>
      <c r="K18" s="348">
        <v>1668727</v>
      </c>
      <c r="L18" s="119">
        <v>346112</v>
      </c>
    </row>
    <row r="19" spans="1:12" ht="13.5" thickBot="1">
      <c r="A19" s="247">
        <v>37914</v>
      </c>
      <c r="B19" s="248">
        <f t="shared" si="0"/>
        <v>20</v>
      </c>
      <c r="C19" s="55">
        <f>(C18-D19)+39974331</f>
        <v>187075039</v>
      </c>
      <c r="D19" s="226"/>
      <c r="E19" s="227"/>
      <c r="F19" s="62"/>
      <c r="G19" s="228"/>
      <c r="H19" s="228"/>
      <c r="I19" s="229"/>
      <c r="K19" s="364"/>
      <c r="L19" s="365"/>
    </row>
    <row r="20" spans="1:12" ht="12.75">
      <c r="A20" s="249">
        <v>37940</v>
      </c>
      <c r="B20" s="245">
        <f t="shared" si="0"/>
        <v>26</v>
      </c>
      <c r="C20" s="250">
        <f>C19-D20</f>
        <v>187075039</v>
      </c>
      <c r="D20" s="251"/>
      <c r="E20" s="252"/>
      <c r="F20" s="250"/>
      <c r="G20" s="253"/>
      <c r="H20" s="253"/>
      <c r="I20" s="254"/>
      <c r="K20" s="370"/>
      <c r="L20" s="371"/>
    </row>
    <row r="21" spans="1:12" ht="12.75">
      <c r="A21" s="113">
        <v>37983</v>
      </c>
      <c r="B21" s="246">
        <f t="shared" si="0"/>
        <v>43</v>
      </c>
      <c r="C21" s="55">
        <f>C20-D21</f>
        <v>184439019</v>
      </c>
      <c r="D21" s="180">
        <v>2636020</v>
      </c>
      <c r="E21" s="118"/>
      <c r="F21" s="55"/>
      <c r="G21" s="181"/>
      <c r="H21" s="181"/>
      <c r="I21" s="182"/>
      <c r="K21" s="348"/>
      <c r="L21" s="119"/>
    </row>
    <row r="22" spans="1:12" ht="12.75">
      <c r="A22" s="255">
        <v>37986</v>
      </c>
      <c r="B22" s="256">
        <f t="shared" si="0"/>
        <v>3</v>
      </c>
      <c r="C22" s="130">
        <f aca="true" t="shared" si="1" ref="C22:C88">C21-D22</f>
        <v>184439019</v>
      </c>
      <c r="D22" s="197"/>
      <c r="E22" s="257">
        <v>0.057</v>
      </c>
      <c r="F22" s="134">
        <f>2184140+455653</f>
        <v>2639793</v>
      </c>
      <c r="G22" s="258">
        <f>SUM(F10:F22)</f>
        <v>5138267</v>
      </c>
      <c r="H22" s="258">
        <f>SUM(D10:D22)</f>
        <v>2636020</v>
      </c>
      <c r="I22" s="259">
        <f>SUM(G22:H22)</f>
        <v>7774287</v>
      </c>
      <c r="K22" s="353">
        <v>2184140</v>
      </c>
      <c r="L22" s="136">
        <v>455653</v>
      </c>
    </row>
    <row r="23" spans="1:12" ht="12.75">
      <c r="A23" s="212">
        <v>38071</v>
      </c>
      <c r="B23" s="216">
        <f t="shared" si="0"/>
        <v>85</v>
      </c>
      <c r="C23" s="260">
        <f>C22-D23</f>
        <v>184439019</v>
      </c>
      <c r="D23" s="260"/>
      <c r="E23" s="261"/>
      <c r="F23" s="217"/>
      <c r="G23" s="262"/>
      <c r="H23" s="262"/>
      <c r="I23" s="263"/>
      <c r="K23" s="372"/>
      <c r="L23" s="373"/>
    </row>
    <row r="24" spans="1:12" ht="12.75">
      <c r="A24" s="113">
        <v>38074</v>
      </c>
      <c r="B24" s="246">
        <f t="shared" si="0"/>
        <v>3</v>
      </c>
      <c r="C24" s="180">
        <f>C23-D24</f>
        <v>181869019</v>
      </c>
      <c r="D24" s="180">
        <v>2570000</v>
      </c>
      <c r="E24" s="202"/>
      <c r="F24" s="55"/>
      <c r="G24" s="181"/>
      <c r="H24" s="181"/>
      <c r="I24" s="182"/>
      <c r="K24" s="348"/>
      <c r="L24" s="119"/>
    </row>
    <row r="25" spans="1:12" ht="12.75">
      <c r="A25" s="107">
        <v>38077</v>
      </c>
      <c r="B25" s="246">
        <f t="shared" si="0"/>
        <v>3</v>
      </c>
      <c r="C25" s="164">
        <f t="shared" si="1"/>
        <v>181869019</v>
      </c>
      <c r="D25" s="164"/>
      <c r="E25" s="196">
        <v>0.06</v>
      </c>
      <c r="F25" s="109">
        <v>2794931</v>
      </c>
      <c r="G25" s="174"/>
      <c r="H25" s="174"/>
      <c r="I25" s="175"/>
      <c r="K25" s="345">
        <v>2328853</v>
      </c>
      <c r="L25" s="355">
        <v>466078</v>
      </c>
    </row>
    <row r="26" spans="1:12" ht="12.75">
      <c r="A26" s="107">
        <v>38166</v>
      </c>
      <c r="B26" s="246">
        <f t="shared" si="0"/>
        <v>89</v>
      </c>
      <c r="C26" s="164">
        <f t="shared" si="1"/>
        <v>179299019</v>
      </c>
      <c r="D26" s="164">
        <v>2570000</v>
      </c>
      <c r="E26" s="196"/>
      <c r="F26" s="55"/>
      <c r="G26" s="174"/>
      <c r="H26" s="174"/>
      <c r="I26" s="175"/>
      <c r="K26" s="348"/>
      <c r="L26" s="119"/>
    </row>
    <row r="27" spans="1:12" ht="12.75">
      <c r="A27" s="107">
        <v>38168</v>
      </c>
      <c r="B27" s="248">
        <f t="shared" si="0"/>
        <v>2</v>
      </c>
      <c r="C27" s="164">
        <f t="shared" si="1"/>
        <v>179299019</v>
      </c>
      <c r="D27" s="164"/>
      <c r="E27" s="196">
        <v>0.06</v>
      </c>
      <c r="F27" s="109">
        <f>((C27+D27)*E27/360*B27)+((C26+D26)*E27/360*B26)</f>
        <v>2757490.1214999994</v>
      </c>
      <c r="G27" s="174"/>
      <c r="H27" s="174"/>
      <c r="I27" s="175"/>
      <c r="K27" s="345">
        <v>2297908</v>
      </c>
      <c r="L27" s="355">
        <v>459582</v>
      </c>
    </row>
    <row r="28" spans="1:12" ht="12.75">
      <c r="A28" s="107">
        <v>38258</v>
      </c>
      <c r="B28" s="114">
        <f t="shared" si="0"/>
        <v>90</v>
      </c>
      <c r="C28" s="164">
        <f t="shared" si="1"/>
        <v>176729019</v>
      </c>
      <c r="D28" s="164">
        <v>2570000</v>
      </c>
      <c r="E28" s="196"/>
      <c r="F28" s="55"/>
      <c r="G28" s="174"/>
      <c r="H28" s="174"/>
      <c r="I28" s="175"/>
      <c r="K28" s="348"/>
      <c r="L28" s="119"/>
    </row>
    <row r="29" spans="1:12" ht="12.75">
      <c r="A29" s="107">
        <v>38260</v>
      </c>
      <c r="B29" s="114">
        <f t="shared" si="0"/>
        <v>2</v>
      </c>
      <c r="C29" s="55">
        <f t="shared" si="1"/>
        <v>176729019</v>
      </c>
      <c r="D29" s="164"/>
      <c r="E29" s="196">
        <f>E27</f>
        <v>0.06</v>
      </c>
      <c r="F29" s="109">
        <f>((C29+D29)*E29/360*B29)+((C28+D28)*E29/360*B28)</f>
        <v>2748394.9579999996</v>
      </c>
      <c r="G29" s="174"/>
      <c r="H29" s="174"/>
      <c r="I29" s="175"/>
      <c r="K29" s="345">
        <v>2290329</v>
      </c>
      <c r="L29" s="355">
        <v>458066</v>
      </c>
    </row>
    <row r="30" spans="1:12" ht="12.75">
      <c r="A30" s="107">
        <v>38335</v>
      </c>
      <c r="B30" s="131">
        <f t="shared" si="0"/>
        <v>75</v>
      </c>
      <c r="C30" s="55">
        <f t="shared" si="1"/>
        <v>151748693</v>
      </c>
      <c r="D30" s="164">
        <v>24980326</v>
      </c>
      <c r="E30" s="196"/>
      <c r="F30" s="109"/>
      <c r="G30" s="174"/>
      <c r="H30" s="174"/>
      <c r="I30" s="175"/>
      <c r="K30" s="345"/>
      <c r="L30" s="355"/>
    </row>
    <row r="31" spans="1:12" ht="12.75">
      <c r="A31" s="107">
        <v>38349</v>
      </c>
      <c r="B31" s="131">
        <f t="shared" si="0"/>
        <v>14</v>
      </c>
      <c r="C31" s="55">
        <f t="shared" si="1"/>
        <v>149670000</v>
      </c>
      <c r="D31" s="164">
        <v>2078693</v>
      </c>
      <c r="E31" s="196"/>
      <c r="F31" s="55"/>
      <c r="G31" s="174"/>
      <c r="H31" s="174"/>
      <c r="I31" s="175"/>
      <c r="K31" s="348"/>
      <c r="L31" s="119"/>
    </row>
    <row r="32" spans="1:12" ht="12.75">
      <c r="A32" s="168">
        <v>38352</v>
      </c>
      <c r="B32" s="131">
        <f t="shared" si="0"/>
        <v>3</v>
      </c>
      <c r="C32" s="122">
        <f t="shared" si="1"/>
        <v>149670000</v>
      </c>
      <c r="D32" s="169"/>
      <c r="E32" s="198">
        <v>0.0408</v>
      </c>
      <c r="F32" s="109">
        <v>1803284</v>
      </c>
      <c r="G32" s="176">
        <f>SUM(F24:F32)</f>
        <v>10104100.079499999</v>
      </c>
      <c r="H32" s="176">
        <f>SUM(D24:D32)</f>
        <v>34769019</v>
      </c>
      <c r="I32" s="177">
        <f>SUM(G32:H32)</f>
        <v>44873119.0795</v>
      </c>
      <c r="K32" s="345">
        <v>1363613</v>
      </c>
      <c r="L32" s="355">
        <v>439671</v>
      </c>
    </row>
    <row r="33" spans="1:12" ht="12.75">
      <c r="A33" s="126">
        <v>38440</v>
      </c>
      <c r="B33" s="127">
        <f t="shared" si="0"/>
        <v>88</v>
      </c>
      <c r="C33" s="56">
        <f t="shared" si="1"/>
        <v>147591250</v>
      </c>
      <c r="D33" s="164">
        <v>2078750</v>
      </c>
      <c r="E33" s="196"/>
      <c r="F33" s="56"/>
      <c r="G33" s="166"/>
      <c r="H33" s="166"/>
      <c r="I33" s="167"/>
      <c r="K33" s="341"/>
      <c r="L33" s="129"/>
    </row>
    <row r="34" spans="1:12" ht="12.75">
      <c r="A34" s="107">
        <v>38442</v>
      </c>
      <c r="B34" s="114">
        <f t="shared" si="0"/>
        <v>2</v>
      </c>
      <c r="C34" s="109">
        <f t="shared" si="1"/>
        <v>147591250</v>
      </c>
      <c r="D34" s="164"/>
      <c r="E34" s="196">
        <v>0.0244</v>
      </c>
      <c r="F34" s="109">
        <v>919524</v>
      </c>
      <c r="G34" s="174"/>
      <c r="H34" s="174"/>
      <c r="I34" s="175"/>
      <c r="K34" s="345">
        <v>545464</v>
      </c>
      <c r="L34" s="355">
        <v>374060</v>
      </c>
    </row>
    <row r="35" spans="1:12" ht="12.75">
      <c r="A35" s="107">
        <v>38473</v>
      </c>
      <c r="B35" s="114">
        <f>A35-A34</f>
        <v>31</v>
      </c>
      <c r="C35" s="109">
        <f>C34-D35</f>
        <v>147591250</v>
      </c>
      <c r="D35" s="164"/>
      <c r="E35" s="196">
        <v>0.0249</v>
      </c>
      <c r="F35" s="109"/>
      <c r="G35" s="174"/>
      <c r="H35" s="174"/>
      <c r="I35" s="175"/>
      <c r="K35" s="345"/>
      <c r="L35" s="355"/>
    </row>
    <row r="36" spans="1:12" ht="12.75">
      <c r="A36" s="107">
        <v>38531</v>
      </c>
      <c r="B36" s="114">
        <f>A36-A34</f>
        <v>89</v>
      </c>
      <c r="C36" s="109">
        <f>C34-D36</f>
        <v>145512500</v>
      </c>
      <c r="D36" s="164">
        <v>2078750</v>
      </c>
      <c r="E36" s="196"/>
      <c r="F36" s="55"/>
      <c r="G36" s="174"/>
      <c r="H36" s="174"/>
      <c r="I36" s="175"/>
      <c r="K36" s="348"/>
      <c r="L36" s="119"/>
    </row>
    <row r="37" spans="1:12" ht="12.75">
      <c r="A37" s="107">
        <v>38533</v>
      </c>
      <c r="B37" s="114">
        <f t="shared" si="0"/>
        <v>2</v>
      </c>
      <c r="C37" s="109">
        <f t="shared" si="1"/>
        <v>145512500</v>
      </c>
      <c r="D37" s="164"/>
      <c r="E37" s="196">
        <v>0.031</v>
      </c>
      <c r="F37" s="109">
        <f>SUM(K37:L37)</f>
        <v>1221850</v>
      </c>
      <c r="G37" s="174"/>
      <c r="H37" s="174"/>
      <c r="I37" s="175"/>
      <c r="K37" s="345">
        <v>848888</v>
      </c>
      <c r="L37" s="355">
        <v>372962</v>
      </c>
    </row>
    <row r="38" spans="1:12" ht="12.75">
      <c r="A38" s="107">
        <v>38623</v>
      </c>
      <c r="B38" s="114">
        <f t="shared" si="0"/>
        <v>90</v>
      </c>
      <c r="C38" s="109">
        <f t="shared" si="1"/>
        <v>143433750</v>
      </c>
      <c r="D38" s="164">
        <v>2078750</v>
      </c>
      <c r="E38" s="196"/>
      <c r="F38" s="55"/>
      <c r="G38" s="174"/>
      <c r="H38" s="174"/>
      <c r="I38" s="175"/>
      <c r="K38" s="348"/>
      <c r="L38" s="119"/>
    </row>
    <row r="39" spans="1:12" ht="12.75">
      <c r="A39" s="107">
        <v>38625</v>
      </c>
      <c r="B39" s="114">
        <f t="shared" si="0"/>
        <v>2</v>
      </c>
      <c r="C39" s="109">
        <f t="shared" si="1"/>
        <v>143433750</v>
      </c>
      <c r="D39" s="164"/>
      <c r="E39" s="196">
        <v>0.038</v>
      </c>
      <c r="F39" s="109">
        <f>SUM(K39:L39)</f>
        <v>1239409</v>
      </c>
      <c r="G39" s="174"/>
      <c r="H39" s="174"/>
      <c r="I39" s="175"/>
      <c r="K39" s="345">
        <v>867659</v>
      </c>
      <c r="L39" s="355">
        <v>371750</v>
      </c>
    </row>
    <row r="40" spans="1:12" ht="12.75">
      <c r="A40" s="107">
        <v>38714</v>
      </c>
      <c r="B40" s="114">
        <f t="shared" si="0"/>
        <v>89</v>
      </c>
      <c r="C40" s="109">
        <f t="shared" si="1"/>
        <v>141355000</v>
      </c>
      <c r="D40" s="164">
        <v>2078750</v>
      </c>
      <c r="E40" s="196"/>
      <c r="F40" s="55"/>
      <c r="G40" s="174"/>
      <c r="H40" s="174"/>
      <c r="I40" s="175"/>
      <c r="K40" s="348"/>
      <c r="L40" s="119"/>
    </row>
    <row r="41" spans="1:12" ht="12.75">
      <c r="A41" s="168">
        <v>38717</v>
      </c>
      <c r="B41" s="121">
        <f t="shared" si="0"/>
        <v>3</v>
      </c>
      <c r="C41" s="201">
        <f t="shared" si="1"/>
        <v>141355000</v>
      </c>
      <c r="D41" s="169"/>
      <c r="E41" s="198">
        <v>0.0288</v>
      </c>
      <c r="F41" s="109">
        <f>((C41+D41)*E41/360*B41)+((C40+D40)*E41/360*B40)</f>
        <v>1055173.5</v>
      </c>
      <c r="G41" s="176">
        <f>SUM(F33:F41)</f>
        <v>4435956.5</v>
      </c>
      <c r="H41" s="176">
        <f>SUM(D33:D41)</f>
        <v>8315000</v>
      </c>
      <c r="I41" s="177">
        <f>SUM(G41:H41)</f>
        <v>12750956.5</v>
      </c>
      <c r="K41" s="345"/>
      <c r="L41" s="355"/>
    </row>
    <row r="42" spans="1:12" ht="12.75">
      <c r="A42" s="126">
        <v>38804</v>
      </c>
      <c r="B42" s="108">
        <f t="shared" si="0"/>
        <v>87</v>
      </c>
      <c r="C42" s="164">
        <f t="shared" si="1"/>
        <v>139276250</v>
      </c>
      <c r="D42" s="164">
        <v>2078750</v>
      </c>
      <c r="E42" s="196"/>
      <c r="F42" s="56"/>
      <c r="G42" s="166"/>
      <c r="H42" s="166"/>
      <c r="I42" s="167"/>
      <c r="K42" s="341"/>
      <c r="L42" s="129"/>
    </row>
    <row r="43" spans="1:12" ht="12.75">
      <c r="A43" s="107">
        <v>38807</v>
      </c>
      <c r="B43" s="114">
        <f t="shared" si="0"/>
        <v>3</v>
      </c>
      <c r="C43" s="164">
        <f t="shared" si="1"/>
        <v>139276250</v>
      </c>
      <c r="D43" s="164"/>
      <c r="E43" s="196">
        <f>E41</f>
        <v>0.0288</v>
      </c>
      <c r="F43" s="109">
        <f>((C43+D43)*E43/360*B43)+((C42+D42)*E43/360*B42)</f>
        <v>1017257.1</v>
      </c>
      <c r="G43" s="174"/>
      <c r="H43" s="174"/>
      <c r="I43" s="175"/>
      <c r="K43" s="345"/>
      <c r="L43" s="355"/>
    </row>
    <row r="44" spans="1:12" ht="12.75">
      <c r="A44" s="107">
        <v>38896</v>
      </c>
      <c r="B44" s="114">
        <f t="shared" si="0"/>
        <v>89</v>
      </c>
      <c r="C44" s="164">
        <f t="shared" si="1"/>
        <v>137197500</v>
      </c>
      <c r="D44" s="164">
        <v>2078750</v>
      </c>
      <c r="E44" s="196"/>
      <c r="F44" s="55"/>
      <c r="G44" s="174"/>
      <c r="H44" s="174"/>
      <c r="I44" s="175"/>
      <c r="K44" s="348"/>
      <c r="L44" s="119"/>
    </row>
    <row r="45" spans="1:12" ht="12.75">
      <c r="A45" s="107">
        <v>38898</v>
      </c>
      <c r="B45" s="114">
        <f t="shared" si="0"/>
        <v>2</v>
      </c>
      <c r="C45" s="164">
        <f t="shared" si="1"/>
        <v>137197500</v>
      </c>
      <c r="D45" s="164"/>
      <c r="E45" s="196">
        <f>E43</f>
        <v>0.0288</v>
      </c>
      <c r="F45" s="109">
        <f>((C45+D45)*E45/360*B45)+((C44+D44)*E45/360*B44)</f>
        <v>1013598.5</v>
      </c>
      <c r="G45" s="174"/>
      <c r="H45" s="174"/>
      <c r="I45" s="175"/>
      <c r="K45" s="345"/>
      <c r="L45" s="355"/>
    </row>
    <row r="46" spans="1:12" ht="12.75">
      <c r="A46" s="107">
        <v>38988</v>
      </c>
      <c r="B46" s="114">
        <f t="shared" si="0"/>
        <v>90</v>
      </c>
      <c r="C46" s="164">
        <f t="shared" si="1"/>
        <v>135118750</v>
      </c>
      <c r="D46" s="164">
        <v>2078750</v>
      </c>
      <c r="E46" s="196"/>
      <c r="F46" s="55"/>
      <c r="G46" s="174"/>
      <c r="H46" s="174"/>
      <c r="I46" s="175"/>
      <c r="K46" s="348"/>
      <c r="L46" s="119"/>
    </row>
    <row r="47" spans="1:12" ht="12.75">
      <c r="A47" s="107">
        <v>38990</v>
      </c>
      <c r="B47" s="114">
        <f t="shared" si="0"/>
        <v>2</v>
      </c>
      <c r="C47" s="164">
        <f>C46-D47</f>
        <v>135118750</v>
      </c>
      <c r="D47" s="164"/>
      <c r="E47" s="196">
        <f>E45</f>
        <v>0.0288</v>
      </c>
      <c r="F47" s="109">
        <f>((C47+D47)*E47/360*B47)+((C46+D46)*E47/360*B46)</f>
        <v>1009440.9999999999</v>
      </c>
      <c r="G47" s="174"/>
      <c r="H47" s="174"/>
      <c r="I47" s="175"/>
      <c r="K47" s="345"/>
      <c r="L47" s="355"/>
    </row>
    <row r="48" spans="1:12" ht="12.75">
      <c r="A48" s="107">
        <v>39079</v>
      </c>
      <c r="B48" s="114">
        <f t="shared" si="0"/>
        <v>89</v>
      </c>
      <c r="C48" s="164">
        <f t="shared" si="1"/>
        <v>133040000</v>
      </c>
      <c r="D48" s="164">
        <v>2078750</v>
      </c>
      <c r="E48" s="196"/>
      <c r="F48" s="55"/>
      <c r="G48" s="174"/>
      <c r="H48" s="174"/>
      <c r="I48" s="175"/>
      <c r="K48" s="348"/>
      <c r="L48" s="119"/>
    </row>
    <row r="49" spans="1:12" ht="12.75">
      <c r="A49" s="168">
        <v>39082</v>
      </c>
      <c r="B49" s="131">
        <f t="shared" si="0"/>
        <v>3</v>
      </c>
      <c r="C49" s="197">
        <f t="shared" si="1"/>
        <v>133040000</v>
      </c>
      <c r="D49" s="169"/>
      <c r="E49" s="198">
        <f>E47</f>
        <v>0.0288</v>
      </c>
      <c r="F49" s="109">
        <f>((C49+D49)*E49/360*B49)+((C48+D48)*E49/360*B48)</f>
        <v>993975.1</v>
      </c>
      <c r="G49" s="176">
        <f>SUM(F42:F49)</f>
        <v>4034271.7</v>
      </c>
      <c r="H49" s="176">
        <f>SUM(D42:D49)</f>
        <v>8315000</v>
      </c>
      <c r="I49" s="177">
        <f>SUM(G49:H49)</f>
        <v>12349271.7</v>
      </c>
      <c r="K49" s="345"/>
      <c r="L49" s="355"/>
    </row>
    <row r="50" spans="1:12" ht="12.75">
      <c r="A50" s="126">
        <v>39169</v>
      </c>
      <c r="B50" s="127">
        <f t="shared" si="0"/>
        <v>87</v>
      </c>
      <c r="C50" s="56">
        <f t="shared" si="1"/>
        <v>130961250</v>
      </c>
      <c r="D50" s="164">
        <v>2078750</v>
      </c>
      <c r="E50" s="196"/>
      <c r="F50" s="56"/>
      <c r="G50" s="166"/>
      <c r="H50" s="166"/>
      <c r="I50" s="167"/>
      <c r="K50" s="341"/>
      <c r="L50" s="129"/>
    </row>
    <row r="51" spans="1:12" ht="12.75">
      <c r="A51" s="107">
        <v>39172</v>
      </c>
      <c r="B51" s="114">
        <f t="shared" si="0"/>
        <v>3</v>
      </c>
      <c r="C51" s="109">
        <f t="shared" si="1"/>
        <v>130961250</v>
      </c>
      <c r="D51" s="164"/>
      <c r="E51" s="196">
        <f>E49</f>
        <v>0.0288</v>
      </c>
      <c r="F51" s="109">
        <f>((C51+D51)*E51/360*B51)+((C50+D50)*E51/360*B50)</f>
        <v>957389.1</v>
      </c>
      <c r="G51" s="174"/>
      <c r="H51" s="174"/>
      <c r="I51" s="175"/>
      <c r="K51" s="345"/>
      <c r="L51" s="355"/>
    </row>
    <row r="52" spans="1:12" ht="12.75">
      <c r="A52" s="107">
        <v>39261</v>
      </c>
      <c r="B52" s="114">
        <f t="shared" si="0"/>
        <v>89</v>
      </c>
      <c r="C52" s="109">
        <f t="shared" si="1"/>
        <v>128882500</v>
      </c>
      <c r="D52" s="164">
        <v>2078750</v>
      </c>
      <c r="E52" s="196"/>
      <c r="F52" s="55"/>
      <c r="G52" s="174"/>
      <c r="H52" s="174"/>
      <c r="I52" s="175"/>
      <c r="K52" s="348"/>
      <c r="L52" s="119"/>
    </row>
    <row r="53" spans="1:12" ht="12.75">
      <c r="A53" s="107">
        <v>39263</v>
      </c>
      <c r="B53" s="114">
        <f t="shared" si="0"/>
        <v>2</v>
      </c>
      <c r="C53" s="109">
        <f t="shared" si="1"/>
        <v>128882500</v>
      </c>
      <c r="D53" s="164"/>
      <c r="E53" s="196">
        <f>E51</f>
        <v>0.0288</v>
      </c>
      <c r="F53" s="109">
        <f>((C53+D53)*E53/360*B53)+((C52+D52)*E53/360*B52)</f>
        <v>953065.2999999999</v>
      </c>
      <c r="G53" s="174"/>
      <c r="H53" s="174"/>
      <c r="I53" s="175"/>
      <c r="K53" s="345"/>
      <c r="L53" s="355"/>
    </row>
    <row r="54" spans="1:12" ht="12.75">
      <c r="A54" s="113">
        <v>39353</v>
      </c>
      <c r="B54" s="114">
        <f t="shared" si="0"/>
        <v>90</v>
      </c>
      <c r="C54" s="55">
        <f t="shared" si="1"/>
        <v>126803750</v>
      </c>
      <c r="D54" s="164">
        <v>2078750</v>
      </c>
      <c r="E54" s="202"/>
      <c r="F54" s="55"/>
      <c r="G54" s="181"/>
      <c r="H54" s="181"/>
      <c r="I54" s="182"/>
      <c r="K54" s="348"/>
      <c r="L54" s="119"/>
    </row>
    <row r="55" spans="1:12" ht="12.75">
      <c r="A55" s="113">
        <v>39355</v>
      </c>
      <c r="B55" s="114">
        <f t="shared" si="0"/>
        <v>2</v>
      </c>
      <c r="C55" s="55">
        <f t="shared" si="1"/>
        <v>126803750</v>
      </c>
      <c r="D55" s="164"/>
      <c r="E55" s="202">
        <f>E53</f>
        <v>0.0288</v>
      </c>
      <c r="F55" s="55">
        <f>((C55+D55)*E55/360*B55)+((C54+D54)*E55/360*B54)</f>
        <v>948242.6</v>
      </c>
      <c r="G55" s="181"/>
      <c r="H55" s="181"/>
      <c r="I55" s="182"/>
      <c r="K55" s="348"/>
      <c r="L55" s="119"/>
    </row>
    <row r="56" spans="1:12" ht="12.75">
      <c r="A56" s="107">
        <v>39444</v>
      </c>
      <c r="B56" s="114">
        <f t="shared" si="0"/>
        <v>89</v>
      </c>
      <c r="C56" s="109">
        <f t="shared" si="1"/>
        <v>124725000</v>
      </c>
      <c r="D56" s="164">
        <v>2078750</v>
      </c>
      <c r="E56" s="196"/>
      <c r="F56" s="55"/>
      <c r="G56" s="174"/>
      <c r="H56" s="174"/>
      <c r="I56" s="175"/>
      <c r="K56" s="348"/>
      <c r="L56" s="119"/>
    </row>
    <row r="57" spans="1:12" ht="12.75">
      <c r="A57" s="120">
        <v>39447</v>
      </c>
      <c r="B57" s="121">
        <f t="shared" si="0"/>
        <v>3</v>
      </c>
      <c r="C57" s="122">
        <f t="shared" si="1"/>
        <v>124725000</v>
      </c>
      <c r="D57" s="169"/>
      <c r="E57" s="203">
        <f>E55</f>
        <v>0.0288</v>
      </c>
      <c r="F57" s="122">
        <f>((C57+D57)*E57/360*B57)+((C56+D56)*E57/360*B56)</f>
        <v>932776.7</v>
      </c>
      <c r="G57" s="171">
        <f>SUM(F50:F57)</f>
        <v>3791473.7</v>
      </c>
      <c r="H57" s="171">
        <f>SUM(D50:D57)</f>
        <v>8315000</v>
      </c>
      <c r="I57" s="172">
        <f>SUM(G57:H57)</f>
        <v>12106473.7</v>
      </c>
      <c r="K57" s="343"/>
      <c r="L57" s="347"/>
    </row>
    <row r="58" spans="1:12" ht="12.75">
      <c r="A58" s="126">
        <v>39535</v>
      </c>
      <c r="B58" s="127">
        <f t="shared" si="0"/>
        <v>88</v>
      </c>
      <c r="C58" s="165">
        <f t="shared" si="1"/>
        <v>122646250</v>
      </c>
      <c r="D58" s="164">
        <v>2078750</v>
      </c>
      <c r="E58" s="200"/>
      <c r="F58" s="56"/>
      <c r="G58" s="166"/>
      <c r="H58" s="166"/>
      <c r="I58" s="167"/>
      <c r="K58" s="341"/>
      <c r="L58" s="129"/>
    </row>
    <row r="59" spans="1:12" ht="12.75">
      <c r="A59" s="107">
        <v>39538</v>
      </c>
      <c r="B59" s="114">
        <f t="shared" si="0"/>
        <v>3</v>
      </c>
      <c r="C59" s="164">
        <f t="shared" si="1"/>
        <v>122646250</v>
      </c>
      <c r="D59" s="164"/>
      <c r="E59" s="196">
        <f>E57</f>
        <v>0.0288</v>
      </c>
      <c r="F59" s="109">
        <f>((C59+D59)*E59/360*B59)+((C58+D58)*E59/360*B58)</f>
        <v>907499.1</v>
      </c>
      <c r="G59" s="174"/>
      <c r="H59" s="174"/>
      <c r="I59" s="175"/>
      <c r="K59" s="345"/>
      <c r="L59" s="355"/>
    </row>
    <row r="60" spans="1:12" ht="12.75">
      <c r="A60" s="255">
        <v>39627</v>
      </c>
      <c r="B60" s="131">
        <f t="shared" si="0"/>
        <v>89</v>
      </c>
      <c r="C60" s="197">
        <f t="shared" si="1"/>
        <v>120567500</v>
      </c>
      <c r="D60" s="164">
        <v>2078750</v>
      </c>
      <c r="E60" s="264"/>
      <c r="F60" s="130"/>
      <c r="G60" s="258"/>
      <c r="H60" s="258"/>
      <c r="I60" s="259"/>
      <c r="K60" s="374"/>
      <c r="L60" s="132"/>
    </row>
    <row r="61" spans="1:12" ht="12.75">
      <c r="A61" s="113">
        <v>39629</v>
      </c>
      <c r="B61" s="114">
        <f t="shared" si="0"/>
        <v>2</v>
      </c>
      <c r="C61" s="55">
        <f t="shared" si="1"/>
        <v>120567500</v>
      </c>
      <c r="D61" s="164"/>
      <c r="E61" s="118">
        <f>E59</f>
        <v>0.0288</v>
      </c>
      <c r="F61" s="55">
        <f>((C61+D61)*E61/360*B61)+((C60+D60)*E61/360*B60)</f>
        <v>892532.1000000001</v>
      </c>
      <c r="G61" s="116"/>
      <c r="H61" s="116"/>
      <c r="I61" s="117"/>
      <c r="K61" s="348"/>
      <c r="L61" s="119"/>
    </row>
    <row r="62" spans="1:12" ht="12.75">
      <c r="A62" s="113">
        <v>39719</v>
      </c>
      <c r="B62" s="114">
        <f t="shared" si="0"/>
        <v>90</v>
      </c>
      <c r="C62" s="55">
        <f t="shared" si="1"/>
        <v>118488750</v>
      </c>
      <c r="D62" s="164">
        <v>2078750</v>
      </c>
      <c r="E62" s="118"/>
      <c r="F62" s="55"/>
      <c r="G62" s="116"/>
      <c r="H62" s="116"/>
      <c r="I62" s="117"/>
      <c r="K62" s="348"/>
      <c r="L62" s="119"/>
    </row>
    <row r="63" spans="1:12" ht="12.75">
      <c r="A63" s="107">
        <v>39721</v>
      </c>
      <c r="B63" s="108">
        <f t="shared" si="0"/>
        <v>2</v>
      </c>
      <c r="C63" s="109">
        <f>C62-D63</f>
        <v>118488750</v>
      </c>
      <c r="D63" s="164"/>
      <c r="E63" s="133">
        <f>E61</f>
        <v>0.0288</v>
      </c>
      <c r="F63" s="109">
        <f>((C63+D63)*E63/360*B63)+((C62+D62)*E63/360*B62)</f>
        <v>887044.2</v>
      </c>
      <c r="G63" s="111"/>
      <c r="H63" s="111"/>
      <c r="I63" s="112"/>
      <c r="K63" s="345"/>
      <c r="L63" s="355"/>
    </row>
    <row r="64" spans="1:12" ht="12.75">
      <c r="A64" s="113">
        <v>39810</v>
      </c>
      <c r="B64" s="114">
        <f t="shared" si="0"/>
        <v>89</v>
      </c>
      <c r="C64" s="55">
        <f t="shared" si="1"/>
        <v>116410000</v>
      </c>
      <c r="D64" s="164">
        <v>2078750</v>
      </c>
      <c r="E64" s="118"/>
      <c r="F64" s="55"/>
      <c r="G64" s="116"/>
      <c r="H64" s="116"/>
      <c r="I64" s="117"/>
      <c r="K64" s="348"/>
      <c r="L64" s="119"/>
    </row>
    <row r="65" spans="1:12" ht="12.75">
      <c r="A65" s="120">
        <v>39813</v>
      </c>
      <c r="B65" s="121">
        <f t="shared" si="0"/>
        <v>3</v>
      </c>
      <c r="C65" s="170">
        <f t="shared" si="1"/>
        <v>116410000</v>
      </c>
      <c r="D65" s="170"/>
      <c r="E65" s="203">
        <f>E63</f>
        <v>0.0288</v>
      </c>
      <c r="F65" s="122">
        <f>((C65+D65)*E65/360*B65)+((C64+D64)*E65/360*B64)</f>
        <v>871578.3</v>
      </c>
      <c r="G65" s="171">
        <f>SUM(F58:F65)</f>
        <v>3558653.7</v>
      </c>
      <c r="H65" s="171">
        <f>SUM(D58:D65)</f>
        <v>8315000</v>
      </c>
      <c r="I65" s="172">
        <f>SUM(G65:H65)</f>
        <v>11873653.7</v>
      </c>
      <c r="K65" s="343"/>
      <c r="L65" s="347"/>
    </row>
    <row r="66" spans="1:12" ht="12.75">
      <c r="A66" s="126">
        <v>39900</v>
      </c>
      <c r="B66" s="127">
        <f t="shared" si="0"/>
        <v>87</v>
      </c>
      <c r="C66" s="56">
        <f t="shared" si="1"/>
        <v>114331250</v>
      </c>
      <c r="D66" s="165">
        <v>2078750</v>
      </c>
      <c r="E66" s="200"/>
      <c r="F66" s="56"/>
      <c r="G66" s="166"/>
      <c r="H66" s="166"/>
      <c r="I66" s="167"/>
      <c r="K66" s="341"/>
      <c r="L66" s="129"/>
    </row>
    <row r="67" spans="1:12" ht="12.75">
      <c r="A67" s="107">
        <v>39903</v>
      </c>
      <c r="B67" s="114">
        <f t="shared" si="0"/>
        <v>3</v>
      </c>
      <c r="C67" s="109">
        <f t="shared" si="1"/>
        <v>114331250</v>
      </c>
      <c r="D67" s="164"/>
      <c r="E67" s="196">
        <f>E65</f>
        <v>0.0288</v>
      </c>
      <c r="F67" s="109">
        <f>((C67+D67)*E67/360*B67)+((C66+D66)*E67/360*B66)</f>
        <v>837653.1</v>
      </c>
      <c r="G67" s="174"/>
      <c r="H67" s="174"/>
      <c r="I67" s="175"/>
      <c r="K67" s="345"/>
      <c r="L67" s="355"/>
    </row>
    <row r="68" spans="1:12" ht="12.75">
      <c r="A68" s="107">
        <v>39992</v>
      </c>
      <c r="B68" s="114">
        <f t="shared" si="0"/>
        <v>89</v>
      </c>
      <c r="C68" s="109">
        <f t="shared" si="1"/>
        <v>112252500</v>
      </c>
      <c r="D68" s="164">
        <v>2078750</v>
      </c>
      <c r="E68" s="196"/>
      <c r="F68" s="55"/>
      <c r="G68" s="174"/>
      <c r="H68" s="174"/>
      <c r="I68" s="175"/>
      <c r="K68" s="348"/>
      <c r="L68" s="119"/>
    </row>
    <row r="69" spans="1:12" ht="12.75">
      <c r="A69" s="107">
        <v>39994</v>
      </c>
      <c r="B69" s="114">
        <f t="shared" si="0"/>
        <v>2</v>
      </c>
      <c r="C69" s="109">
        <f t="shared" si="1"/>
        <v>112252500</v>
      </c>
      <c r="D69" s="164"/>
      <c r="E69" s="196">
        <f>E67</f>
        <v>0.0288</v>
      </c>
      <c r="F69" s="109">
        <f>((C69+D69)*E69/360*B69)+((C68+D68)*E69/360*B68)</f>
        <v>831998.9</v>
      </c>
      <c r="G69" s="174"/>
      <c r="H69" s="174"/>
      <c r="I69" s="175"/>
      <c r="K69" s="345"/>
      <c r="L69" s="355"/>
    </row>
    <row r="70" spans="1:12" ht="12.75">
      <c r="A70" s="107">
        <v>40084</v>
      </c>
      <c r="B70" s="114">
        <f t="shared" si="0"/>
        <v>90</v>
      </c>
      <c r="C70" s="109">
        <f t="shared" si="1"/>
        <v>110173750</v>
      </c>
      <c r="D70" s="164">
        <v>2078750</v>
      </c>
      <c r="E70" s="196"/>
      <c r="F70" s="55"/>
      <c r="G70" s="174"/>
      <c r="H70" s="174"/>
      <c r="I70" s="175"/>
      <c r="K70" s="348"/>
      <c r="L70" s="119"/>
    </row>
    <row r="71" spans="1:12" ht="12.75">
      <c r="A71" s="107">
        <v>40086</v>
      </c>
      <c r="B71" s="114">
        <f t="shared" si="0"/>
        <v>2</v>
      </c>
      <c r="C71" s="109">
        <f t="shared" si="1"/>
        <v>110173750</v>
      </c>
      <c r="D71" s="164"/>
      <c r="E71" s="196">
        <f>E69</f>
        <v>0.0288</v>
      </c>
      <c r="F71" s="109">
        <f>((C71+D71)*E71/360*B71)+((C70+D70)*E71/360*B70)</f>
        <v>825845.8000000002</v>
      </c>
      <c r="G71" s="174"/>
      <c r="H71" s="174"/>
      <c r="I71" s="175"/>
      <c r="K71" s="345"/>
      <c r="L71" s="355"/>
    </row>
    <row r="72" spans="1:12" ht="12.75">
      <c r="A72" s="107">
        <v>40175</v>
      </c>
      <c r="B72" s="114">
        <f t="shared" si="0"/>
        <v>89</v>
      </c>
      <c r="C72" s="109">
        <f t="shared" si="1"/>
        <v>108095000</v>
      </c>
      <c r="D72" s="164">
        <v>2078750</v>
      </c>
      <c r="E72" s="196"/>
      <c r="F72" s="55"/>
      <c r="G72" s="174"/>
      <c r="H72" s="174"/>
      <c r="I72" s="175"/>
      <c r="K72" s="348"/>
      <c r="L72" s="119"/>
    </row>
    <row r="73" spans="1:12" ht="12.75">
      <c r="A73" s="168">
        <v>40178</v>
      </c>
      <c r="B73" s="121">
        <f t="shared" si="0"/>
        <v>3</v>
      </c>
      <c r="C73" s="201">
        <f t="shared" si="1"/>
        <v>108095000</v>
      </c>
      <c r="D73" s="169"/>
      <c r="E73" s="198">
        <f>E71</f>
        <v>0.0288</v>
      </c>
      <c r="F73" s="109">
        <f>((C73+D73)*E73/360*B73)+((C72+D72)*E73/360*B72)</f>
        <v>810379.9</v>
      </c>
      <c r="G73" s="176">
        <f>SUM(F66:F73)</f>
        <v>3305877.7</v>
      </c>
      <c r="H73" s="176">
        <f>SUM(D66:D73)</f>
        <v>8315000</v>
      </c>
      <c r="I73" s="177">
        <f>SUM(G73:H73)</f>
        <v>11620877.7</v>
      </c>
      <c r="K73" s="345"/>
      <c r="L73" s="355"/>
    </row>
    <row r="74" spans="1:12" ht="12.75">
      <c r="A74" s="126">
        <v>40265</v>
      </c>
      <c r="B74" s="108">
        <f t="shared" si="0"/>
        <v>87</v>
      </c>
      <c r="C74" s="164">
        <f t="shared" si="1"/>
        <v>106016250</v>
      </c>
      <c r="D74" s="164">
        <v>2078750</v>
      </c>
      <c r="E74" s="196"/>
      <c r="F74" s="56"/>
      <c r="G74" s="166"/>
      <c r="H74" s="166"/>
      <c r="I74" s="167"/>
      <c r="K74" s="341"/>
      <c r="L74" s="129"/>
    </row>
    <row r="75" spans="1:12" ht="12.75">
      <c r="A75" s="107">
        <v>40268</v>
      </c>
      <c r="B75" s="114">
        <f t="shared" si="0"/>
        <v>3</v>
      </c>
      <c r="C75" s="164">
        <f t="shared" si="1"/>
        <v>106016250</v>
      </c>
      <c r="D75" s="164"/>
      <c r="E75" s="196">
        <f>E73</f>
        <v>0.0288</v>
      </c>
      <c r="F75" s="109">
        <f>((C75+D75)*E75/360*B75)+((C74+D74)*E75/360*B74)</f>
        <v>777785.1000000001</v>
      </c>
      <c r="G75" s="174"/>
      <c r="H75" s="174"/>
      <c r="I75" s="175"/>
      <c r="K75" s="345"/>
      <c r="L75" s="355"/>
    </row>
    <row r="76" spans="1:12" ht="12.75">
      <c r="A76" s="107">
        <v>40357</v>
      </c>
      <c r="B76" s="114">
        <f aca="true" t="shared" si="2" ref="B76:B139">A76-A75</f>
        <v>89</v>
      </c>
      <c r="C76" s="164">
        <f t="shared" si="1"/>
        <v>103937500</v>
      </c>
      <c r="D76" s="164">
        <v>2078750</v>
      </c>
      <c r="E76" s="196"/>
      <c r="F76" s="55"/>
      <c r="G76" s="174"/>
      <c r="H76" s="174"/>
      <c r="I76" s="175"/>
      <c r="K76" s="348"/>
      <c r="L76" s="119"/>
    </row>
    <row r="77" spans="1:12" ht="12.75">
      <c r="A77" s="107">
        <v>40359</v>
      </c>
      <c r="B77" s="114">
        <f t="shared" si="2"/>
        <v>2</v>
      </c>
      <c r="C77" s="164">
        <f t="shared" si="1"/>
        <v>103937500</v>
      </c>
      <c r="D77" s="164"/>
      <c r="E77" s="196">
        <f>E75</f>
        <v>0.0288</v>
      </c>
      <c r="F77" s="109">
        <f>((C77+D77)*E77/360*B77)+((C76+D76)*E77/360*B76)</f>
        <v>771465.7</v>
      </c>
      <c r="G77" s="174"/>
      <c r="H77" s="174"/>
      <c r="I77" s="175"/>
      <c r="K77" s="345"/>
      <c r="L77" s="355"/>
    </row>
    <row r="78" spans="1:12" ht="12.75">
      <c r="A78" s="107">
        <v>40449</v>
      </c>
      <c r="B78" s="114">
        <f t="shared" si="2"/>
        <v>90</v>
      </c>
      <c r="C78" s="164">
        <f t="shared" si="1"/>
        <v>101858750</v>
      </c>
      <c r="D78" s="164">
        <v>2078750</v>
      </c>
      <c r="E78" s="196"/>
      <c r="F78" s="55"/>
      <c r="G78" s="174"/>
      <c r="H78" s="174"/>
      <c r="I78" s="175"/>
      <c r="K78" s="348"/>
      <c r="L78" s="119"/>
    </row>
    <row r="79" spans="1:12" ht="12.75">
      <c r="A79" s="107">
        <v>40451</v>
      </c>
      <c r="B79" s="114">
        <f t="shared" si="2"/>
        <v>2</v>
      </c>
      <c r="C79" s="164">
        <f>C78-D79</f>
        <v>101858750</v>
      </c>
      <c r="D79" s="164"/>
      <c r="E79" s="196">
        <f>E77</f>
        <v>0.0288</v>
      </c>
      <c r="F79" s="109">
        <f>((C79+D79)*E79/360*B79)+((C78+D78)*E79/360*B78)</f>
        <v>764647.4</v>
      </c>
      <c r="G79" s="174"/>
      <c r="H79" s="174"/>
      <c r="I79" s="175"/>
      <c r="K79" s="345"/>
      <c r="L79" s="355"/>
    </row>
    <row r="80" spans="1:12" ht="12.75">
      <c r="A80" s="107">
        <v>40540</v>
      </c>
      <c r="B80" s="114">
        <f t="shared" si="2"/>
        <v>89</v>
      </c>
      <c r="C80" s="164">
        <f t="shared" si="1"/>
        <v>99780000</v>
      </c>
      <c r="D80" s="164">
        <v>2078750</v>
      </c>
      <c r="E80" s="196"/>
      <c r="F80" s="55"/>
      <c r="G80" s="174"/>
      <c r="H80" s="174"/>
      <c r="I80" s="175"/>
      <c r="K80" s="348"/>
      <c r="L80" s="119"/>
    </row>
    <row r="81" spans="1:12" ht="12.75">
      <c r="A81" s="168">
        <v>40543</v>
      </c>
      <c r="B81" s="131">
        <f t="shared" si="2"/>
        <v>3</v>
      </c>
      <c r="C81" s="197">
        <f t="shared" si="1"/>
        <v>99780000</v>
      </c>
      <c r="D81" s="169"/>
      <c r="E81" s="198">
        <f>E79</f>
        <v>0.0288</v>
      </c>
      <c r="F81" s="109">
        <f>((C81+D81)*E81/360*B81)+((C80+D80)*E81/360*B80)</f>
        <v>749181.4999999999</v>
      </c>
      <c r="G81" s="176">
        <f>SUM(F74:F81)</f>
        <v>3063079.7</v>
      </c>
      <c r="H81" s="176">
        <f>SUM(D74:D81)</f>
        <v>8315000</v>
      </c>
      <c r="I81" s="177">
        <f>SUM(G81:H81)</f>
        <v>11378079.7</v>
      </c>
      <c r="K81" s="345"/>
      <c r="L81" s="355"/>
    </row>
    <row r="82" spans="1:12" ht="12.75">
      <c r="A82" s="126">
        <v>40630</v>
      </c>
      <c r="B82" s="127">
        <f t="shared" si="2"/>
        <v>87</v>
      </c>
      <c r="C82" s="56">
        <f t="shared" si="1"/>
        <v>97701250</v>
      </c>
      <c r="D82" s="164">
        <v>2078750</v>
      </c>
      <c r="E82" s="196"/>
      <c r="F82" s="56"/>
      <c r="G82" s="166"/>
      <c r="H82" s="166"/>
      <c r="I82" s="167"/>
      <c r="K82" s="341"/>
      <c r="L82" s="129"/>
    </row>
    <row r="83" spans="1:12" ht="12.75">
      <c r="A83" s="107">
        <v>40633</v>
      </c>
      <c r="B83" s="114">
        <f t="shared" si="2"/>
        <v>3</v>
      </c>
      <c r="C83" s="109">
        <f t="shared" si="1"/>
        <v>97701250</v>
      </c>
      <c r="D83" s="164"/>
      <c r="E83" s="196">
        <f>E81</f>
        <v>0.0288</v>
      </c>
      <c r="F83" s="109">
        <f>((C83+D83)*E83/360*B83)+((C82+D82)*E83/360*B82)</f>
        <v>717917.1</v>
      </c>
      <c r="G83" s="174"/>
      <c r="H83" s="174"/>
      <c r="I83" s="175"/>
      <c r="K83" s="345"/>
      <c r="L83" s="355"/>
    </row>
    <row r="84" spans="1:12" ht="12.75">
      <c r="A84" s="107">
        <v>40722</v>
      </c>
      <c r="B84" s="114">
        <f t="shared" si="2"/>
        <v>89</v>
      </c>
      <c r="C84" s="109">
        <f t="shared" si="1"/>
        <v>95622500</v>
      </c>
      <c r="D84" s="164">
        <v>2078750</v>
      </c>
      <c r="E84" s="196"/>
      <c r="F84" s="55"/>
      <c r="G84" s="174"/>
      <c r="H84" s="174"/>
      <c r="I84" s="175"/>
      <c r="K84" s="348"/>
      <c r="L84" s="119"/>
    </row>
    <row r="85" spans="1:12" ht="12.75">
      <c r="A85" s="107">
        <v>40724</v>
      </c>
      <c r="B85" s="114">
        <f t="shared" si="2"/>
        <v>2</v>
      </c>
      <c r="C85" s="109">
        <f t="shared" si="1"/>
        <v>95622500</v>
      </c>
      <c r="D85" s="164"/>
      <c r="E85" s="196">
        <f>E83</f>
        <v>0.0288</v>
      </c>
      <c r="F85" s="109">
        <f>((C85+D85)*E85/360*B85)+((C84+D84)*E85/360*B84)</f>
        <v>710932.5</v>
      </c>
      <c r="G85" s="174"/>
      <c r="H85" s="174"/>
      <c r="I85" s="175"/>
      <c r="K85" s="345"/>
      <c r="L85" s="355"/>
    </row>
    <row r="86" spans="1:12" ht="12.75">
      <c r="A86" s="107">
        <v>40814</v>
      </c>
      <c r="B86" s="114">
        <f t="shared" si="2"/>
        <v>90</v>
      </c>
      <c r="C86" s="109">
        <f t="shared" si="1"/>
        <v>93543750</v>
      </c>
      <c r="D86" s="164">
        <v>2078750</v>
      </c>
      <c r="E86" s="196"/>
      <c r="F86" s="55"/>
      <c r="G86" s="174"/>
      <c r="H86" s="174"/>
      <c r="I86" s="175"/>
      <c r="K86" s="348"/>
      <c r="L86" s="119"/>
    </row>
    <row r="87" spans="1:12" ht="12.75">
      <c r="A87" s="107">
        <v>40816</v>
      </c>
      <c r="B87" s="114">
        <f t="shared" si="2"/>
        <v>2</v>
      </c>
      <c r="C87" s="109">
        <f t="shared" si="1"/>
        <v>93543750</v>
      </c>
      <c r="D87" s="164"/>
      <c r="E87" s="196">
        <f>E85</f>
        <v>0.0288</v>
      </c>
      <c r="F87" s="109">
        <f>((C87+D87)*E87/360*B87)+((C86+D86)*E87/360*B86)</f>
        <v>703449</v>
      </c>
      <c r="G87" s="174"/>
      <c r="H87" s="174"/>
      <c r="I87" s="175"/>
      <c r="K87" s="345"/>
      <c r="L87" s="355"/>
    </row>
    <row r="88" spans="1:12" ht="12.75">
      <c r="A88" s="107">
        <v>40905</v>
      </c>
      <c r="B88" s="114">
        <f t="shared" si="2"/>
        <v>89</v>
      </c>
      <c r="C88" s="109">
        <f t="shared" si="1"/>
        <v>91465000</v>
      </c>
      <c r="D88" s="164">
        <v>2078750</v>
      </c>
      <c r="E88" s="196"/>
      <c r="F88" s="55"/>
      <c r="G88" s="174"/>
      <c r="H88" s="174"/>
      <c r="I88" s="175"/>
      <c r="K88" s="348"/>
      <c r="L88" s="119"/>
    </row>
    <row r="89" spans="1:12" ht="12.75">
      <c r="A89" s="168">
        <v>40908</v>
      </c>
      <c r="B89" s="121">
        <f t="shared" si="2"/>
        <v>3</v>
      </c>
      <c r="C89" s="201">
        <f aca="true" t="shared" si="3" ref="C89:C96">C88-D89</f>
        <v>91465000</v>
      </c>
      <c r="D89" s="169"/>
      <c r="E89" s="198">
        <f>E87</f>
        <v>0.0288</v>
      </c>
      <c r="F89" s="109">
        <f>((C89+D89)*E89/360*B89)+((C88+D88)*E89/360*B88)</f>
        <v>687983.1</v>
      </c>
      <c r="G89" s="176">
        <f>SUM(F82:F89)</f>
        <v>2820281.7</v>
      </c>
      <c r="H89" s="176">
        <f>SUM(D82:D89)</f>
        <v>8315000</v>
      </c>
      <c r="I89" s="177">
        <f>SUM(G89:H89)</f>
        <v>11135281.7</v>
      </c>
      <c r="K89" s="345"/>
      <c r="L89" s="355"/>
    </row>
    <row r="90" spans="1:12" ht="12.75">
      <c r="A90" s="126">
        <v>40996</v>
      </c>
      <c r="B90" s="108">
        <f t="shared" si="2"/>
        <v>88</v>
      </c>
      <c r="C90" s="164">
        <f t="shared" si="3"/>
        <v>89386250</v>
      </c>
      <c r="D90" s="164">
        <v>2078750</v>
      </c>
      <c r="E90" s="196"/>
      <c r="F90" s="56"/>
      <c r="G90" s="166"/>
      <c r="H90" s="166"/>
      <c r="I90" s="167"/>
      <c r="K90" s="341"/>
      <c r="L90" s="129"/>
    </row>
    <row r="91" spans="1:12" ht="12.75">
      <c r="A91" s="107">
        <v>40999</v>
      </c>
      <c r="B91" s="114">
        <f t="shared" si="2"/>
        <v>3</v>
      </c>
      <c r="C91" s="164">
        <f t="shared" si="3"/>
        <v>89386250</v>
      </c>
      <c r="D91" s="164"/>
      <c r="E91" s="196">
        <f>E89</f>
        <v>0.0288</v>
      </c>
      <c r="F91" s="109">
        <f>((C91+D91)*E91/360*B91)+((C90+D90)*E91/360*B90)</f>
        <v>665366.2999999999</v>
      </c>
      <c r="G91" s="174"/>
      <c r="H91" s="174"/>
      <c r="I91" s="175"/>
      <c r="K91" s="345"/>
      <c r="L91" s="355"/>
    </row>
    <row r="92" spans="1:12" ht="12.75">
      <c r="A92" s="107">
        <v>41088</v>
      </c>
      <c r="B92" s="114">
        <f t="shared" si="2"/>
        <v>89</v>
      </c>
      <c r="C92" s="164">
        <f t="shared" si="3"/>
        <v>87307500</v>
      </c>
      <c r="D92" s="164">
        <v>2078750</v>
      </c>
      <c r="E92" s="196"/>
      <c r="F92" s="55"/>
      <c r="G92" s="174"/>
      <c r="H92" s="174"/>
      <c r="I92" s="175"/>
      <c r="K92" s="348"/>
      <c r="L92" s="119"/>
    </row>
    <row r="93" spans="1:12" ht="12.75">
      <c r="A93" s="107">
        <v>41090</v>
      </c>
      <c r="B93" s="114">
        <f t="shared" si="2"/>
        <v>2</v>
      </c>
      <c r="C93" s="164">
        <f t="shared" si="3"/>
        <v>87307500</v>
      </c>
      <c r="D93" s="164"/>
      <c r="E93" s="196">
        <f>E91</f>
        <v>0.0288</v>
      </c>
      <c r="F93" s="109">
        <f>((C93+D93)*E93/360*B93)+((C92+D92)*E93/360*B92)</f>
        <v>650399.2999999999</v>
      </c>
      <c r="G93" s="174"/>
      <c r="H93" s="174"/>
      <c r="I93" s="175"/>
      <c r="K93" s="345"/>
      <c r="L93" s="355"/>
    </row>
    <row r="94" spans="1:12" ht="12.75">
      <c r="A94" s="107">
        <v>41180</v>
      </c>
      <c r="B94" s="114">
        <f t="shared" si="2"/>
        <v>90</v>
      </c>
      <c r="C94" s="164">
        <f t="shared" si="3"/>
        <v>85228750</v>
      </c>
      <c r="D94" s="164">
        <v>2078750</v>
      </c>
      <c r="E94" s="196"/>
      <c r="F94" s="55"/>
      <c r="G94" s="174"/>
      <c r="H94" s="174"/>
      <c r="I94" s="175"/>
      <c r="K94" s="348"/>
      <c r="L94" s="119"/>
    </row>
    <row r="95" spans="1:12" ht="12.75">
      <c r="A95" s="107">
        <v>41182</v>
      </c>
      <c r="B95" s="114">
        <f t="shared" si="2"/>
        <v>2</v>
      </c>
      <c r="C95" s="164">
        <f t="shared" si="3"/>
        <v>85228750</v>
      </c>
      <c r="D95" s="164"/>
      <c r="E95" s="196">
        <f>E93</f>
        <v>0.0288</v>
      </c>
      <c r="F95" s="109">
        <f>((C95+D95)*E95/360*B95)+((C94+D94)*E95/360*B94)</f>
        <v>642250.6</v>
      </c>
      <c r="G95" s="174"/>
      <c r="H95" s="174"/>
      <c r="I95" s="175"/>
      <c r="K95" s="345"/>
      <c r="L95" s="355"/>
    </row>
    <row r="96" spans="1:12" ht="12.75">
      <c r="A96" s="107">
        <v>41271</v>
      </c>
      <c r="B96" s="114">
        <f t="shared" si="2"/>
        <v>89</v>
      </c>
      <c r="C96" s="164">
        <f t="shared" si="3"/>
        <v>83150000</v>
      </c>
      <c r="D96" s="164">
        <v>2078750</v>
      </c>
      <c r="E96" s="196"/>
      <c r="F96" s="55"/>
      <c r="G96" s="174"/>
      <c r="H96" s="174"/>
      <c r="I96" s="175"/>
      <c r="K96" s="348"/>
      <c r="L96" s="119"/>
    </row>
    <row r="97" spans="1:12" ht="12.75">
      <c r="A97" s="168">
        <v>41274</v>
      </c>
      <c r="B97" s="131">
        <f t="shared" si="2"/>
        <v>3</v>
      </c>
      <c r="C97" s="197">
        <f>C96-D97</f>
        <v>83150000</v>
      </c>
      <c r="D97" s="169"/>
      <c r="E97" s="198">
        <f>E95</f>
        <v>0.0288</v>
      </c>
      <c r="F97" s="109">
        <f>((C97+D97)*E97/360*B97)+((C96+D96)*E97/360*B96)</f>
        <v>626784.7000000001</v>
      </c>
      <c r="G97" s="176">
        <f>SUM(F90:F97)</f>
        <v>2584800.9</v>
      </c>
      <c r="H97" s="176">
        <f>SUM(D90:D97)</f>
        <v>8315000</v>
      </c>
      <c r="I97" s="177">
        <f>SUM(G97:H97)</f>
        <v>10899800.9</v>
      </c>
      <c r="K97" s="345"/>
      <c r="L97" s="355"/>
    </row>
    <row r="98" spans="1:12" ht="12.75">
      <c r="A98" s="126">
        <v>41361</v>
      </c>
      <c r="B98" s="127">
        <f t="shared" si="2"/>
        <v>87</v>
      </c>
      <c r="C98" s="56">
        <f aca="true" t="shared" si="4" ref="C98:C114">C97-D98</f>
        <v>81071250</v>
      </c>
      <c r="D98" s="164">
        <v>2078750</v>
      </c>
      <c r="E98" s="196"/>
      <c r="F98" s="56"/>
      <c r="G98" s="166"/>
      <c r="H98" s="166"/>
      <c r="I98" s="167"/>
      <c r="K98" s="341"/>
      <c r="L98" s="129"/>
    </row>
    <row r="99" spans="1:12" ht="12.75">
      <c r="A99" s="107">
        <v>41364</v>
      </c>
      <c r="B99" s="114">
        <f t="shared" si="2"/>
        <v>3</v>
      </c>
      <c r="C99" s="109">
        <f t="shared" si="4"/>
        <v>81071250</v>
      </c>
      <c r="D99" s="164"/>
      <c r="E99" s="196">
        <f>E97</f>
        <v>0.0288</v>
      </c>
      <c r="F99" s="109">
        <f>((C99+D99)*E99/360*B99)+((C98+D98)*E99/360*B98)</f>
        <v>598181.1</v>
      </c>
      <c r="G99" s="174"/>
      <c r="H99" s="174"/>
      <c r="I99" s="175"/>
      <c r="K99" s="345"/>
      <c r="L99" s="355"/>
    </row>
    <row r="100" spans="1:12" ht="12.75">
      <c r="A100" s="107">
        <v>41453</v>
      </c>
      <c r="B100" s="114">
        <f t="shared" si="2"/>
        <v>89</v>
      </c>
      <c r="C100" s="109">
        <f t="shared" si="4"/>
        <v>78992500</v>
      </c>
      <c r="D100" s="164">
        <v>2078750</v>
      </c>
      <c r="E100" s="196"/>
      <c r="F100" s="55"/>
      <c r="G100" s="174"/>
      <c r="H100" s="174"/>
      <c r="I100" s="175"/>
      <c r="K100" s="348"/>
      <c r="L100" s="119"/>
    </row>
    <row r="101" spans="1:12" ht="12.75">
      <c r="A101" s="107">
        <v>41455</v>
      </c>
      <c r="B101" s="114">
        <f t="shared" si="2"/>
        <v>2</v>
      </c>
      <c r="C101" s="109">
        <f t="shared" si="4"/>
        <v>78992500</v>
      </c>
      <c r="D101" s="164"/>
      <c r="E101" s="196">
        <f>E99</f>
        <v>0.0288</v>
      </c>
      <c r="F101" s="109">
        <f>((C101+D101)*E101/360*B101)+((C100+D100)*E101/360*B100)</f>
        <v>589866.1</v>
      </c>
      <c r="G101" s="174"/>
      <c r="H101" s="174"/>
      <c r="I101" s="175"/>
      <c r="K101" s="345"/>
      <c r="L101" s="355"/>
    </row>
    <row r="102" spans="1:12" ht="12.75">
      <c r="A102" s="113">
        <v>41545</v>
      </c>
      <c r="B102" s="114">
        <f t="shared" si="2"/>
        <v>90</v>
      </c>
      <c r="C102" s="55">
        <f t="shared" si="4"/>
        <v>76913750</v>
      </c>
      <c r="D102" s="164">
        <v>2078750</v>
      </c>
      <c r="E102" s="202"/>
      <c r="F102" s="55"/>
      <c r="G102" s="181"/>
      <c r="H102" s="181"/>
      <c r="I102" s="182"/>
      <c r="K102" s="348"/>
      <c r="L102" s="119"/>
    </row>
    <row r="103" spans="1:12" ht="12.75">
      <c r="A103" s="113">
        <v>41547</v>
      </c>
      <c r="B103" s="114">
        <f t="shared" si="2"/>
        <v>2</v>
      </c>
      <c r="C103" s="55">
        <f t="shared" si="4"/>
        <v>76913750</v>
      </c>
      <c r="D103" s="164"/>
      <c r="E103" s="202">
        <f>E101</f>
        <v>0.0288</v>
      </c>
      <c r="F103" s="55">
        <f>((C103+D103)*E103/360*B103)+((C102+D102)*E103/360*B102)</f>
        <v>581052.2</v>
      </c>
      <c r="G103" s="181"/>
      <c r="H103" s="181"/>
      <c r="I103" s="182"/>
      <c r="K103" s="348"/>
      <c r="L103" s="119"/>
    </row>
    <row r="104" spans="1:12" ht="12.75">
      <c r="A104" s="107">
        <v>41636</v>
      </c>
      <c r="B104" s="114">
        <f t="shared" si="2"/>
        <v>89</v>
      </c>
      <c r="C104" s="109">
        <f t="shared" si="4"/>
        <v>74835000</v>
      </c>
      <c r="D104" s="164">
        <v>2078750</v>
      </c>
      <c r="E104" s="196"/>
      <c r="F104" s="55"/>
      <c r="G104" s="174"/>
      <c r="H104" s="174"/>
      <c r="I104" s="175"/>
      <c r="K104" s="348"/>
      <c r="L104" s="119"/>
    </row>
    <row r="105" spans="1:12" ht="12.75">
      <c r="A105" s="120">
        <v>41639</v>
      </c>
      <c r="B105" s="121">
        <f t="shared" si="2"/>
        <v>3</v>
      </c>
      <c r="C105" s="122">
        <f t="shared" si="4"/>
        <v>74835000</v>
      </c>
      <c r="D105" s="169"/>
      <c r="E105" s="214">
        <f>E103</f>
        <v>0.0288</v>
      </c>
      <c r="F105" s="122">
        <f>((C105+D105)*E105/360*B105)+((C104+D104)*E105/360*B104)</f>
        <v>565586.3</v>
      </c>
      <c r="G105" s="124">
        <f>SUM(F98:F105)</f>
        <v>2334685.7</v>
      </c>
      <c r="H105" s="124">
        <f>SUM(D98:D105)</f>
        <v>8315000</v>
      </c>
      <c r="I105" s="125">
        <f>SUM(G105:H105)</f>
        <v>10649685.7</v>
      </c>
      <c r="K105" s="343"/>
      <c r="L105" s="347"/>
    </row>
    <row r="106" spans="1:12" ht="12.75">
      <c r="A106" s="126">
        <v>41726</v>
      </c>
      <c r="B106" s="127">
        <f t="shared" si="2"/>
        <v>87</v>
      </c>
      <c r="C106" s="56">
        <f t="shared" si="4"/>
        <v>72756250</v>
      </c>
      <c r="D106" s="164">
        <v>2078750</v>
      </c>
      <c r="E106" s="128"/>
      <c r="F106" s="56"/>
      <c r="G106" s="178"/>
      <c r="H106" s="178"/>
      <c r="I106" s="179"/>
      <c r="K106" s="341"/>
      <c r="L106" s="129"/>
    </row>
    <row r="107" spans="1:12" ht="12.75">
      <c r="A107" s="107">
        <v>41729</v>
      </c>
      <c r="B107" s="108">
        <f t="shared" si="2"/>
        <v>3</v>
      </c>
      <c r="C107" s="164">
        <f t="shared" si="4"/>
        <v>72756250</v>
      </c>
      <c r="D107" s="164"/>
      <c r="E107" s="196">
        <f>E105</f>
        <v>0.0288</v>
      </c>
      <c r="F107" s="109">
        <f>((C107+D107)*E107/360*B107)+((C106+D106)*E107/360*B106)</f>
        <v>538313.1000000001</v>
      </c>
      <c r="G107" s="174"/>
      <c r="H107" s="174"/>
      <c r="I107" s="175"/>
      <c r="K107" s="345"/>
      <c r="L107" s="355"/>
    </row>
    <row r="108" spans="1:12" ht="12.75">
      <c r="A108" s="107">
        <v>41818</v>
      </c>
      <c r="B108" s="114">
        <f t="shared" si="2"/>
        <v>89</v>
      </c>
      <c r="C108" s="164">
        <f t="shared" si="4"/>
        <v>70677500</v>
      </c>
      <c r="D108" s="164">
        <v>2078750</v>
      </c>
      <c r="E108" s="196"/>
      <c r="F108" s="55"/>
      <c r="G108" s="174"/>
      <c r="H108" s="174"/>
      <c r="I108" s="175"/>
      <c r="K108" s="348"/>
      <c r="L108" s="119"/>
    </row>
    <row r="109" spans="1:12" ht="12.75">
      <c r="A109" s="113">
        <v>41820</v>
      </c>
      <c r="B109" s="114">
        <f t="shared" si="2"/>
        <v>2</v>
      </c>
      <c r="C109" s="55">
        <f t="shared" si="4"/>
        <v>70677500</v>
      </c>
      <c r="D109" s="164"/>
      <c r="E109" s="118">
        <f>E107</f>
        <v>0.0288</v>
      </c>
      <c r="F109" s="109">
        <f>((C109+D109)*E109/360*B109)+((C108+D108)*E109/360*B108)</f>
        <v>529332.9</v>
      </c>
      <c r="G109" s="116"/>
      <c r="H109" s="116"/>
      <c r="I109" s="117"/>
      <c r="K109" s="345"/>
      <c r="L109" s="355"/>
    </row>
    <row r="110" spans="1:12" ht="12.75">
      <c r="A110" s="113">
        <v>41910</v>
      </c>
      <c r="B110" s="114">
        <f t="shared" si="2"/>
        <v>90</v>
      </c>
      <c r="C110" s="55">
        <f t="shared" si="4"/>
        <v>68598750</v>
      </c>
      <c r="D110" s="164">
        <v>2078750</v>
      </c>
      <c r="E110" s="118"/>
      <c r="F110" s="109"/>
      <c r="G110" s="116"/>
      <c r="H110" s="116"/>
      <c r="I110" s="117"/>
      <c r="K110" s="345"/>
      <c r="L110" s="355"/>
    </row>
    <row r="111" spans="1:12" ht="12.75">
      <c r="A111" s="107">
        <v>41912</v>
      </c>
      <c r="B111" s="114">
        <f t="shared" si="2"/>
        <v>2</v>
      </c>
      <c r="C111" s="164">
        <f t="shared" si="4"/>
        <v>68598750</v>
      </c>
      <c r="D111" s="164"/>
      <c r="E111" s="196">
        <f>E109</f>
        <v>0.0288</v>
      </c>
      <c r="F111" s="109">
        <f>((C111+D111)*E111/360*B111)+((C110+D110)*E111/360*B110)</f>
        <v>519853.8</v>
      </c>
      <c r="G111" s="174"/>
      <c r="H111" s="174"/>
      <c r="I111" s="175"/>
      <c r="K111" s="345"/>
      <c r="L111" s="355"/>
    </row>
    <row r="112" spans="1:12" ht="12.75">
      <c r="A112" s="107">
        <v>42001</v>
      </c>
      <c r="B112" s="114">
        <f t="shared" si="2"/>
        <v>89</v>
      </c>
      <c r="C112" s="164">
        <f t="shared" si="4"/>
        <v>66520000</v>
      </c>
      <c r="D112" s="164">
        <v>2078750</v>
      </c>
      <c r="E112" s="196"/>
      <c r="F112" s="55"/>
      <c r="G112" s="174"/>
      <c r="H112" s="174"/>
      <c r="I112" s="175"/>
      <c r="K112" s="348"/>
      <c r="L112" s="119"/>
    </row>
    <row r="113" spans="1:12" ht="12.75">
      <c r="A113" s="168">
        <v>42004</v>
      </c>
      <c r="B113" s="131">
        <f t="shared" si="2"/>
        <v>3</v>
      </c>
      <c r="C113" s="197">
        <f t="shared" si="4"/>
        <v>66520000</v>
      </c>
      <c r="D113" s="169"/>
      <c r="E113" s="198">
        <f>E111</f>
        <v>0.0288</v>
      </c>
      <c r="F113" s="109">
        <f>((C113+D113)*E113/360*B113)+((C112+D112)*E113/360*B112)</f>
        <v>504387.89999999997</v>
      </c>
      <c r="G113" s="176">
        <f>SUM(F106:F113)</f>
        <v>2091887.7</v>
      </c>
      <c r="H113" s="176">
        <f>SUM(D106:D113)</f>
        <v>8315000</v>
      </c>
      <c r="I113" s="177">
        <f>SUM(G113:H113)</f>
        <v>10406887.7</v>
      </c>
      <c r="K113" s="345"/>
      <c r="L113" s="355"/>
    </row>
    <row r="114" spans="1:12" ht="12.75">
      <c r="A114" s="126">
        <v>42091</v>
      </c>
      <c r="B114" s="127">
        <f t="shared" si="2"/>
        <v>87</v>
      </c>
      <c r="C114" s="56">
        <f t="shared" si="4"/>
        <v>64441250</v>
      </c>
      <c r="D114" s="164">
        <v>2078750</v>
      </c>
      <c r="E114" s="196"/>
      <c r="F114" s="56"/>
      <c r="G114" s="166"/>
      <c r="H114" s="166"/>
      <c r="I114" s="167"/>
      <c r="K114" s="341"/>
      <c r="L114" s="129"/>
    </row>
    <row r="115" spans="1:12" ht="12.75">
      <c r="A115" s="107">
        <v>42094</v>
      </c>
      <c r="B115" s="114">
        <f t="shared" si="2"/>
        <v>3</v>
      </c>
      <c r="C115" s="109">
        <f>C114-D115</f>
        <v>64441250</v>
      </c>
      <c r="D115" s="164"/>
      <c r="E115" s="196">
        <f>E113</f>
        <v>0.0288</v>
      </c>
      <c r="F115" s="109">
        <f>((C115+D115)*E115/360*B115)+((C114+D114)*E115/360*B114)</f>
        <v>478445.10000000003</v>
      </c>
      <c r="G115" s="174"/>
      <c r="H115" s="174"/>
      <c r="I115" s="175"/>
      <c r="K115" s="345"/>
      <c r="L115" s="355"/>
    </row>
    <row r="116" spans="1:12" ht="12.75">
      <c r="A116" s="113">
        <v>42183</v>
      </c>
      <c r="B116" s="114">
        <f t="shared" si="2"/>
        <v>89</v>
      </c>
      <c r="C116" s="55">
        <f aca="true" t="shared" si="5" ref="C116:C133">C115-D116</f>
        <v>62362500</v>
      </c>
      <c r="D116" s="164">
        <v>2078750</v>
      </c>
      <c r="E116" s="118"/>
      <c r="F116" s="55"/>
      <c r="G116" s="116"/>
      <c r="H116" s="116"/>
      <c r="I116" s="117"/>
      <c r="K116" s="348"/>
      <c r="L116" s="119"/>
    </row>
    <row r="117" spans="1:12" ht="12.75">
      <c r="A117" s="113">
        <v>42185</v>
      </c>
      <c r="B117" s="114">
        <f t="shared" si="2"/>
        <v>2</v>
      </c>
      <c r="C117" s="55">
        <f t="shared" si="5"/>
        <v>62362500</v>
      </c>
      <c r="D117" s="164"/>
      <c r="E117" s="118">
        <f>E115</f>
        <v>0.0288</v>
      </c>
      <c r="F117" s="109">
        <f>((C117+D117)*E117/360*B117)+((C116+D116)*E117/360*B116)</f>
        <v>468799.7</v>
      </c>
      <c r="G117" s="116"/>
      <c r="H117" s="116"/>
      <c r="I117" s="117"/>
      <c r="K117" s="345"/>
      <c r="L117" s="355"/>
    </row>
    <row r="118" spans="1:12" ht="12.75">
      <c r="A118" s="113">
        <v>42275</v>
      </c>
      <c r="B118" s="114">
        <f t="shared" si="2"/>
        <v>90</v>
      </c>
      <c r="C118" s="55">
        <f t="shared" si="5"/>
        <v>60283750</v>
      </c>
      <c r="D118" s="164">
        <v>2078750</v>
      </c>
      <c r="E118" s="202"/>
      <c r="F118" s="55"/>
      <c r="G118" s="181"/>
      <c r="H118" s="181"/>
      <c r="I118" s="182"/>
      <c r="K118" s="348"/>
      <c r="L118" s="119"/>
    </row>
    <row r="119" spans="1:12" ht="12.75">
      <c r="A119" s="113">
        <v>42277</v>
      </c>
      <c r="B119" s="114">
        <f t="shared" si="2"/>
        <v>2</v>
      </c>
      <c r="C119" s="55">
        <f t="shared" si="5"/>
        <v>60283750</v>
      </c>
      <c r="D119" s="164"/>
      <c r="E119" s="202">
        <f>E117</f>
        <v>0.0288</v>
      </c>
      <c r="F119" s="109">
        <f>((C119+D119)*E119/360*B119)+((C118+D118)*E119/360*B118)</f>
        <v>458655.4</v>
      </c>
      <c r="G119" s="181"/>
      <c r="H119" s="181"/>
      <c r="I119" s="182"/>
      <c r="K119" s="345"/>
      <c r="L119" s="355"/>
    </row>
    <row r="120" spans="1:12" ht="12.75">
      <c r="A120" s="107">
        <v>42366</v>
      </c>
      <c r="B120" s="114">
        <f t="shared" si="2"/>
        <v>89</v>
      </c>
      <c r="C120" s="109">
        <f t="shared" si="5"/>
        <v>58205000</v>
      </c>
      <c r="D120" s="164">
        <v>2078750</v>
      </c>
      <c r="E120" s="196"/>
      <c r="F120" s="55"/>
      <c r="G120" s="174"/>
      <c r="H120" s="174"/>
      <c r="I120" s="175"/>
      <c r="K120" s="348"/>
      <c r="L120" s="119"/>
    </row>
    <row r="121" spans="1:12" ht="12.75">
      <c r="A121" s="168">
        <v>42369</v>
      </c>
      <c r="B121" s="121">
        <f t="shared" si="2"/>
        <v>3</v>
      </c>
      <c r="C121" s="201">
        <f t="shared" si="5"/>
        <v>58205000</v>
      </c>
      <c r="D121" s="169"/>
      <c r="E121" s="198">
        <f>E119</f>
        <v>0.0288</v>
      </c>
      <c r="F121" s="109">
        <f>((C121+D121)*E121/360*B121)+((C120+D120)*E121/360*B120)</f>
        <v>443189.5</v>
      </c>
      <c r="G121" s="176">
        <f>SUM(F114:F121)</f>
        <v>1849089.7000000002</v>
      </c>
      <c r="H121" s="176">
        <f>SUM(D114:D121)</f>
        <v>8315000</v>
      </c>
      <c r="I121" s="177">
        <f>SUM(G121:H121)</f>
        <v>10164089.7</v>
      </c>
      <c r="K121" s="345"/>
      <c r="L121" s="355"/>
    </row>
    <row r="122" spans="1:12" ht="12.75">
      <c r="A122" s="126">
        <v>42457</v>
      </c>
      <c r="B122" s="108">
        <f t="shared" si="2"/>
        <v>88</v>
      </c>
      <c r="C122" s="164">
        <f t="shared" si="5"/>
        <v>56126250</v>
      </c>
      <c r="D122" s="164">
        <v>2078750</v>
      </c>
      <c r="E122" s="196"/>
      <c r="F122" s="56"/>
      <c r="G122" s="166"/>
      <c r="H122" s="166"/>
      <c r="I122" s="167"/>
      <c r="K122" s="341"/>
      <c r="L122" s="129"/>
    </row>
    <row r="123" spans="1:12" ht="12.75">
      <c r="A123" s="107">
        <v>42460</v>
      </c>
      <c r="B123" s="114">
        <f t="shared" si="2"/>
        <v>3</v>
      </c>
      <c r="C123" s="164">
        <f t="shared" si="5"/>
        <v>56126250</v>
      </c>
      <c r="D123" s="164"/>
      <c r="E123" s="196">
        <f>E121</f>
        <v>0.0288</v>
      </c>
      <c r="F123" s="109">
        <f>((C123+D123)*E123/360*B123)+((C122+D122)*E123/360*B122)</f>
        <v>423233.49999999994</v>
      </c>
      <c r="G123" s="174"/>
      <c r="H123" s="174"/>
      <c r="I123" s="175"/>
      <c r="K123" s="345"/>
      <c r="L123" s="355"/>
    </row>
    <row r="124" spans="1:12" ht="12.75">
      <c r="A124" s="107">
        <v>42549</v>
      </c>
      <c r="B124" s="114">
        <f t="shared" si="2"/>
        <v>89</v>
      </c>
      <c r="C124" s="164">
        <f t="shared" si="5"/>
        <v>54047500</v>
      </c>
      <c r="D124" s="164">
        <v>2078750</v>
      </c>
      <c r="E124" s="196"/>
      <c r="F124" s="55"/>
      <c r="G124" s="174"/>
      <c r="H124" s="174"/>
      <c r="I124" s="175"/>
      <c r="K124" s="348"/>
      <c r="L124" s="119"/>
    </row>
    <row r="125" spans="1:12" ht="12.75">
      <c r="A125" s="107">
        <v>42551</v>
      </c>
      <c r="B125" s="114">
        <f t="shared" si="2"/>
        <v>2</v>
      </c>
      <c r="C125" s="164">
        <f t="shared" si="5"/>
        <v>54047500</v>
      </c>
      <c r="D125" s="164"/>
      <c r="E125" s="196">
        <f>E123</f>
        <v>0.0288</v>
      </c>
      <c r="F125" s="109">
        <f>((C125+D125)*E125/360*B125)+((C124+D124)*E125/360*B124)</f>
        <v>408266.5</v>
      </c>
      <c r="G125" s="174"/>
      <c r="H125" s="174"/>
      <c r="I125" s="175"/>
      <c r="K125" s="345"/>
      <c r="L125" s="355"/>
    </row>
    <row r="126" spans="1:12" ht="12.75">
      <c r="A126" s="107">
        <v>42641</v>
      </c>
      <c r="B126" s="114">
        <f t="shared" si="2"/>
        <v>90</v>
      </c>
      <c r="C126" s="164">
        <f t="shared" si="5"/>
        <v>51968750</v>
      </c>
      <c r="D126" s="164">
        <v>2078750</v>
      </c>
      <c r="E126" s="196"/>
      <c r="F126" s="55"/>
      <c r="G126" s="174"/>
      <c r="H126" s="174"/>
      <c r="I126" s="175"/>
      <c r="K126" s="348"/>
      <c r="L126" s="119"/>
    </row>
    <row r="127" spans="1:12" ht="12.75">
      <c r="A127" s="107">
        <v>42643</v>
      </c>
      <c r="B127" s="114">
        <f t="shared" si="2"/>
        <v>2</v>
      </c>
      <c r="C127" s="164">
        <f t="shared" si="5"/>
        <v>51968750</v>
      </c>
      <c r="D127" s="164"/>
      <c r="E127" s="196">
        <f>E125</f>
        <v>0.0288</v>
      </c>
      <c r="F127" s="109">
        <f>((C127+D127)*E127/360*B127)+((C126+D126)*E127/360*B126)</f>
        <v>397457</v>
      </c>
      <c r="G127" s="174"/>
      <c r="H127" s="174"/>
      <c r="I127" s="175"/>
      <c r="K127" s="345"/>
      <c r="L127" s="355"/>
    </row>
    <row r="128" spans="1:12" ht="12.75">
      <c r="A128" s="107">
        <v>42732</v>
      </c>
      <c r="B128" s="114">
        <f t="shared" si="2"/>
        <v>89</v>
      </c>
      <c r="C128" s="164">
        <f t="shared" si="5"/>
        <v>49890000</v>
      </c>
      <c r="D128" s="164">
        <v>2078750</v>
      </c>
      <c r="E128" s="196"/>
      <c r="F128" s="55"/>
      <c r="G128" s="174"/>
      <c r="H128" s="174"/>
      <c r="I128" s="175"/>
      <c r="K128" s="348"/>
      <c r="L128" s="119"/>
    </row>
    <row r="129" spans="1:12" ht="12.75">
      <c r="A129" s="120">
        <v>42735</v>
      </c>
      <c r="B129" s="121">
        <f t="shared" si="2"/>
        <v>3</v>
      </c>
      <c r="C129" s="170">
        <f t="shared" si="5"/>
        <v>49890000</v>
      </c>
      <c r="D129" s="170"/>
      <c r="E129" s="203">
        <f>E127</f>
        <v>0.0288</v>
      </c>
      <c r="F129" s="122">
        <f>((C129+D129)*E129/360*B129)+((C128+D128)*E129/360*B128)</f>
        <v>381991.1</v>
      </c>
      <c r="G129" s="171">
        <f>SUM(F122:F129)</f>
        <v>1610948.1</v>
      </c>
      <c r="H129" s="171">
        <f>SUM(D122:D129)</f>
        <v>8315000</v>
      </c>
      <c r="I129" s="172">
        <f>SUM(G129:H129)</f>
        <v>9925948.1</v>
      </c>
      <c r="K129" s="343"/>
      <c r="L129" s="347"/>
    </row>
    <row r="130" spans="1:12" ht="12.75">
      <c r="A130" s="126">
        <v>42822</v>
      </c>
      <c r="B130" s="127">
        <f t="shared" si="2"/>
        <v>87</v>
      </c>
      <c r="C130" s="56">
        <f t="shared" si="5"/>
        <v>47811250</v>
      </c>
      <c r="D130" s="165">
        <v>2078750</v>
      </c>
      <c r="E130" s="200"/>
      <c r="F130" s="56"/>
      <c r="G130" s="166"/>
      <c r="H130" s="166"/>
      <c r="I130" s="167"/>
      <c r="K130" s="341"/>
      <c r="L130" s="129"/>
    </row>
    <row r="131" spans="1:12" ht="12.75">
      <c r="A131" s="107">
        <v>42825</v>
      </c>
      <c r="B131" s="114">
        <f t="shared" si="2"/>
        <v>3</v>
      </c>
      <c r="C131" s="109">
        <f t="shared" si="5"/>
        <v>47811250</v>
      </c>
      <c r="D131" s="164"/>
      <c r="E131" s="196">
        <f>E129</f>
        <v>0.0288</v>
      </c>
      <c r="F131" s="109">
        <f>((C131+D131)*E131/360*B131)+((C130+D130)*E131/360*B130)</f>
        <v>358709.1</v>
      </c>
      <c r="G131" s="174"/>
      <c r="H131" s="174"/>
      <c r="I131" s="175"/>
      <c r="K131" s="345"/>
      <c r="L131" s="355"/>
    </row>
    <row r="132" spans="1:12" ht="12.75">
      <c r="A132" s="107">
        <v>42914</v>
      </c>
      <c r="B132" s="114">
        <f t="shared" si="2"/>
        <v>89</v>
      </c>
      <c r="C132" s="109">
        <f t="shared" si="5"/>
        <v>45732500</v>
      </c>
      <c r="D132" s="164">
        <v>2078750</v>
      </c>
      <c r="E132" s="196"/>
      <c r="F132" s="55"/>
      <c r="G132" s="174"/>
      <c r="H132" s="174"/>
      <c r="I132" s="175"/>
      <c r="K132" s="348"/>
      <c r="L132" s="119"/>
    </row>
    <row r="133" spans="1:12" ht="12.75">
      <c r="A133" s="107">
        <v>42916</v>
      </c>
      <c r="B133" s="114">
        <f t="shared" si="2"/>
        <v>2</v>
      </c>
      <c r="C133" s="109">
        <f t="shared" si="5"/>
        <v>45732500</v>
      </c>
      <c r="D133" s="164"/>
      <c r="E133" s="196">
        <f>E131</f>
        <v>0.0288</v>
      </c>
      <c r="F133" s="109">
        <f>((C133+D133)*E133/360*B133)+((C132+D132)*E133/360*B132)</f>
        <v>347733.30000000005</v>
      </c>
      <c r="G133" s="174"/>
      <c r="H133" s="174"/>
      <c r="I133" s="175"/>
      <c r="K133" s="345"/>
      <c r="L133" s="355"/>
    </row>
    <row r="134" spans="1:12" ht="12.75">
      <c r="A134" s="107">
        <v>43006</v>
      </c>
      <c r="B134" s="114">
        <f t="shared" si="2"/>
        <v>90</v>
      </c>
      <c r="C134" s="109">
        <f>C133-D134</f>
        <v>43653750</v>
      </c>
      <c r="D134" s="164">
        <v>2078750</v>
      </c>
      <c r="E134" s="196"/>
      <c r="F134" s="55"/>
      <c r="G134" s="174"/>
      <c r="H134" s="174"/>
      <c r="I134" s="175"/>
      <c r="K134" s="348"/>
      <c r="L134" s="119"/>
    </row>
    <row r="135" spans="1:12" ht="12.75">
      <c r="A135" s="107">
        <v>43008</v>
      </c>
      <c r="B135" s="114">
        <f t="shared" si="2"/>
        <v>2</v>
      </c>
      <c r="C135" s="109">
        <f aca="true" t="shared" si="6" ref="C135:C149">C134-D135</f>
        <v>43653750</v>
      </c>
      <c r="D135" s="164"/>
      <c r="E135" s="196">
        <f>E133</f>
        <v>0.0288</v>
      </c>
      <c r="F135" s="109">
        <f>((C135+D135)*E135/360*B135)+((C134+D134)*E135/360*B134)</f>
        <v>336258.6</v>
      </c>
      <c r="G135" s="174"/>
      <c r="H135" s="174"/>
      <c r="I135" s="175"/>
      <c r="K135" s="345"/>
      <c r="L135" s="355"/>
    </row>
    <row r="136" spans="1:12" ht="12.75">
      <c r="A136" s="107">
        <v>43097</v>
      </c>
      <c r="B136" s="114">
        <f t="shared" si="2"/>
        <v>89</v>
      </c>
      <c r="C136" s="109">
        <f t="shared" si="6"/>
        <v>41575000</v>
      </c>
      <c r="D136" s="164">
        <v>2078750</v>
      </c>
      <c r="E136" s="196"/>
      <c r="F136" s="55"/>
      <c r="G136" s="174"/>
      <c r="H136" s="174"/>
      <c r="I136" s="175"/>
      <c r="K136" s="348"/>
      <c r="L136" s="119"/>
    </row>
    <row r="137" spans="1:12" ht="12.75">
      <c r="A137" s="168">
        <v>43100</v>
      </c>
      <c r="B137" s="121">
        <f t="shared" si="2"/>
        <v>3</v>
      </c>
      <c r="C137" s="201">
        <f t="shared" si="6"/>
        <v>41575000</v>
      </c>
      <c r="D137" s="169"/>
      <c r="E137" s="198">
        <f>E135</f>
        <v>0.0288</v>
      </c>
      <c r="F137" s="109">
        <f>((C137+D137)*E137/360*B137)+((C136+D136)*E137/360*B136)</f>
        <v>320792.7</v>
      </c>
      <c r="G137" s="176">
        <f>SUM(F130:F137)</f>
        <v>1363493.7</v>
      </c>
      <c r="H137" s="176">
        <f>SUM(D130:D137)</f>
        <v>8315000</v>
      </c>
      <c r="I137" s="177">
        <f>SUM(G137:H137)</f>
        <v>9678493.7</v>
      </c>
      <c r="K137" s="345"/>
      <c r="L137" s="355"/>
    </row>
    <row r="138" spans="1:12" ht="12.75">
      <c r="A138" s="126">
        <v>43187</v>
      </c>
      <c r="B138" s="108">
        <f t="shared" si="2"/>
        <v>87</v>
      </c>
      <c r="C138" s="164">
        <f t="shared" si="6"/>
        <v>39496250</v>
      </c>
      <c r="D138" s="164">
        <v>2078750</v>
      </c>
      <c r="E138" s="196"/>
      <c r="F138" s="56"/>
      <c r="G138" s="166"/>
      <c r="H138" s="166"/>
      <c r="I138" s="167"/>
      <c r="K138" s="341"/>
      <c r="L138" s="129"/>
    </row>
    <row r="139" spans="1:12" ht="12.75">
      <c r="A139" s="107">
        <v>43190</v>
      </c>
      <c r="B139" s="114">
        <f t="shared" si="2"/>
        <v>3</v>
      </c>
      <c r="C139" s="164">
        <f t="shared" si="6"/>
        <v>39496250</v>
      </c>
      <c r="D139" s="164"/>
      <c r="E139" s="196">
        <f>E137</f>
        <v>0.0288</v>
      </c>
      <c r="F139" s="109">
        <f>((C139+D139)*E139/360*B139)+((C138+D138)*E139/360*B138)</f>
        <v>298841.1</v>
      </c>
      <c r="G139" s="174"/>
      <c r="H139" s="174"/>
      <c r="I139" s="175"/>
      <c r="K139" s="345"/>
      <c r="L139" s="355"/>
    </row>
    <row r="140" spans="1:12" ht="12.75">
      <c r="A140" s="107">
        <v>43279</v>
      </c>
      <c r="B140" s="114">
        <f aca="true" t="shared" si="7" ref="B140:B176">A140-A139</f>
        <v>89</v>
      </c>
      <c r="C140" s="164">
        <f t="shared" si="6"/>
        <v>37417500</v>
      </c>
      <c r="D140" s="164">
        <v>2078750</v>
      </c>
      <c r="E140" s="196"/>
      <c r="F140" s="55"/>
      <c r="G140" s="174"/>
      <c r="H140" s="174"/>
      <c r="I140" s="175"/>
      <c r="K140" s="348"/>
      <c r="L140" s="119"/>
    </row>
    <row r="141" spans="1:12" ht="12.75">
      <c r="A141" s="107">
        <v>43281</v>
      </c>
      <c r="B141" s="114">
        <f t="shared" si="7"/>
        <v>2</v>
      </c>
      <c r="C141" s="164">
        <f t="shared" si="6"/>
        <v>37417500</v>
      </c>
      <c r="D141" s="164"/>
      <c r="E141" s="196">
        <f>E139</f>
        <v>0.0288</v>
      </c>
      <c r="F141" s="109">
        <f>((C141+D141)*E141/360*B141)+((C140+D140)*E141/360*B140)</f>
        <v>287200.1</v>
      </c>
      <c r="G141" s="174"/>
      <c r="H141" s="174"/>
      <c r="I141" s="175"/>
      <c r="K141" s="345"/>
      <c r="L141" s="355"/>
    </row>
    <row r="142" spans="1:12" ht="12.75">
      <c r="A142" s="107">
        <v>43371</v>
      </c>
      <c r="B142" s="114">
        <f t="shared" si="7"/>
        <v>90</v>
      </c>
      <c r="C142" s="164">
        <f t="shared" si="6"/>
        <v>35338750</v>
      </c>
      <c r="D142" s="164">
        <v>2078750</v>
      </c>
      <c r="E142" s="196"/>
      <c r="F142" s="55"/>
      <c r="G142" s="174"/>
      <c r="H142" s="174"/>
      <c r="I142" s="175"/>
      <c r="K142" s="348"/>
      <c r="L142" s="119"/>
    </row>
    <row r="143" spans="1:12" ht="12.75">
      <c r="A143" s="107">
        <v>43373</v>
      </c>
      <c r="B143" s="114">
        <f t="shared" si="7"/>
        <v>2</v>
      </c>
      <c r="C143" s="164">
        <f t="shared" si="6"/>
        <v>35338750</v>
      </c>
      <c r="D143" s="164"/>
      <c r="E143" s="196">
        <f>E141</f>
        <v>0.0288</v>
      </c>
      <c r="F143" s="109">
        <f>((C143+D143)*E143/360*B143)+((C142+D142)*E143/360*B142)</f>
        <v>275060.2</v>
      </c>
      <c r="G143" s="174"/>
      <c r="H143" s="174"/>
      <c r="I143" s="175"/>
      <c r="K143" s="345"/>
      <c r="L143" s="355"/>
    </row>
    <row r="144" spans="1:12" ht="12.75">
      <c r="A144" s="107">
        <v>43462</v>
      </c>
      <c r="B144" s="114">
        <f t="shared" si="7"/>
        <v>89</v>
      </c>
      <c r="C144" s="164">
        <f t="shared" si="6"/>
        <v>33260000</v>
      </c>
      <c r="D144" s="164">
        <v>2078750</v>
      </c>
      <c r="E144" s="196"/>
      <c r="F144" s="55"/>
      <c r="G144" s="174"/>
      <c r="H144" s="174"/>
      <c r="I144" s="175"/>
      <c r="K144" s="348"/>
      <c r="L144" s="119"/>
    </row>
    <row r="145" spans="1:12" ht="12.75">
      <c r="A145" s="168">
        <v>43465</v>
      </c>
      <c r="B145" s="131">
        <f t="shared" si="7"/>
        <v>3</v>
      </c>
      <c r="C145" s="197">
        <f t="shared" si="6"/>
        <v>33260000</v>
      </c>
      <c r="D145" s="169"/>
      <c r="E145" s="198">
        <f>E143</f>
        <v>0.0288</v>
      </c>
      <c r="F145" s="109">
        <f>((C145+D145)*E145/360*B145)+((C144+D144)*E145/360*B144)</f>
        <v>259594.3</v>
      </c>
      <c r="G145" s="176">
        <f>SUM(F138:F145)</f>
        <v>1120695.7</v>
      </c>
      <c r="H145" s="176">
        <f>SUM(D138:D145)</f>
        <v>8315000</v>
      </c>
      <c r="I145" s="177">
        <f>SUM(G145:H145)</f>
        <v>9435695.7</v>
      </c>
      <c r="K145" s="345"/>
      <c r="L145" s="355"/>
    </row>
    <row r="146" spans="1:12" ht="12.75">
      <c r="A146" s="126">
        <v>43552</v>
      </c>
      <c r="B146" s="127">
        <f t="shared" si="7"/>
        <v>87</v>
      </c>
      <c r="C146" s="56">
        <f t="shared" si="6"/>
        <v>31181250</v>
      </c>
      <c r="D146" s="164">
        <v>2078750</v>
      </c>
      <c r="E146" s="196"/>
      <c r="F146" s="56"/>
      <c r="G146" s="166"/>
      <c r="H146" s="166"/>
      <c r="I146" s="167"/>
      <c r="K146" s="341"/>
      <c r="L146" s="129"/>
    </row>
    <row r="147" spans="1:12" ht="12.75">
      <c r="A147" s="107">
        <v>43555</v>
      </c>
      <c r="B147" s="114">
        <f t="shared" si="7"/>
        <v>3</v>
      </c>
      <c r="C147" s="109">
        <f t="shared" si="6"/>
        <v>31181250</v>
      </c>
      <c r="D147" s="164"/>
      <c r="E147" s="196">
        <f>E145</f>
        <v>0.0288</v>
      </c>
      <c r="F147" s="109">
        <f>((C147+D147)*E147/360*B147)+((C146+D146)*E147/360*B146)</f>
        <v>238973.1</v>
      </c>
      <c r="G147" s="174"/>
      <c r="H147" s="174"/>
      <c r="I147" s="175"/>
      <c r="K147" s="345"/>
      <c r="L147" s="355"/>
    </row>
    <row r="148" spans="1:12" ht="12.75">
      <c r="A148" s="107">
        <v>43644</v>
      </c>
      <c r="B148" s="114">
        <f t="shared" si="7"/>
        <v>89</v>
      </c>
      <c r="C148" s="109">
        <f t="shared" si="6"/>
        <v>29102500</v>
      </c>
      <c r="D148" s="164">
        <v>2078750</v>
      </c>
      <c r="E148" s="196"/>
      <c r="F148" s="55"/>
      <c r="G148" s="174"/>
      <c r="H148" s="174"/>
      <c r="I148" s="175"/>
      <c r="K148" s="348"/>
      <c r="L148" s="119"/>
    </row>
    <row r="149" spans="1:12" ht="12.75">
      <c r="A149" s="113">
        <v>43646</v>
      </c>
      <c r="B149" s="114">
        <f t="shared" si="7"/>
        <v>2</v>
      </c>
      <c r="C149" s="55">
        <f t="shared" si="6"/>
        <v>29102500</v>
      </c>
      <c r="D149" s="164"/>
      <c r="E149" s="118">
        <f>E147</f>
        <v>0.0288</v>
      </c>
      <c r="F149" s="55">
        <f>((C149+D149)*E149/360*B149)+((C148+D148)*E149/360*B148)</f>
        <v>226666.9</v>
      </c>
      <c r="G149" s="116"/>
      <c r="H149" s="116"/>
      <c r="I149" s="117"/>
      <c r="K149" s="348"/>
      <c r="L149" s="119"/>
    </row>
    <row r="150" spans="1:12" ht="12.75">
      <c r="A150" s="113">
        <v>43736</v>
      </c>
      <c r="B150" s="114">
        <f t="shared" si="7"/>
        <v>90</v>
      </c>
      <c r="C150" s="55">
        <f>C149-D150</f>
        <v>27023750</v>
      </c>
      <c r="D150" s="55">
        <v>2078750</v>
      </c>
      <c r="E150" s="118"/>
      <c r="F150" s="55"/>
      <c r="G150" s="116"/>
      <c r="H150" s="116"/>
      <c r="I150" s="117"/>
      <c r="K150" s="348"/>
      <c r="L150" s="119"/>
    </row>
    <row r="151" spans="1:12" ht="12.75">
      <c r="A151" s="113">
        <v>43738</v>
      </c>
      <c r="B151" s="114">
        <f t="shared" si="7"/>
        <v>2</v>
      </c>
      <c r="C151" s="55">
        <f aca="true" t="shared" si="8" ref="C151:C164">C150-D151</f>
        <v>27023750</v>
      </c>
      <c r="D151" s="180"/>
      <c r="E151" s="202">
        <f>E149</f>
        <v>0.0288</v>
      </c>
      <c r="F151" s="55">
        <f>((C151+D151)*E151/360*B151)+((C150+D150)*E151/360*B150)</f>
        <v>213861.79999999996</v>
      </c>
      <c r="G151" s="181"/>
      <c r="H151" s="181"/>
      <c r="I151" s="182"/>
      <c r="K151" s="348"/>
      <c r="L151" s="119"/>
    </row>
    <row r="152" spans="1:12" ht="12.75">
      <c r="A152" s="107">
        <v>43827</v>
      </c>
      <c r="B152" s="114">
        <f t="shared" si="7"/>
        <v>89</v>
      </c>
      <c r="C152" s="109">
        <f t="shared" si="8"/>
        <v>24945000</v>
      </c>
      <c r="D152" s="164">
        <v>2078750</v>
      </c>
      <c r="E152" s="196"/>
      <c r="F152" s="55"/>
      <c r="G152" s="174"/>
      <c r="H152" s="174"/>
      <c r="I152" s="175"/>
      <c r="K152" s="348"/>
      <c r="L152" s="119"/>
    </row>
    <row r="153" spans="1:12" ht="12.75">
      <c r="A153" s="168">
        <v>43830</v>
      </c>
      <c r="B153" s="121">
        <f t="shared" si="7"/>
        <v>3</v>
      </c>
      <c r="C153" s="201">
        <f t="shared" si="8"/>
        <v>24945000</v>
      </c>
      <c r="D153" s="169"/>
      <c r="E153" s="198">
        <f>E151</f>
        <v>0.0288</v>
      </c>
      <c r="F153" s="122">
        <f>((C153+D153)*E153/360*B153)+((C152+D152)*E153/360*B152)</f>
        <v>198395.9</v>
      </c>
      <c r="G153" s="176">
        <f>SUM(F146:F153)</f>
        <v>877897.7</v>
      </c>
      <c r="H153" s="176">
        <f>SUM(D146:D153)</f>
        <v>8315000</v>
      </c>
      <c r="I153" s="177">
        <f>SUM(G153:H153)</f>
        <v>9192897.7</v>
      </c>
      <c r="K153" s="343"/>
      <c r="L153" s="347"/>
    </row>
    <row r="154" spans="1:12" ht="12.75">
      <c r="A154" s="126">
        <v>43918</v>
      </c>
      <c r="B154" s="108">
        <f t="shared" si="7"/>
        <v>88</v>
      </c>
      <c r="C154" s="164">
        <f t="shared" si="8"/>
        <v>22866250</v>
      </c>
      <c r="D154" s="164">
        <v>2078750</v>
      </c>
      <c r="E154" s="196"/>
      <c r="F154" s="109"/>
      <c r="G154" s="166"/>
      <c r="H154" s="166"/>
      <c r="I154" s="167"/>
      <c r="K154" s="345"/>
      <c r="L154" s="355"/>
    </row>
    <row r="155" spans="1:12" ht="12.75">
      <c r="A155" s="107">
        <v>43921</v>
      </c>
      <c r="B155" s="114">
        <f t="shared" si="7"/>
        <v>3</v>
      </c>
      <c r="C155" s="164">
        <f t="shared" si="8"/>
        <v>22866250</v>
      </c>
      <c r="D155" s="164"/>
      <c r="E155" s="196">
        <f>E153</f>
        <v>0.0288</v>
      </c>
      <c r="F155" s="109">
        <f>((C155+D155)*E155/360*B155)+((C154+D154)*E155/360*B154)</f>
        <v>181100.69999999998</v>
      </c>
      <c r="G155" s="174"/>
      <c r="H155" s="174"/>
      <c r="I155" s="175"/>
      <c r="K155" s="345"/>
      <c r="L155" s="355"/>
    </row>
    <row r="156" spans="1:12" ht="12.75">
      <c r="A156" s="113">
        <v>44010</v>
      </c>
      <c r="B156" s="114">
        <f t="shared" si="7"/>
        <v>89</v>
      </c>
      <c r="C156" s="55">
        <f t="shared" si="8"/>
        <v>20787500</v>
      </c>
      <c r="D156" s="164">
        <v>2078750</v>
      </c>
      <c r="E156" s="118"/>
      <c r="F156" s="55"/>
      <c r="G156" s="116"/>
      <c r="H156" s="116"/>
      <c r="I156" s="117"/>
      <c r="K156" s="348"/>
      <c r="L156" s="119"/>
    </row>
    <row r="157" spans="1:12" ht="12.75">
      <c r="A157" s="113">
        <v>44012</v>
      </c>
      <c r="B157" s="114">
        <f t="shared" si="7"/>
        <v>2</v>
      </c>
      <c r="C157" s="55">
        <f t="shared" si="8"/>
        <v>20787500</v>
      </c>
      <c r="D157" s="164"/>
      <c r="E157" s="118">
        <f>E155</f>
        <v>0.0288</v>
      </c>
      <c r="F157" s="109">
        <f>((C157+D157)*E157/360*B157)+((C156+D156)*E157/360*B156)</f>
        <v>166133.69999999998</v>
      </c>
      <c r="G157" s="116"/>
      <c r="H157" s="116"/>
      <c r="I157" s="117"/>
      <c r="K157" s="345"/>
      <c r="L157" s="355"/>
    </row>
    <row r="158" spans="1:12" ht="12.75">
      <c r="A158" s="113">
        <v>44102</v>
      </c>
      <c r="B158" s="114">
        <f t="shared" si="7"/>
        <v>90</v>
      </c>
      <c r="C158" s="180">
        <f t="shared" si="8"/>
        <v>18708750</v>
      </c>
      <c r="D158" s="164">
        <v>2078750</v>
      </c>
      <c r="E158" s="202"/>
      <c r="F158" s="55"/>
      <c r="G158" s="181"/>
      <c r="H158" s="181"/>
      <c r="I158" s="182"/>
      <c r="K158" s="348"/>
      <c r="L158" s="119"/>
    </row>
    <row r="159" spans="1:12" ht="12.75">
      <c r="A159" s="107">
        <v>44104</v>
      </c>
      <c r="B159" s="114">
        <f t="shared" si="7"/>
        <v>2</v>
      </c>
      <c r="C159" s="164">
        <f t="shared" si="8"/>
        <v>18708750</v>
      </c>
      <c r="D159" s="164"/>
      <c r="E159" s="196">
        <f>E157</f>
        <v>0.0288</v>
      </c>
      <c r="F159" s="109">
        <f>((C159+D159)*E159/360*B159)+((C158+D158)*E159/360*B158)</f>
        <v>152663.4</v>
      </c>
      <c r="G159" s="174"/>
      <c r="H159" s="174"/>
      <c r="I159" s="175"/>
      <c r="K159" s="345"/>
      <c r="L159" s="355"/>
    </row>
    <row r="160" spans="1:12" ht="12.75">
      <c r="A160" s="107">
        <v>44193</v>
      </c>
      <c r="B160" s="114">
        <f t="shared" si="7"/>
        <v>89</v>
      </c>
      <c r="C160" s="164">
        <f t="shared" si="8"/>
        <v>16630000</v>
      </c>
      <c r="D160" s="164">
        <v>2078750</v>
      </c>
      <c r="E160" s="196"/>
      <c r="F160" s="55"/>
      <c r="G160" s="174"/>
      <c r="H160" s="174"/>
      <c r="I160" s="175"/>
      <c r="K160" s="348"/>
      <c r="L160" s="119"/>
    </row>
    <row r="161" spans="1:12" ht="12.75">
      <c r="A161" s="168">
        <v>44196</v>
      </c>
      <c r="B161" s="131">
        <f t="shared" si="7"/>
        <v>3</v>
      </c>
      <c r="C161" s="197">
        <f t="shared" si="8"/>
        <v>16630000</v>
      </c>
      <c r="D161" s="169"/>
      <c r="E161" s="198">
        <f>E159</f>
        <v>0.0288</v>
      </c>
      <c r="F161" s="109">
        <f>((C161+D161)*E161/360*B161)+((C160+D160)*E161/360*B160)</f>
        <v>137197.50000000003</v>
      </c>
      <c r="G161" s="176">
        <f>SUM(F154:F161)</f>
        <v>637095.2999999999</v>
      </c>
      <c r="H161" s="176">
        <f>SUM(D154:D161)</f>
        <v>8315000</v>
      </c>
      <c r="I161" s="177">
        <f>SUM(G161:H161)</f>
        <v>8952095.3</v>
      </c>
      <c r="K161" s="345"/>
      <c r="L161" s="355"/>
    </row>
    <row r="162" spans="1:12" ht="12.75">
      <c r="A162" s="126">
        <v>44283</v>
      </c>
      <c r="B162" s="127">
        <f t="shared" si="7"/>
        <v>87</v>
      </c>
      <c r="C162" s="56">
        <f t="shared" si="8"/>
        <v>14551250</v>
      </c>
      <c r="D162" s="164">
        <v>2078750</v>
      </c>
      <c r="E162" s="196"/>
      <c r="F162" s="56"/>
      <c r="G162" s="166"/>
      <c r="H162" s="166"/>
      <c r="I162" s="167"/>
      <c r="K162" s="341"/>
      <c r="L162" s="129"/>
    </row>
    <row r="163" spans="1:12" ht="12.75">
      <c r="A163" s="107">
        <v>44286</v>
      </c>
      <c r="B163" s="114">
        <f t="shared" si="7"/>
        <v>3</v>
      </c>
      <c r="C163" s="109">
        <f t="shared" si="8"/>
        <v>14551250</v>
      </c>
      <c r="D163" s="164"/>
      <c r="E163" s="196">
        <f>E161</f>
        <v>0.0288</v>
      </c>
      <c r="F163" s="109">
        <f>((C163+D163)*E163/360*B163)+((C162+D162)*E163/360*B162)</f>
        <v>119237.1</v>
      </c>
      <c r="G163" s="174"/>
      <c r="H163" s="174"/>
      <c r="I163" s="175"/>
      <c r="K163" s="345"/>
      <c r="L163" s="355"/>
    </row>
    <row r="164" spans="1:12" ht="12.75">
      <c r="A164" s="107">
        <v>44375</v>
      </c>
      <c r="B164" s="114">
        <f t="shared" si="7"/>
        <v>89</v>
      </c>
      <c r="C164" s="109">
        <f t="shared" si="8"/>
        <v>12472500</v>
      </c>
      <c r="D164" s="164">
        <v>2078750</v>
      </c>
      <c r="E164" s="196"/>
      <c r="F164" s="55"/>
      <c r="G164" s="174"/>
      <c r="H164" s="174"/>
      <c r="I164" s="175"/>
      <c r="K164" s="348"/>
      <c r="L164" s="119"/>
    </row>
    <row r="165" spans="1:12" ht="12.75">
      <c r="A165" s="107">
        <v>44377</v>
      </c>
      <c r="B165" s="114">
        <f t="shared" si="7"/>
        <v>2</v>
      </c>
      <c r="C165" s="109">
        <f>C164-D165</f>
        <v>12472500</v>
      </c>
      <c r="D165" s="164"/>
      <c r="E165" s="196">
        <f>E163</f>
        <v>0.0288</v>
      </c>
      <c r="F165" s="109">
        <f>((C165+D165)*E165/360*B165)+((C164+D164)*E165/360*B164)</f>
        <v>105600.5</v>
      </c>
      <c r="G165" s="174"/>
      <c r="H165" s="174"/>
      <c r="I165" s="175"/>
      <c r="K165" s="345"/>
      <c r="L165" s="355"/>
    </row>
    <row r="166" spans="1:12" ht="12.75">
      <c r="A166" s="107">
        <v>44467</v>
      </c>
      <c r="B166" s="114">
        <f t="shared" si="7"/>
        <v>90</v>
      </c>
      <c r="C166" s="109">
        <f aca="true" t="shared" si="9" ref="C166:C174">C165-D166</f>
        <v>10393750</v>
      </c>
      <c r="D166" s="164">
        <v>2078750</v>
      </c>
      <c r="E166" s="196"/>
      <c r="F166" s="55"/>
      <c r="G166" s="174"/>
      <c r="H166" s="174"/>
      <c r="I166" s="175"/>
      <c r="K166" s="348"/>
      <c r="L166" s="119"/>
    </row>
    <row r="167" spans="1:12" ht="12.75">
      <c r="A167" s="107">
        <v>44469</v>
      </c>
      <c r="B167" s="114">
        <f t="shared" si="7"/>
        <v>2</v>
      </c>
      <c r="C167" s="109">
        <f t="shared" si="9"/>
        <v>10393750</v>
      </c>
      <c r="D167" s="164"/>
      <c r="E167" s="196">
        <f>E165</f>
        <v>0.0288</v>
      </c>
      <c r="F167" s="109">
        <f>((C167+D167)*E167/360*B167)+((C166+D166)*E167/360*B166)</f>
        <v>91465</v>
      </c>
      <c r="G167" s="174"/>
      <c r="H167" s="174"/>
      <c r="I167" s="175"/>
      <c r="K167" s="345"/>
      <c r="L167" s="355"/>
    </row>
    <row r="168" spans="1:12" ht="12.75">
      <c r="A168" s="107">
        <v>44558</v>
      </c>
      <c r="B168" s="114">
        <f t="shared" si="7"/>
        <v>89</v>
      </c>
      <c r="C168" s="109">
        <f t="shared" si="9"/>
        <v>8315000</v>
      </c>
      <c r="D168" s="164">
        <v>2078750</v>
      </c>
      <c r="E168" s="196"/>
      <c r="F168" s="55"/>
      <c r="G168" s="174"/>
      <c r="H168" s="174"/>
      <c r="I168" s="175"/>
      <c r="K168" s="348"/>
      <c r="L168" s="119"/>
    </row>
    <row r="169" spans="1:12" ht="12.75">
      <c r="A169" s="120">
        <v>44561</v>
      </c>
      <c r="B169" s="121">
        <f t="shared" si="7"/>
        <v>3</v>
      </c>
      <c r="C169" s="122">
        <f t="shared" si="9"/>
        <v>8315000</v>
      </c>
      <c r="D169" s="170"/>
      <c r="E169" s="203">
        <f>E167</f>
        <v>0.0288</v>
      </c>
      <c r="F169" s="109">
        <f>((C169+D169)*E169/360*B169)+((C168+D168)*E169/360*B168)</f>
        <v>75999.1</v>
      </c>
      <c r="G169" s="171">
        <f>SUM(F162:F169)</f>
        <v>392301.69999999995</v>
      </c>
      <c r="H169" s="171">
        <f>SUM(D162:D169)</f>
        <v>8315000</v>
      </c>
      <c r="I169" s="172">
        <f>SUM(G169:H169)</f>
        <v>8707301.7</v>
      </c>
      <c r="K169" s="345"/>
      <c r="L169" s="355"/>
    </row>
    <row r="170" spans="1:12" ht="12.75">
      <c r="A170" s="126">
        <v>44648</v>
      </c>
      <c r="B170" s="127">
        <f t="shared" si="7"/>
        <v>87</v>
      </c>
      <c r="C170" s="165">
        <f t="shared" si="9"/>
        <v>6236250</v>
      </c>
      <c r="D170" s="164">
        <v>2078750</v>
      </c>
      <c r="E170" s="200"/>
      <c r="F170" s="56"/>
      <c r="G170" s="166"/>
      <c r="H170" s="166"/>
      <c r="I170" s="167"/>
      <c r="K170" s="341"/>
      <c r="L170" s="129"/>
    </row>
    <row r="171" spans="1:12" ht="12.75">
      <c r="A171" s="113">
        <v>44651</v>
      </c>
      <c r="B171" s="114">
        <f t="shared" si="7"/>
        <v>3</v>
      </c>
      <c r="C171" s="180">
        <f t="shared" si="9"/>
        <v>6236250</v>
      </c>
      <c r="D171" s="164"/>
      <c r="E171" s="202">
        <f>E169</f>
        <v>0.0288</v>
      </c>
      <c r="F171" s="109">
        <f>((C171+D171)*E171/360*B171)+((C170+D170)*E171/360*B170)</f>
        <v>59369.1</v>
      </c>
      <c r="G171" s="181"/>
      <c r="H171" s="181"/>
      <c r="I171" s="182"/>
      <c r="K171" s="345"/>
      <c r="L171" s="355"/>
    </row>
    <row r="172" spans="1:12" ht="12.75">
      <c r="A172" s="113">
        <v>44740</v>
      </c>
      <c r="B172" s="114">
        <f t="shared" si="7"/>
        <v>89</v>
      </c>
      <c r="C172" s="180">
        <f t="shared" si="9"/>
        <v>4157500</v>
      </c>
      <c r="D172" s="164">
        <v>2078750</v>
      </c>
      <c r="E172" s="202"/>
      <c r="F172" s="55"/>
      <c r="G172" s="181"/>
      <c r="H172" s="181"/>
      <c r="I172" s="182"/>
      <c r="K172" s="348"/>
      <c r="L172" s="119"/>
    </row>
    <row r="173" spans="1:12" ht="12.75">
      <c r="A173" s="107">
        <v>44742</v>
      </c>
      <c r="B173" s="114">
        <f t="shared" si="7"/>
        <v>2</v>
      </c>
      <c r="C173" s="164">
        <f t="shared" si="9"/>
        <v>4157500</v>
      </c>
      <c r="D173" s="164"/>
      <c r="E173" s="196">
        <f>E171</f>
        <v>0.0288</v>
      </c>
      <c r="F173" s="109">
        <f>((C173+D173)*E173/360*B173)+((C172+D172)*E173/360*B172)</f>
        <v>45067.299999999996</v>
      </c>
      <c r="G173" s="174"/>
      <c r="H173" s="174"/>
      <c r="I173" s="175"/>
      <c r="K173" s="345"/>
      <c r="L173" s="355"/>
    </row>
    <row r="174" spans="1:12" ht="12.75">
      <c r="A174" s="107">
        <v>44832</v>
      </c>
      <c r="B174" s="114">
        <f t="shared" si="7"/>
        <v>90</v>
      </c>
      <c r="C174" s="164">
        <f t="shared" si="9"/>
        <v>2078750</v>
      </c>
      <c r="D174" s="164">
        <v>2078750</v>
      </c>
      <c r="E174" s="118"/>
      <c r="F174" s="114"/>
      <c r="G174" s="114"/>
      <c r="H174" s="114"/>
      <c r="I174" s="265"/>
      <c r="K174" s="375"/>
      <c r="L174" s="265"/>
    </row>
    <row r="175" spans="1:12" ht="12.75">
      <c r="A175" s="107">
        <v>44834</v>
      </c>
      <c r="B175" s="114">
        <f t="shared" si="7"/>
        <v>2</v>
      </c>
      <c r="C175" s="164">
        <f>C174-D175</f>
        <v>2078750</v>
      </c>
      <c r="D175" s="164"/>
      <c r="E175" s="118">
        <f>E173</f>
        <v>0.0288</v>
      </c>
      <c r="F175" s="109">
        <f>((C175+D175)*E175/360*B175)+((C174+D174)*E175/360*B174)</f>
        <v>30266.600000000002</v>
      </c>
      <c r="G175" s="114"/>
      <c r="H175" s="114"/>
      <c r="I175" s="265"/>
      <c r="K175" s="345"/>
      <c r="L175" s="355"/>
    </row>
    <row r="176" spans="1:12" ht="13.5" thickBot="1">
      <c r="A176" s="107">
        <v>44923</v>
      </c>
      <c r="B176" s="114">
        <f t="shared" si="7"/>
        <v>89</v>
      </c>
      <c r="C176" s="164">
        <f>C175-D176</f>
        <v>0</v>
      </c>
      <c r="D176" s="164">
        <v>2078750</v>
      </c>
      <c r="E176" s="266">
        <f>E175</f>
        <v>0.0288</v>
      </c>
      <c r="F176" s="109">
        <f>((C176+D176)*E176/360*B176)</f>
        <v>14800.7</v>
      </c>
      <c r="G176" s="116">
        <f>SUM(F170:F176)</f>
        <v>149503.7</v>
      </c>
      <c r="H176" s="116">
        <f>SUM(D170:D176)</f>
        <v>8315000</v>
      </c>
      <c r="I176" s="117">
        <f>SUM(G176:H176)</f>
        <v>8464503.7</v>
      </c>
      <c r="K176" s="345"/>
      <c r="L176" s="355"/>
    </row>
    <row r="177" spans="1:12" ht="13.5" thickTop="1">
      <c r="A177" s="183" t="s">
        <v>14</v>
      </c>
      <c r="B177" s="184"/>
      <c r="C177" s="185"/>
      <c r="D177" s="186">
        <f>SUM(D8:D176)</f>
        <v>187075039</v>
      </c>
      <c r="E177" s="204"/>
      <c r="F177" s="186">
        <f>SUM(F8:F176)</f>
        <v>55266972.67950003</v>
      </c>
      <c r="G177" s="186">
        <f>SUM(G8:G176)</f>
        <v>55266972.67950002</v>
      </c>
      <c r="H177" s="186">
        <f>SUM(H8:H176)</f>
        <v>187075039</v>
      </c>
      <c r="I177" s="205">
        <f>SUM(I8:I176)</f>
        <v>242342011.67949992</v>
      </c>
      <c r="K177" s="350">
        <f>SUM(K8:K176)</f>
        <v>14732721</v>
      </c>
      <c r="L177" s="205">
        <f>SUM(L8:L176)</f>
        <v>3893040</v>
      </c>
    </row>
    <row r="179" spans="1:9" ht="12.75">
      <c r="A179" s="188" t="s">
        <v>110</v>
      </c>
      <c r="I179" s="147"/>
    </row>
    <row r="180" ht="12.75">
      <c r="I180" s="147"/>
    </row>
    <row r="181" spans="1:12" ht="12.75">
      <c r="A181" s="81" t="s">
        <v>132</v>
      </c>
      <c r="F181" s="329">
        <v>12499470</v>
      </c>
      <c r="K181" s="329"/>
      <c r="L181" s="329"/>
    </row>
    <row r="182" spans="1:12" ht="12.75">
      <c r="A182" s="81" t="s">
        <v>133</v>
      </c>
      <c r="F182" s="329">
        <v>10226303</v>
      </c>
      <c r="K182" s="329"/>
      <c r="L182" s="329"/>
    </row>
    <row r="183" spans="1:12" ht="12.75">
      <c r="A183" s="81" t="s">
        <v>134</v>
      </c>
      <c r="F183" s="329">
        <v>56942030</v>
      </c>
      <c r="K183" s="329"/>
      <c r="L183" s="329"/>
    </row>
    <row r="184" spans="1:12" ht="12.75">
      <c r="A184" s="81" t="s">
        <v>135</v>
      </c>
      <c r="F184" s="329">
        <v>22256001</v>
      </c>
      <c r="K184" s="376"/>
      <c r="L184" s="376"/>
    </row>
    <row r="185" spans="1:12" ht="12.75">
      <c r="A185" s="81" t="s">
        <v>136</v>
      </c>
      <c r="F185" s="329">
        <v>22955624</v>
      </c>
      <c r="K185" s="376"/>
      <c r="L185" s="376"/>
    </row>
    <row r="186" spans="1:12" ht="12.75">
      <c r="A186" s="81" t="s">
        <v>137</v>
      </c>
      <c r="F186" s="329">
        <v>22221280</v>
      </c>
      <c r="K186" s="376"/>
      <c r="L186" s="376"/>
    </row>
    <row r="187" spans="1:12" ht="13.5" thickBot="1">
      <c r="A187" s="327" t="s">
        <v>138</v>
      </c>
      <c r="B187" s="327"/>
      <c r="C187" s="327"/>
      <c r="D187" s="327"/>
      <c r="E187" s="328"/>
      <c r="F187" s="330">
        <v>39974331</v>
      </c>
      <c r="K187" s="376"/>
      <c r="L187" s="376"/>
    </row>
    <row r="188" spans="1:12" ht="13.5" thickTop="1">
      <c r="A188" s="188" t="s">
        <v>139</v>
      </c>
      <c r="B188" s="188"/>
      <c r="C188" s="188"/>
      <c r="D188" s="188"/>
      <c r="E188" s="190"/>
      <c r="F188" s="331">
        <f>SUM(F181:F187)</f>
        <v>187075039</v>
      </c>
      <c r="K188" s="377"/>
      <c r="L188" s="377"/>
    </row>
    <row r="189" spans="1:12" ht="13.5" thickBot="1">
      <c r="A189" s="327" t="s">
        <v>157</v>
      </c>
      <c r="B189" s="327"/>
      <c r="C189" s="327"/>
      <c r="D189" s="327"/>
      <c r="E189" s="328"/>
      <c r="F189" s="330">
        <v>-24980326</v>
      </c>
      <c r="K189" s="376"/>
      <c r="L189" s="376"/>
    </row>
    <row r="190" spans="1:12" ht="13.5" thickTop="1">
      <c r="A190" s="188" t="s">
        <v>139</v>
      </c>
      <c r="B190" s="188"/>
      <c r="C190" s="188"/>
      <c r="D190" s="188"/>
      <c r="E190" s="190"/>
      <c r="F190" s="331">
        <f>SUM(F188:F189)</f>
        <v>162094713</v>
      </c>
      <c r="K190" s="377"/>
      <c r="L190" s="377"/>
    </row>
    <row r="191" spans="11:12" ht="12.75">
      <c r="K191" s="79"/>
      <c r="L191" s="79"/>
    </row>
    <row r="192" spans="3:12" ht="12.75">
      <c r="C192" s="147"/>
      <c r="D192" s="334" t="s">
        <v>145</v>
      </c>
      <c r="F192" s="329">
        <f>SUM(F181)</f>
        <v>12499470</v>
      </c>
      <c r="K192" s="376"/>
      <c r="L192" s="376"/>
    </row>
    <row r="193" spans="3:12" ht="12.75">
      <c r="C193" s="147"/>
      <c r="D193" s="334" t="s">
        <v>146</v>
      </c>
      <c r="F193" s="329">
        <f>SUM(F182:F187)</f>
        <v>174575569</v>
      </c>
      <c r="K193" s="376"/>
      <c r="L193" s="376"/>
    </row>
    <row r="194" spans="3:12" ht="12.75">
      <c r="C194" s="147"/>
      <c r="D194" s="147"/>
      <c r="E194" s="81"/>
      <c r="K194" s="79"/>
      <c r="L194" s="79"/>
    </row>
    <row r="195" spans="3:12" ht="12.75">
      <c r="C195" s="147"/>
      <c r="D195" s="147"/>
      <c r="E195" s="81"/>
      <c r="K195" s="79"/>
      <c r="L195" s="79"/>
    </row>
    <row r="196" spans="3:12" ht="12.75">
      <c r="C196" s="147"/>
      <c r="D196" s="147"/>
      <c r="E196" s="81"/>
      <c r="F196" s="147"/>
      <c r="K196" s="288"/>
      <c r="L196" s="288"/>
    </row>
    <row r="197" spans="11:12" ht="12.75">
      <c r="K197" s="79"/>
      <c r="L197" s="79"/>
    </row>
    <row r="198" spans="11:12" ht="12.75">
      <c r="K198" s="79"/>
      <c r="L198" s="79"/>
    </row>
    <row r="199" spans="11:12" ht="12.75">
      <c r="K199" s="79"/>
      <c r="L199" s="79"/>
    </row>
    <row r="200" spans="11:12" ht="12.75">
      <c r="K200" s="79"/>
      <c r="L200" s="79"/>
    </row>
    <row r="201" spans="11:12" ht="12.75">
      <c r="K201" s="79"/>
      <c r="L201" s="79"/>
    </row>
    <row r="202" spans="11:12" ht="12.75">
      <c r="K202" s="79"/>
      <c r="L202" s="79"/>
    </row>
    <row r="203" spans="11:12" ht="12.75">
      <c r="K203" s="79"/>
      <c r="L203" s="79"/>
    </row>
    <row r="204" spans="11:12" ht="12.75">
      <c r="K204" s="79"/>
      <c r="L204" s="79"/>
    </row>
    <row r="205" spans="11:12" ht="12.75">
      <c r="K205" s="79"/>
      <c r="L205" s="79"/>
    </row>
    <row r="206" spans="11:12" ht="12.75">
      <c r="K206" s="79"/>
      <c r="L206" s="79"/>
    </row>
    <row r="207" spans="11:12" ht="12.75">
      <c r="K207" s="79"/>
      <c r="L207" s="79"/>
    </row>
    <row r="208" spans="11:12" ht="12.75">
      <c r="K208" s="79"/>
      <c r="L208" s="79"/>
    </row>
    <row r="209" spans="11:12" ht="12.75">
      <c r="K209" s="79"/>
      <c r="L209" s="79"/>
    </row>
    <row r="210" spans="11:12" ht="12.75">
      <c r="K210" s="79"/>
      <c r="L210" s="79"/>
    </row>
    <row r="211" spans="11:12" ht="12.75">
      <c r="K211" s="79"/>
      <c r="L211" s="79"/>
    </row>
    <row r="212" spans="11:12" ht="12.75">
      <c r="K212" s="79"/>
      <c r="L212" s="79"/>
    </row>
    <row r="213" spans="11:12" ht="12.75">
      <c r="K213" s="79"/>
      <c r="L213" s="79"/>
    </row>
    <row r="214" spans="11:12" ht="12.75">
      <c r="K214" s="79"/>
      <c r="L214" s="79"/>
    </row>
    <row r="215" spans="11:12" ht="12.75">
      <c r="K215" s="79"/>
      <c r="L215" s="79"/>
    </row>
    <row r="216" spans="11:12" ht="12.75">
      <c r="K216" s="79"/>
      <c r="L216" s="79"/>
    </row>
    <row r="217" spans="11:12" ht="12.75">
      <c r="K217" s="79"/>
      <c r="L217" s="79"/>
    </row>
    <row r="218" spans="11:12" ht="12.75">
      <c r="K218" s="79"/>
      <c r="L218" s="79"/>
    </row>
    <row r="219" spans="11:12" ht="12.75">
      <c r="K219" s="79"/>
      <c r="L219" s="79"/>
    </row>
    <row r="220" spans="11:12" ht="12.75">
      <c r="K220" s="79"/>
      <c r="L220" s="79"/>
    </row>
    <row r="221" spans="11:12" ht="12.75">
      <c r="K221" s="79"/>
      <c r="L221" s="79"/>
    </row>
    <row r="222" spans="11:12" ht="12.75">
      <c r="K222" s="79"/>
      <c r="L222" s="79"/>
    </row>
    <row r="223" spans="11:12" ht="12.75">
      <c r="K223" s="79"/>
      <c r="L223" s="79"/>
    </row>
    <row r="224" spans="11:12" ht="12.75">
      <c r="K224" s="79"/>
      <c r="L224" s="79"/>
    </row>
    <row r="225" spans="11:12" ht="12.75">
      <c r="K225" s="79"/>
      <c r="L225" s="79"/>
    </row>
    <row r="226" spans="11:12" ht="12.75">
      <c r="K226" s="79"/>
      <c r="L226" s="79"/>
    </row>
    <row r="227" spans="11:12" ht="12.75">
      <c r="K227" s="79"/>
      <c r="L227" s="79"/>
    </row>
    <row r="228" spans="11:12" ht="12.75">
      <c r="K228" s="79"/>
      <c r="L228" s="79"/>
    </row>
    <row r="229" spans="11:12" ht="12.75">
      <c r="K229" s="79"/>
      <c r="L229" s="79"/>
    </row>
    <row r="230" spans="11:12" ht="12.75">
      <c r="K230" s="79"/>
      <c r="L230" s="79"/>
    </row>
    <row r="231" spans="11:12" ht="12.75">
      <c r="K231" s="79"/>
      <c r="L231" s="79"/>
    </row>
    <row r="232" spans="11:12" ht="12.75">
      <c r="K232" s="79"/>
      <c r="L232" s="79"/>
    </row>
    <row r="233" spans="11:12" ht="12.75">
      <c r="K233" s="79"/>
      <c r="L233" s="79"/>
    </row>
  </sheetData>
  <printOptions/>
  <pageMargins left="0.5905511811023623" right="0.3937007874015748" top="0.7874015748031497" bottom="0.5905511811023623" header="0.1968503937007874" footer="0.1968503937007874"/>
  <pageSetup horizontalDpi="300" verticalDpi="300" orientation="portrait" paperSize="9" scale="80" r:id="rId1"/>
  <headerFooter alignWithMargins="0">
    <oddHeader xml:space="preserve">&amp;C&amp;"Times New Roman CE,Félkövér"&amp;12Adósságszolgálat számítása az OTP tájékoztatása alapján&amp;"Times New Roman CE,Félkövér dőlt"
Kecelhegyen bérlakás építésre 2002. december-2003. októberben felvett hitel  </oddHeader>
    <oddFooter>&amp;L&amp;9Nyomtatás dátuma: &amp;D
C:\Andi\adósságszolgálat\&amp;F\&amp;A&amp;R&amp;P/&amp;N</oddFooter>
  </headerFooter>
  <rowBreaks count="1" manualBreakCount="1">
    <brk id="6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W78"/>
  <sheetViews>
    <sheetView tabSelected="1" workbookViewId="0" topLeftCell="N1">
      <selection activeCell="S1" sqref="S1:Z1"/>
    </sheetView>
  </sheetViews>
  <sheetFormatPr defaultColWidth="9.00390625" defaultRowHeight="12.75"/>
  <cols>
    <col min="1" max="1" width="46.125" style="5" customWidth="1"/>
    <col min="2" max="2" width="12.00390625" style="5" hidden="1" customWidth="1"/>
    <col min="3" max="3" width="11.875" style="5" hidden="1" customWidth="1"/>
    <col min="4" max="4" width="10.875" style="19" hidden="1" customWidth="1"/>
    <col min="5" max="5" width="9.875" style="0" hidden="1" customWidth="1"/>
    <col min="6" max="6" width="10.875" style="22" hidden="1" customWidth="1"/>
    <col min="7" max="7" width="10.00390625" style="5" hidden="1" customWidth="1"/>
    <col min="8" max="8" width="10.875" style="22" customWidth="1"/>
    <col min="9" max="9" width="10.375" style="5" bestFit="1" customWidth="1"/>
    <col min="10" max="10" width="12.50390625" style="22" customWidth="1"/>
    <col min="11" max="11" width="11.375" style="5" customWidth="1"/>
    <col min="12" max="12" width="12.625" style="22" customWidth="1"/>
    <col min="13" max="13" width="9.50390625" style="5" customWidth="1"/>
    <col min="14" max="14" width="11.125" style="22" customWidth="1"/>
    <col min="15" max="15" width="12.625" style="5" customWidth="1"/>
    <col min="16" max="16" width="15.125" style="22" customWidth="1"/>
    <col min="17" max="17" width="11.625" style="5" customWidth="1"/>
    <col min="18" max="18" width="14.125" style="22" customWidth="1"/>
    <col min="19" max="19" width="12.875" style="5" customWidth="1"/>
    <col min="20" max="20" width="12.125" style="22" customWidth="1"/>
    <col min="21" max="21" width="13.125" style="5" customWidth="1"/>
    <col min="22" max="22" width="10.125" style="22" customWidth="1"/>
    <col min="23" max="23" width="9.50390625" style="5" customWidth="1"/>
    <col min="24" max="24" width="11.125" style="5" customWidth="1"/>
    <col min="25" max="25" width="9.875" style="5" customWidth="1"/>
    <col min="26" max="26" width="10.625" style="5" customWidth="1"/>
    <col min="27" max="27" width="11.00390625" style="5" customWidth="1"/>
    <col min="28" max="28" width="12.625" style="5" customWidth="1"/>
    <col min="29" max="29" width="10.375" style="5" customWidth="1"/>
    <col min="30" max="30" width="11.875" style="5" customWidth="1"/>
    <col min="31" max="31" width="11.50390625" style="5" customWidth="1"/>
    <col min="32" max="32" width="11.125" style="5" customWidth="1"/>
    <col min="33" max="33" width="10.375" style="5" customWidth="1"/>
    <col min="34" max="34" width="10.875" style="5" customWidth="1"/>
    <col min="35" max="35" width="10.375" style="5" customWidth="1"/>
    <col min="36" max="36" width="10.875" style="5" customWidth="1"/>
    <col min="37" max="37" width="10.375" style="5" customWidth="1"/>
    <col min="38" max="38" width="11.00390625" style="5" customWidth="1"/>
    <col min="39" max="39" width="10.375" style="5" customWidth="1"/>
    <col min="40" max="40" width="11.125" style="5" customWidth="1"/>
    <col min="41" max="41" width="10.375" style="5" customWidth="1"/>
    <col min="42" max="42" width="11.00390625" style="5" customWidth="1"/>
    <col min="43" max="43" width="10.375" style="5" customWidth="1"/>
    <col min="44" max="44" width="11.00390625" style="5" customWidth="1"/>
    <col min="45" max="45" width="10.375" style="5" customWidth="1"/>
    <col min="46" max="46" width="11.00390625" style="5" customWidth="1"/>
    <col min="47" max="47" width="10.375" style="5" customWidth="1"/>
    <col min="48" max="48" width="11.00390625" style="5" customWidth="1"/>
    <col min="49" max="49" width="10.375" style="5" customWidth="1"/>
    <col min="50" max="16384" width="9.375" style="5" customWidth="1"/>
  </cols>
  <sheetData>
    <row r="1" spans="19:26" ht="12.75">
      <c r="S1" s="435" t="s">
        <v>210</v>
      </c>
      <c r="T1" s="436"/>
      <c r="U1" s="436"/>
      <c r="V1" s="436"/>
      <c r="W1" s="436"/>
      <c r="X1" s="436"/>
      <c r="Y1" s="436"/>
      <c r="Z1" s="436"/>
    </row>
    <row r="3" spans="1:49" ht="12.75">
      <c r="A3" s="4" t="s">
        <v>22</v>
      </c>
      <c r="B3" s="432" t="s">
        <v>80</v>
      </c>
      <c r="C3" s="433"/>
      <c r="D3" s="432" t="s">
        <v>23</v>
      </c>
      <c r="E3" s="433"/>
      <c r="F3" s="432" t="s">
        <v>24</v>
      </c>
      <c r="G3" s="433"/>
      <c r="H3" s="432" t="s">
        <v>25</v>
      </c>
      <c r="I3" s="433"/>
      <c r="J3" s="432" t="s">
        <v>26</v>
      </c>
      <c r="K3" s="433"/>
      <c r="L3" s="429" t="s">
        <v>27</v>
      </c>
      <c r="M3" s="430"/>
      <c r="N3" s="434" t="s">
        <v>28</v>
      </c>
      <c r="O3" s="434"/>
      <c r="P3" s="431" t="s">
        <v>29</v>
      </c>
      <c r="Q3" s="431"/>
      <c r="R3" s="432" t="s">
        <v>30</v>
      </c>
      <c r="S3" s="433"/>
      <c r="T3" s="429" t="s">
        <v>31</v>
      </c>
      <c r="U3" s="430"/>
      <c r="V3" s="429" t="s">
        <v>51</v>
      </c>
      <c r="W3" s="430"/>
      <c r="X3" s="429" t="s">
        <v>52</v>
      </c>
      <c r="Y3" s="430"/>
      <c r="Z3" s="429" t="s">
        <v>53</v>
      </c>
      <c r="AA3" s="430"/>
      <c r="AB3" s="429" t="s">
        <v>54</v>
      </c>
      <c r="AC3" s="430"/>
      <c r="AD3" s="429" t="s">
        <v>55</v>
      </c>
      <c r="AE3" s="430"/>
      <c r="AF3" s="429" t="s">
        <v>56</v>
      </c>
      <c r="AG3" s="430"/>
      <c r="AH3" s="429" t="s">
        <v>57</v>
      </c>
      <c r="AI3" s="430"/>
      <c r="AJ3" s="429" t="s">
        <v>58</v>
      </c>
      <c r="AK3" s="430"/>
      <c r="AL3" s="429" t="s">
        <v>59</v>
      </c>
      <c r="AM3" s="430"/>
      <c r="AN3" s="429" t="s">
        <v>60</v>
      </c>
      <c r="AO3" s="430"/>
      <c r="AP3" s="429" t="s">
        <v>61</v>
      </c>
      <c r="AQ3" s="430"/>
      <c r="AR3" s="429" t="s">
        <v>171</v>
      </c>
      <c r="AS3" s="430"/>
      <c r="AT3" s="429" t="s">
        <v>172</v>
      </c>
      <c r="AU3" s="430"/>
      <c r="AV3" s="429" t="s">
        <v>173</v>
      </c>
      <c r="AW3" s="430"/>
    </row>
    <row r="4" spans="1:49" ht="12.75">
      <c r="A4" s="6"/>
      <c r="B4" s="7" t="s">
        <v>32</v>
      </c>
      <c r="C4" s="25" t="s">
        <v>33</v>
      </c>
      <c r="D4" s="7" t="s">
        <v>32</v>
      </c>
      <c r="E4" s="25" t="s">
        <v>33</v>
      </c>
      <c r="F4" s="7" t="s">
        <v>32</v>
      </c>
      <c r="G4" s="25" t="s">
        <v>33</v>
      </c>
      <c r="H4" s="7" t="s">
        <v>32</v>
      </c>
      <c r="I4" s="25" t="s">
        <v>33</v>
      </c>
      <c r="J4" s="7" t="s">
        <v>32</v>
      </c>
      <c r="K4" s="25" t="s">
        <v>33</v>
      </c>
      <c r="L4" s="7" t="s">
        <v>32</v>
      </c>
      <c r="M4" s="25" t="s">
        <v>33</v>
      </c>
      <c r="N4" s="64" t="s">
        <v>32</v>
      </c>
      <c r="O4" s="25" t="s">
        <v>33</v>
      </c>
      <c r="P4" s="7" t="s">
        <v>32</v>
      </c>
      <c r="Q4" s="68" t="s">
        <v>33</v>
      </c>
      <c r="R4" s="43" t="s">
        <v>32</v>
      </c>
      <c r="S4" s="25" t="s">
        <v>33</v>
      </c>
      <c r="T4" s="7" t="s">
        <v>32</v>
      </c>
      <c r="U4" s="25" t="s">
        <v>33</v>
      </c>
      <c r="V4" s="43" t="s">
        <v>32</v>
      </c>
      <c r="W4" s="25" t="s">
        <v>33</v>
      </c>
      <c r="X4" s="42" t="s">
        <v>32</v>
      </c>
      <c r="Y4" s="44" t="s">
        <v>33</v>
      </c>
      <c r="Z4" s="42" t="s">
        <v>32</v>
      </c>
      <c r="AA4" s="44" t="s">
        <v>33</v>
      </c>
      <c r="AB4" s="42" t="s">
        <v>32</v>
      </c>
      <c r="AC4" s="44" t="s">
        <v>33</v>
      </c>
      <c r="AD4" s="42" t="s">
        <v>32</v>
      </c>
      <c r="AE4" s="44" t="s">
        <v>33</v>
      </c>
      <c r="AF4" s="42" t="s">
        <v>32</v>
      </c>
      <c r="AG4" s="44" t="s">
        <v>33</v>
      </c>
      <c r="AH4" s="42" t="s">
        <v>32</v>
      </c>
      <c r="AI4" s="44" t="s">
        <v>33</v>
      </c>
      <c r="AJ4" s="42" t="s">
        <v>32</v>
      </c>
      <c r="AK4" s="44" t="s">
        <v>33</v>
      </c>
      <c r="AL4" s="42" t="s">
        <v>32</v>
      </c>
      <c r="AM4" s="44" t="s">
        <v>33</v>
      </c>
      <c r="AN4" s="42" t="s">
        <v>32</v>
      </c>
      <c r="AO4" s="44" t="s">
        <v>33</v>
      </c>
      <c r="AP4" s="42" t="s">
        <v>32</v>
      </c>
      <c r="AQ4" s="44" t="s">
        <v>33</v>
      </c>
      <c r="AR4" s="42" t="s">
        <v>32</v>
      </c>
      <c r="AS4" s="44" t="s">
        <v>33</v>
      </c>
      <c r="AT4" s="42" t="s">
        <v>32</v>
      </c>
      <c r="AU4" s="44" t="s">
        <v>33</v>
      </c>
      <c r="AV4" s="42" t="s">
        <v>32</v>
      </c>
      <c r="AW4" s="44" t="s">
        <v>33</v>
      </c>
    </row>
    <row r="5" spans="1:49" ht="12.75">
      <c r="A5" s="31"/>
      <c r="B5" s="8" t="s">
        <v>34</v>
      </c>
      <c r="C5" s="32"/>
      <c r="D5" s="8" t="s">
        <v>34</v>
      </c>
      <c r="E5" s="32"/>
      <c r="F5" s="8" t="s">
        <v>34</v>
      </c>
      <c r="G5" s="32"/>
      <c r="H5" s="8" t="s">
        <v>34</v>
      </c>
      <c r="I5" s="32"/>
      <c r="J5" s="8" t="s">
        <v>34</v>
      </c>
      <c r="K5" s="32"/>
      <c r="L5" s="1" t="s">
        <v>34</v>
      </c>
      <c r="M5" s="32"/>
      <c r="N5" s="65" t="s">
        <v>34</v>
      </c>
      <c r="O5" s="32"/>
      <c r="P5" s="8" t="s">
        <v>34</v>
      </c>
      <c r="Q5" s="69"/>
      <c r="R5" s="1" t="s">
        <v>34</v>
      </c>
      <c r="S5" s="32"/>
      <c r="T5" s="8" t="s">
        <v>34</v>
      </c>
      <c r="U5" s="32"/>
      <c r="V5" s="1" t="s">
        <v>34</v>
      </c>
      <c r="W5" s="32"/>
      <c r="X5" s="40" t="s">
        <v>34</v>
      </c>
      <c r="Y5" s="41"/>
      <c r="Z5" s="40" t="s">
        <v>34</v>
      </c>
      <c r="AA5" s="41"/>
      <c r="AB5" s="40" t="s">
        <v>34</v>
      </c>
      <c r="AC5" s="41"/>
      <c r="AD5" s="40" t="s">
        <v>34</v>
      </c>
      <c r="AE5" s="41"/>
      <c r="AF5" s="40" t="s">
        <v>34</v>
      </c>
      <c r="AG5" s="41"/>
      <c r="AH5" s="40" t="s">
        <v>34</v>
      </c>
      <c r="AI5" s="41"/>
      <c r="AJ5" s="40" t="s">
        <v>34</v>
      </c>
      <c r="AK5" s="41"/>
      <c r="AL5" s="40" t="s">
        <v>34</v>
      </c>
      <c r="AM5" s="41"/>
      <c r="AN5" s="40" t="s">
        <v>34</v>
      </c>
      <c r="AO5" s="41"/>
      <c r="AP5" s="40" t="s">
        <v>34</v>
      </c>
      <c r="AQ5" s="41"/>
      <c r="AR5" s="40" t="s">
        <v>34</v>
      </c>
      <c r="AS5" s="41"/>
      <c r="AT5" s="40" t="s">
        <v>34</v>
      </c>
      <c r="AU5" s="41"/>
      <c r="AV5" s="40" t="s">
        <v>34</v>
      </c>
      <c r="AW5" s="41"/>
    </row>
    <row r="6" spans="1:49" ht="12.75">
      <c r="A6" s="30" t="s">
        <v>35</v>
      </c>
      <c r="B6" s="57"/>
      <c r="C6" s="58"/>
      <c r="D6" s="39"/>
      <c r="E6" s="37"/>
      <c r="F6" s="39"/>
      <c r="G6" s="37"/>
      <c r="H6" s="39"/>
      <c r="I6" s="37"/>
      <c r="K6" s="28"/>
      <c r="M6" s="17"/>
      <c r="N6" s="34"/>
      <c r="O6" s="17"/>
      <c r="P6" s="9"/>
      <c r="Q6" s="10"/>
      <c r="S6" s="17"/>
      <c r="T6" s="34"/>
      <c r="U6" s="17"/>
      <c r="W6" s="17"/>
      <c r="X6" s="22"/>
      <c r="Y6" s="17"/>
      <c r="Z6" s="39"/>
      <c r="AA6" s="10"/>
      <c r="AB6" s="39"/>
      <c r="AC6" s="10"/>
      <c r="AD6" s="39"/>
      <c r="AE6" s="10"/>
      <c r="AF6" s="39"/>
      <c r="AG6" s="10"/>
      <c r="AH6" s="39"/>
      <c r="AI6" s="10"/>
      <c r="AJ6" s="39"/>
      <c r="AK6" s="10"/>
      <c r="AL6" s="39"/>
      <c r="AM6" s="10"/>
      <c r="AN6" s="39"/>
      <c r="AO6" s="10"/>
      <c r="AP6" s="39"/>
      <c r="AQ6" s="10"/>
      <c r="AR6" s="39"/>
      <c r="AS6" s="10"/>
      <c r="AT6" s="39"/>
      <c r="AU6" s="10"/>
      <c r="AV6" s="39"/>
      <c r="AW6" s="10"/>
    </row>
    <row r="7" spans="1:49" ht="12.75">
      <c r="A7" s="6" t="s">
        <v>82</v>
      </c>
      <c r="B7" s="9">
        <f>C7+D7</f>
        <v>120000</v>
      </c>
      <c r="C7" s="17">
        <v>40000</v>
      </c>
      <c r="D7" s="9">
        <f>SUM(E7,G7,I7,K7,M7,O7)</f>
        <v>80000</v>
      </c>
      <c r="E7" s="17">
        <v>12760</v>
      </c>
      <c r="F7" s="9">
        <f>D7-E7</f>
        <v>67240</v>
      </c>
      <c r="G7" s="17">
        <v>13120</v>
      </c>
      <c r="H7" s="13">
        <f>F7-G7</f>
        <v>54120</v>
      </c>
      <c r="I7" s="17">
        <v>13120</v>
      </c>
      <c r="J7" s="36">
        <f>H7-I7</f>
        <v>41000</v>
      </c>
      <c r="K7" s="17">
        <v>13120</v>
      </c>
      <c r="L7" s="36">
        <f>J7-K7</f>
        <v>27880</v>
      </c>
      <c r="M7" s="17">
        <v>13120</v>
      </c>
      <c r="N7" s="66">
        <f>L7-M7</f>
        <v>14760</v>
      </c>
      <c r="O7" s="27">
        <v>14760</v>
      </c>
      <c r="P7" s="14" t="s">
        <v>36</v>
      </c>
      <c r="Q7" s="15" t="s">
        <v>36</v>
      </c>
      <c r="R7" s="24" t="s">
        <v>36</v>
      </c>
      <c r="S7" s="29" t="s">
        <v>36</v>
      </c>
      <c r="T7" s="53" t="s">
        <v>36</v>
      </c>
      <c r="U7" s="29" t="s">
        <v>36</v>
      </c>
      <c r="V7" s="24" t="s">
        <v>36</v>
      </c>
      <c r="W7" s="29" t="s">
        <v>36</v>
      </c>
      <c r="X7" s="24" t="s">
        <v>36</v>
      </c>
      <c r="Y7" s="29" t="s">
        <v>36</v>
      </c>
      <c r="Z7" s="14" t="s">
        <v>36</v>
      </c>
      <c r="AA7" s="15" t="s">
        <v>36</v>
      </c>
      <c r="AB7" s="14" t="s">
        <v>36</v>
      </c>
      <c r="AC7" s="15" t="s">
        <v>36</v>
      </c>
      <c r="AD7" s="14" t="s">
        <v>36</v>
      </c>
      <c r="AE7" s="15" t="s">
        <v>36</v>
      </c>
      <c r="AF7" s="14" t="s">
        <v>36</v>
      </c>
      <c r="AG7" s="15" t="s">
        <v>36</v>
      </c>
      <c r="AH7" s="14" t="s">
        <v>36</v>
      </c>
      <c r="AI7" s="15" t="s">
        <v>36</v>
      </c>
      <c r="AJ7" s="14" t="s">
        <v>36</v>
      </c>
      <c r="AK7" s="15" t="s">
        <v>36</v>
      </c>
      <c r="AL7" s="14" t="s">
        <v>36</v>
      </c>
      <c r="AM7" s="15" t="s">
        <v>36</v>
      </c>
      <c r="AN7" s="14" t="s">
        <v>36</v>
      </c>
      <c r="AO7" s="15" t="s">
        <v>36</v>
      </c>
      <c r="AP7" s="14" t="s">
        <v>36</v>
      </c>
      <c r="AQ7" s="15" t="s">
        <v>36</v>
      </c>
      <c r="AR7" s="14" t="s">
        <v>36</v>
      </c>
      <c r="AS7" s="15" t="s">
        <v>36</v>
      </c>
      <c r="AT7" s="14" t="s">
        <v>36</v>
      </c>
      <c r="AU7" s="15" t="s">
        <v>36</v>
      </c>
      <c r="AV7" s="14" t="s">
        <v>36</v>
      </c>
      <c r="AW7" s="15" t="s">
        <v>36</v>
      </c>
    </row>
    <row r="8" spans="1:49" ht="12.75">
      <c r="A8" s="6" t="s">
        <v>83</v>
      </c>
      <c r="B8" s="9">
        <f>C8+D8</f>
        <v>136673</v>
      </c>
      <c r="C8" s="17">
        <v>39996</v>
      </c>
      <c r="D8" s="9">
        <f>SUM(E8,G8,I8,K8,M8,O8)</f>
        <v>96677</v>
      </c>
      <c r="E8" s="17">
        <v>15677</v>
      </c>
      <c r="F8" s="9">
        <f>D8-E8</f>
        <v>81000</v>
      </c>
      <c r="G8" s="17">
        <v>16200</v>
      </c>
      <c r="H8" s="13">
        <f aca="true" t="shared" si="0" ref="H8:H13">F8-G8</f>
        <v>64800</v>
      </c>
      <c r="I8" s="17">
        <v>16200</v>
      </c>
      <c r="J8" s="36">
        <f aca="true" t="shared" si="1" ref="J8:J20">H8-I8</f>
        <v>48600</v>
      </c>
      <c r="K8" s="17">
        <v>16200</v>
      </c>
      <c r="L8" s="36">
        <f aca="true" t="shared" si="2" ref="L8:L20">J8-K8</f>
        <v>32400</v>
      </c>
      <c r="M8" s="17">
        <v>16200</v>
      </c>
      <c r="N8" s="66">
        <f aca="true" t="shared" si="3" ref="N8:N20">L8-M8</f>
        <v>16200</v>
      </c>
      <c r="O8" s="27">
        <v>16200</v>
      </c>
      <c r="P8" s="14" t="s">
        <v>36</v>
      </c>
      <c r="Q8" s="15" t="s">
        <v>36</v>
      </c>
      <c r="R8" s="24" t="s">
        <v>36</v>
      </c>
      <c r="S8" s="29" t="s">
        <v>36</v>
      </c>
      <c r="T8" s="24" t="s">
        <v>36</v>
      </c>
      <c r="U8" s="29" t="s">
        <v>36</v>
      </c>
      <c r="V8" s="24" t="s">
        <v>36</v>
      </c>
      <c r="W8" s="29" t="s">
        <v>36</v>
      </c>
      <c r="X8" s="24" t="s">
        <v>36</v>
      </c>
      <c r="Y8" s="29" t="s">
        <v>36</v>
      </c>
      <c r="Z8" s="14" t="s">
        <v>36</v>
      </c>
      <c r="AA8" s="15" t="s">
        <v>36</v>
      </c>
      <c r="AB8" s="14" t="s">
        <v>36</v>
      </c>
      <c r="AC8" s="15" t="s">
        <v>36</v>
      </c>
      <c r="AD8" s="14" t="s">
        <v>36</v>
      </c>
      <c r="AE8" s="15" t="s">
        <v>36</v>
      </c>
      <c r="AF8" s="14" t="s">
        <v>36</v>
      </c>
      <c r="AG8" s="15" t="s">
        <v>36</v>
      </c>
      <c r="AH8" s="14" t="s">
        <v>36</v>
      </c>
      <c r="AI8" s="15" t="s">
        <v>36</v>
      </c>
      <c r="AJ8" s="14" t="s">
        <v>36</v>
      </c>
      <c r="AK8" s="15" t="s">
        <v>36</v>
      </c>
      <c r="AL8" s="14" t="s">
        <v>36</v>
      </c>
      <c r="AM8" s="15" t="s">
        <v>36</v>
      </c>
      <c r="AN8" s="14" t="s">
        <v>36</v>
      </c>
      <c r="AO8" s="15" t="s">
        <v>36</v>
      </c>
      <c r="AP8" s="14" t="s">
        <v>36</v>
      </c>
      <c r="AQ8" s="15" t="s">
        <v>36</v>
      </c>
      <c r="AR8" s="14" t="s">
        <v>36</v>
      </c>
      <c r="AS8" s="15" t="s">
        <v>36</v>
      </c>
      <c r="AT8" s="14" t="s">
        <v>36</v>
      </c>
      <c r="AU8" s="15" t="s">
        <v>36</v>
      </c>
      <c r="AV8" s="14" t="s">
        <v>36</v>
      </c>
      <c r="AW8" s="15" t="s">
        <v>36</v>
      </c>
    </row>
    <row r="9" spans="1:49" ht="12.75">
      <c r="A9" s="16" t="s">
        <v>84</v>
      </c>
      <c r="B9" s="9">
        <f>C9+D9</f>
        <v>166668</v>
      </c>
      <c r="C9" s="27">
        <v>66664</v>
      </c>
      <c r="D9" s="13">
        <f>SUM(E9,G9,I9,K9,M9)</f>
        <v>100004</v>
      </c>
      <c r="E9" s="17">
        <v>20004</v>
      </c>
      <c r="F9" s="9">
        <f>D9-E9</f>
        <v>80000</v>
      </c>
      <c r="G9" s="17">
        <v>20000</v>
      </c>
      <c r="H9" s="13">
        <f t="shared" si="0"/>
        <v>60000</v>
      </c>
      <c r="I9" s="17">
        <v>20000</v>
      </c>
      <c r="J9" s="36">
        <f t="shared" si="1"/>
        <v>40000</v>
      </c>
      <c r="K9" s="17">
        <v>20000</v>
      </c>
      <c r="L9" s="36">
        <f t="shared" si="2"/>
        <v>20000</v>
      </c>
      <c r="M9" s="27">
        <v>20000</v>
      </c>
      <c r="N9" s="53" t="s">
        <v>36</v>
      </c>
      <c r="O9" s="29" t="s">
        <v>36</v>
      </c>
      <c r="P9" s="14" t="s">
        <v>36</v>
      </c>
      <c r="Q9" s="15" t="s">
        <v>36</v>
      </c>
      <c r="R9" s="24" t="s">
        <v>36</v>
      </c>
      <c r="S9" s="29" t="s">
        <v>36</v>
      </c>
      <c r="T9" s="24" t="s">
        <v>36</v>
      </c>
      <c r="U9" s="29" t="s">
        <v>36</v>
      </c>
      <c r="V9" s="24" t="s">
        <v>36</v>
      </c>
      <c r="W9" s="29" t="s">
        <v>36</v>
      </c>
      <c r="X9" s="24" t="s">
        <v>36</v>
      </c>
      <c r="Y9" s="29" t="s">
        <v>36</v>
      </c>
      <c r="Z9" s="14" t="s">
        <v>36</v>
      </c>
      <c r="AA9" s="15" t="s">
        <v>36</v>
      </c>
      <c r="AB9" s="14" t="s">
        <v>36</v>
      </c>
      <c r="AC9" s="15" t="s">
        <v>36</v>
      </c>
      <c r="AD9" s="14" t="s">
        <v>36</v>
      </c>
      <c r="AE9" s="15" t="s">
        <v>36</v>
      </c>
      <c r="AF9" s="14" t="s">
        <v>36</v>
      </c>
      <c r="AG9" s="15" t="s">
        <v>36</v>
      </c>
      <c r="AH9" s="14" t="s">
        <v>36</v>
      </c>
      <c r="AI9" s="15" t="s">
        <v>36</v>
      </c>
      <c r="AJ9" s="14" t="s">
        <v>36</v>
      </c>
      <c r="AK9" s="15" t="s">
        <v>36</v>
      </c>
      <c r="AL9" s="14" t="s">
        <v>36</v>
      </c>
      <c r="AM9" s="15" t="s">
        <v>36</v>
      </c>
      <c r="AN9" s="14" t="s">
        <v>36</v>
      </c>
      <c r="AO9" s="15" t="s">
        <v>36</v>
      </c>
      <c r="AP9" s="14" t="s">
        <v>36</v>
      </c>
      <c r="AQ9" s="15" t="s">
        <v>36</v>
      </c>
      <c r="AR9" s="14" t="s">
        <v>36</v>
      </c>
      <c r="AS9" s="15" t="s">
        <v>36</v>
      </c>
      <c r="AT9" s="14" t="s">
        <v>36</v>
      </c>
      <c r="AU9" s="15" t="s">
        <v>36</v>
      </c>
      <c r="AV9" s="14" t="s">
        <v>36</v>
      </c>
      <c r="AW9" s="15" t="s">
        <v>36</v>
      </c>
    </row>
    <row r="10" spans="1:49" ht="12.75">
      <c r="A10" s="16" t="s">
        <v>85</v>
      </c>
      <c r="B10" s="9">
        <f>C10+D10</f>
        <v>237500</v>
      </c>
      <c r="C10" s="27">
        <v>50000</v>
      </c>
      <c r="D10" s="13">
        <f>SUM(E10,G10,I10,K10,M10,O10,Q10)</f>
        <v>187500</v>
      </c>
      <c r="E10" s="17">
        <v>26700</v>
      </c>
      <c r="F10" s="9">
        <f>D10-E10</f>
        <v>160800</v>
      </c>
      <c r="G10" s="17">
        <v>26800</v>
      </c>
      <c r="H10" s="13">
        <f t="shared" si="0"/>
        <v>134000</v>
      </c>
      <c r="I10" s="17">
        <v>26800</v>
      </c>
      <c r="J10" s="36">
        <f t="shared" si="1"/>
        <v>107200</v>
      </c>
      <c r="K10" s="17">
        <v>26800</v>
      </c>
      <c r="L10" s="36">
        <f t="shared" si="2"/>
        <v>80400</v>
      </c>
      <c r="M10" s="17">
        <v>26800</v>
      </c>
      <c r="N10" s="66">
        <f t="shared" si="3"/>
        <v>53600</v>
      </c>
      <c r="O10" s="17">
        <v>26800</v>
      </c>
      <c r="P10" s="13">
        <f aca="true" t="shared" si="4" ref="P10:P20">N10-O10</f>
        <v>26800</v>
      </c>
      <c r="Q10" s="10">
        <v>26800</v>
      </c>
      <c r="R10" s="24" t="s">
        <v>36</v>
      </c>
      <c r="S10" s="29" t="s">
        <v>36</v>
      </c>
      <c r="T10" s="24" t="s">
        <v>36</v>
      </c>
      <c r="U10" s="29" t="s">
        <v>36</v>
      </c>
      <c r="V10" s="24" t="s">
        <v>36</v>
      </c>
      <c r="W10" s="29" t="s">
        <v>36</v>
      </c>
      <c r="X10" s="24" t="s">
        <v>36</v>
      </c>
      <c r="Y10" s="29" t="s">
        <v>36</v>
      </c>
      <c r="Z10" s="14" t="s">
        <v>36</v>
      </c>
      <c r="AA10" s="15" t="s">
        <v>36</v>
      </c>
      <c r="AB10" s="14" t="s">
        <v>36</v>
      </c>
      <c r="AC10" s="15" t="s">
        <v>36</v>
      </c>
      <c r="AD10" s="14" t="s">
        <v>36</v>
      </c>
      <c r="AE10" s="15" t="s">
        <v>36</v>
      </c>
      <c r="AF10" s="14" t="s">
        <v>36</v>
      </c>
      <c r="AG10" s="15" t="s">
        <v>36</v>
      </c>
      <c r="AH10" s="14" t="s">
        <v>36</v>
      </c>
      <c r="AI10" s="15" t="s">
        <v>36</v>
      </c>
      <c r="AJ10" s="14" t="s">
        <v>36</v>
      </c>
      <c r="AK10" s="15" t="s">
        <v>36</v>
      </c>
      <c r="AL10" s="14" t="s">
        <v>36</v>
      </c>
      <c r="AM10" s="15" t="s">
        <v>36</v>
      </c>
      <c r="AN10" s="14" t="s">
        <v>36</v>
      </c>
      <c r="AO10" s="15" t="s">
        <v>36</v>
      </c>
      <c r="AP10" s="14" t="s">
        <v>36</v>
      </c>
      <c r="AQ10" s="15" t="s">
        <v>36</v>
      </c>
      <c r="AR10" s="14" t="s">
        <v>36</v>
      </c>
      <c r="AS10" s="15" t="s">
        <v>36</v>
      </c>
      <c r="AT10" s="14" t="s">
        <v>36</v>
      </c>
      <c r="AU10" s="15" t="s">
        <v>36</v>
      </c>
      <c r="AV10" s="14" t="s">
        <v>36</v>
      </c>
      <c r="AW10" s="15" t="s">
        <v>36</v>
      </c>
    </row>
    <row r="11" spans="1:49" ht="12.75">
      <c r="A11" s="16" t="s">
        <v>86</v>
      </c>
      <c r="B11" s="9">
        <v>143500</v>
      </c>
      <c r="C11" s="27">
        <v>17675</v>
      </c>
      <c r="D11" s="13">
        <v>197375</v>
      </c>
      <c r="E11" s="17">
        <v>22955</v>
      </c>
      <c r="F11" s="9">
        <v>206820</v>
      </c>
      <c r="G11" s="17">
        <v>22980</v>
      </c>
      <c r="H11" s="13">
        <f t="shared" si="0"/>
        <v>183840</v>
      </c>
      <c r="I11" s="17">
        <v>22980</v>
      </c>
      <c r="J11" s="36">
        <f t="shared" si="1"/>
        <v>160860</v>
      </c>
      <c r="K11" s="17">
        <v>22980</v>
      </c>
      <c r="L11" s="36">
        <f t="shared" si="2"/>
        <v>137880</v>
      </c>
      <c r="M11" s="17">
        <v>22980</v>
      </c>
      <c r="N11" s="66">
        <f t="shared" si="3"/>
        <v>114900</v>
      </c>
      <c r="O11" s="17">
        <v>22980</v>
      </c>
      <c r="P11" s="13">
        <f t="shared" si="4"/>
        <v>91920</v>
      </c>
      <c r="Q11" s="10">
        <v>22980</v>
      </c>
      <c r="R11" s="36">
        <f>P11-Q11</f>
        <v>68940</v>
      </c>
      <c r="S11" s="17">
        <v>22980</v>
      </c>
      <c r="T11" s="36">
        <f>R11-S11</f>
        <v>45960</v>
      </c>
      <c r="U11" s="17">
        <v>22980</v>
      </c>
      <c r="V11" s="36">
        <f>T11-U11</f>
        <v>22980</v>
      </c>
      <c r="W11" s="27">
        <v>22980</v>
      </c>
      <c r="X11" s="24" t="s">
        <v>36</v>
      </c>
      <c r="Y11" s="29" t="s">
        <v>36</v>
      </c>
      <c r="Z11" s="14" t="s">
        <v>36</v>
      </c>
      <c r="AA11" s="15" t="s">
        <v>36</v>
      </c>
      <c r="AB11" s="14" t="s">
        <v>36</v>
      </c>
      <c r="AC11" s="15" t="s">
        <v>36</v>
      </c>
      <c r="AD11" s="14" t="s">
        <v>36</v>
      </c>
      <c r="AE11" s="15" t="s">
        <v>36</v>
      </c>
      <c r="AF11" s="14" t="s">
        <v>36</v>
      </c>
      <c r="AG11" s="15" t="s">
        <v>36</v>
      </c>
      <c r="AH11" s="14" t="s">
        <v>36</v>
      </c>
      <c r="AI11" s="15" t="s">
        <v>36</v>
      </c>
      <c r="AJ11" s="14" t="s">
        <v>36</v>
      </c>
      <c r="AK11" s="15" t="s">
        <v>36</v>
      </c>
      <c r="AL11" s="14" t="s">
        <v>36</v>
      </c>
      <c r="AM11" s="15" t="s">
        <v>36</v>
      </c>
      <c r="AN11" s="14" t="s">
        <v>36</v>
      </c>
      <c r="AO11" s="15" t="s">
        <v>36</v>
      </c>
      <c r="AP11" s="14" t="s">
        <v>36</v>
      </c>
      <c r="AQ11" s="15" t="s">
        <v>36</v>
      </c>
      <c r="AR11" s="14" t="s">
        <v>36</v>
      </c>
      <c r="AS11" s="15" t="s">
        <v>36</v>
      </c>
      <c r="AT11" s="14" t="s">
        <v>36</v>
      </c>
      <c r="AU11" s="15" t="s">
        <v>36</v>
      </c>
      <c r="AV11" s="14" t="s">
        <v>36</v>
      </c>
      <c r="AW11" s="15" t="s">
        <v>36</v>
      </c>
    </row>
    <row r="12" spans="1:49" ht="12.75">
      <c r="A12" s="16" t="s">
        <v>87</v>
      </c>
      <c r="B12" s="9">
        <v>139059</v>
      </c>
      <c r="C12" s="27">
        <v>28666</v>
      </c>
      <c r="D12" s="13">
        <f>SUM(E12,G12,I12,K12,M12,O12,Q12,S12)</f>
        <v>257997</v>
      </c>
      <c r="E12" s="17">
        <v>32233</v>
      </c>
      <c r="F12" s="9">
        <f>D12-E12</f>
        <v>225764</v>
      </c>
      <c r="G12" s="17">
        <v>32252</v>
      </c>
      <c r="H12" s="13">
        <f t="shared" si="0"/>
        <v>193512</v>
      </c>
      <c r="I12" s="17">
        <v>32252</v>
      </c>
      <c r="J12" s="36">
        <f t="shared" si="1"/>
        <v>161260</v>
      </c>
      <c r="K12" s="17">
        <v>32252</v>
      </c>
      <c r="L12" s="36">
        <f t="shared" si="2"/>
        <v>129008</v>
      </c>
      <c r="M12" s="17">
        <v>32252</v>
      </c>
      <c r="N12" s="66">
        <f t="shared" si="3"/>
        <v>96756</v>
      </c>
      <c r="O12" s="17">
        <v>32252</v>
      </c>
      <c r="P12" s="13">
        <f t="shared" si="4"/>
        <v>64504</v>
      </c>
      <c r="Q12" s="10">
        <v>32252</v>
      </c>
      <c r="R12" s="36">
        <f>P12-Q12</f>
        <v>32252</v>
      </c>
      <c r="S12" s="27">
        <v>32252</v>
      </c>
      <c r="T12" s="24" t="s">
        <v>36</v>
      </c>
      <c r="U12" s="29" t="s">
        <v>36</v>
      </c>
      <c r="V12" s="24" t="s">
        <v>36</v>
      </c>
      <c r="W12" s="29" t="s">
        <v>36</v>
      </c>
      <c r="X12" s="24" t="s">
        <v>36</v>
      </c>
      <c r="Y12" s="29" t="s">
        <v>36</v>
      </c>
      <c r="Z12" s="14" t="s">
        <v>36</v>
      </c>
      <c r="AA12" s="15" t="s">
        <v>36</v>
      </c>
      <c r="AB12" s="14" t="s">
        <v>36</v>
      </c>
      <c r="AC12" s="15" t="s">
        <v>36</v>
      </c>
      <c r="AD12" s="14" t="s">
        <v>36</v>
      </c>
      <c r="AE12" s="15" t="s">
        <v>36</v>
      </c>
      <c r="AF12" s="14" t="s">
        <v>36</v>
      </c>
      <c r="AG12" s="15" t="s">
        <v>36</v>
      </c>
      <c r="AH12" s="14" t="s">
        <v>36</v>
      </c>
      <c r="AI12" s="15" t="s">
        <v>36</v>
      </c>
      <c r="AJ12" s="14" t="s">
        <v>36</v>
      </c>
      <c r="AK12" s="15" t="s">
        <v>36</v>
      </c>
      <c r="AL12" s="14" t="s">
        <v>36</v>
      </c>
      <c r="AM12" s="15" t="s">
        <v>36</v>
      </c>
      <c r="AN12" s="14" t="s">
        <v>36</v>
      </c>
      <c r="AO12" s="15" t="s">
        <v>36</v>
      </c>
      <c r="AP12" s="14" t="s">
        <v>36</v>
      </c>
      <c r="AQ12" s="15" t="s">
        <v>36</v>
      </c>
      <c r="AR12" s="14" t="s">
        <v>36</v>
      </c>
      <c r="AS12" s="15" t="s">
        <v>36</v>
      </c>
      <c r="AT12" s="14" t="s">
        <v>36</v>
      </c>
      <c r="AU12" s="15" t="s">
        <v>36</v>
      </c>
      <c r="AV12" s="14" t="s">
        <v>36</v>
      </c>
      <c r="AW12" s="15" t="s">
        <v>36</v>
      </c>
    </row>
    <row r="13" spans="1:49" ht="12.75">
      <c r="A13" s="16" t="s">
        <v>77</v>
      </c>
      <c r="B13" s="9">
        <v>0</v>
      </c>
      <c r="C13" s="27">
        <v>0</v>
      </c>
      <c r="D13" s="13">
        <v>305133</v>
      </c>
      <c r="E13" s="17">
        <v>20345</v>
      </c>
      <c r="F13" s="9">
        <f>D13-E13</f>
        <v>284788</v>
      </c>
      <c r="G13" s="17">
        <v>40684</v>
      </c>
      <c r="H13" s="13">
        <f t="shared" si="0"/>
        <v>244104</v>
      </c>
      <c r="I13" s="17">
        <v>40684</v>
      </c>
      <c r="J13" s="36">
        <f t="shared" si="1"/>
        <v>203420</v>
      </c>
      <c r="K13" s="17">
        <v>40684</v>
      </c>
      <c r="L13" s="36">
        <f t="shared" si="2"/>
        <v>162736</v>
      </c>
      <c r="M13" s="17">
        <v>40684</v>
      </c>
      <c r="N13" s="66">
        <f t="shared" si="3"/>
        <v>122052</v>
      </c>
      <c r="O13" s="17">
        <v>40684</v>
      </c>
      <c r="P13" s="13">
        <f t="shared" si="4"/>
        <v>81368</v>
      </c>
      <c r="Q13" s="10">
        <v>40684</v>
      </c>
      <c r="R13" s="36">
        <f>P13-Q13</f>
        <v>40684</v>
      </c>
      <c r="S13" s="17">
        <v>40684</v>
      </c>
      <c r="T13" s="24" t="s">
        <v>36</v>
      </c>
      <c r="U13" s="29" t="s">
        <v>36</v>
      </c>
      <c r="V13" s="24" t="s">
        <v>36</v>
      </c>
      <c r="W13" s="26" t="s">
        <v>36</v>
      </c>
      <c r="X13" s="24" t="s">
        <v>36</v>
      </c>
      <c r="Y13" s="29" t="s">
        <v>36</v>
      </c>
      <c r="Z13" s="14" t="s">
        <v>36</v>
      </c>
      <c r="AA13" s="15" t="s">
        <v>36</v>
      </c>
      <c r="AB13" s="14" t="s">
        <v>36</v>
      </c>
      <c r="AC13" s="15" t="s">
        <v>36</v>
      </c>
      <c r="AD13" s="14" t="s">
        <v>36</v>
      </c>
      <c r="AE13" s="15" t="s">
        <v>36</v>
      </c>
      <c r="AF13" s="14" t="s">
        <v>36</v>
      </c>
      <c r="AG13" s="15" t="s">
        <v>36</v>
      </c>
      <c r="AH13" s="14" t="s">
        <v>36</v>
      </c>
      <c r="AI13" s="15" t="s">
        <v>36</v>
      </c>
      <c r="AJ13" s="14" t="s">
        <v>36</v>
      </c>
      <c r="AK13" s="15" t="s">
        <v>36</v>
      </c>
      <c r="AL13" s="14" t="s">
        <v>36</v>
      </c>
      <c r="AM13" s="15" t="s">
        <v>36</v>
      </c>
      <c r="AN13" s="14" t="s">
        <v>36</v>
      </c>
      <c r="AO13" s="15" t="s">
        <v>36</v>
      </c>
      <c r="AP13" s="14" t="s">
        <v>36</v>
      </c>
      <c r="AQ13" s="15" t="s">
        <v>36</v>
      </c>
      <c r="AR13" s="14" t="s">
        <v>36</v>
      </c>
      <c r="AS13" s="15" t="s">
        <v>36</v>
      </c>
      <c r="AT13" s="14" t="s">
        <v>36</v>
      </c>
      <c r="AU13" s="15" t="s">
        <v>36</v>
      </c>
      <c r="AV13" s="14" t="s">
        <v>36</v>
      </c>
      <c r="AW13" s="15" t="s">
        <v>36</v>
      </c>
    </row>
    <row r="14" spans="1:49" ht="12.75">
      <c r="A14" s="16" t="s">
        <v>92</v>
      </c>
      <c r="B14" s="9">
        <v>0</v>
      </c>
      <c r="C14" s="27">
        <v>0</v>
      </c>
      <c r="D14" s="13">
        <v>0</v>
      </c>
      <c r="E14" s="17">
        <v>0</v>
      </c>
      <c r="F14" s="9">
        <v>681039</v>
      </c>
      <c r="G14" s="17">
        <v>39631</v>
      </c>
      <c r="H14" s="13">
        <v>673540</v>
      </c>
      <c r="I14" s="17">
        <v>79240</v>
      </c>
      <c r="J14" s="36">
        <f>H14-I14</f>
        <v>594300</v>
      </c>
      <c r="K14" s="17">
        <v>79240</v>
      </c>
      <c r="L14" s="36">
        <f>J14-K14</f>
        <v>515060</v>
      </c>
      <c r="M14" s="17">
        <v>79240</v>
      </c>
      <c r="N14" s="66">
        <f>L14-M14</f>
        <v>435820</v>
      </c>
      <c r="O14" s="17">
        <v>79240</v>
      </c>
      <c r="P14" s="13">
        <f>N14-O14</f>
        <v>356580</v>
      </c>
      <c r="Q14" s="10">
        <v>79240</v>
      </c>
      <c r="R14" s="36">
        <f>P14-Q14</f>
        <v>277340</v>
      </c>
      <c r="S14" s="17">
        <v>79240</v>
      </c>
      <c r="T14" s="36">
        <f>R14-S14</f>
        <v>198100</v>
      </c>
      <c r="U14" s="17">
        <v>79240</v>
      </c>
      <c r="V14" s="36">
        <f>T14-U14</f>
        <v>118860</v>
      </c>
      <c r="W14" s="17">
        <v>79240</v>
      </c>
      <c r="X14" s="36">
        <f>V14-W14</f>
        <v>39620</v>
      </c>
      <c r="Y14" s="17">
        <v>39620</v>
      </c>
      <c r="Z14" s="14" t="s">
        <v>36</v>
      </c>
      <c r="AA14" s="15" t="s">
        <v>36</v>
      </c>
      <c r="AB14" s="14" t="s">
        <v>36</v>
      </c>
      <c r="AC14" s="15" t="s">
        <v>36</v>
      </c>
      <c r="AD14" s="14" t="s">
        <v>36</v>
      </c>
      <c r="AE14" s="15" t="s">
        <v>36</v>
      </c>
      <c r="AF14" s="14" t="s">
        <v>36</v>
      </c>
      <c r="AG14" s="15" t="s">
        <v>36</v>
      </c>
      <c r="AH14" s="14" t="s">
        <v>36</v>
      </c>
      <c r="AI14" s="15" t="s">
        <v>36</v>
      </c>
      <c r="AJ14" s="14" t="s">
        <v>36</v>
      </c>
      <c r="AK14" s="15" t="s">
        <v>36</v>
      </c>
      <c r="AL14" s="14" t="s">
        <v>36</v>
      </c>
      <c r="AM14" s="15" t="s">
        <v>36</v>
      </c>
      <c r="AN14" s="14" t="s">
        <v>36</v>
      </c>
      <c r="AO14" s="15" t="s">
        <v>36</v>
      </c>
      <c r="AP14" s="14" t="s">
        <v>36</v>
      </c>
      <c r="AQ14" s="15" t="s">
        <v>36</v>
      </c>
      <c r="AR14" s="14" t="s">
        <v>36</v>
      </c>
      <c r="AS14" s="15" t="s">
        <v>36</v>
      </c>
      <c r="AT14" s="14" t="s">
        <v>36</v>
      </c>
      <c r="AU14" s="15" t="s">
        <v>36</v>
      </c>
      <c r="AV14" s="14" t="s">
        <v>36</v>
      </c>
      <c r="AW14" s="15" t="s">
        <v>36</v>
      </c>
    </row>
    <row r="15" spans="1:49" ht="12.75">
      <c r="A15" s="16" t="s">
        <v>115</v>
      </c>
      <c r="B15" s="9"/>
      <c r="C15" s="27"/>
      <c r="D15" s="13">
        <v>0</v>
      </c>
      <c r="E15" s="17">
        <v>0</v>
      </c>
      <c r="F15" s="13">
        <v>0</v>
      </c>
      <c r="G15" s="27">
        <v>0</v>
      </c>
      <c r="H15" s="13">
        <f>SUM(I15:J15)</f>
        <v>718793</v>
      </c>
      <c r="I15" s="27">
        <v>39949</v>
      </c>
      <c r="J15" s="13">
        <f>SUM(K15:L15)</f>
        <v>678844</v>
      </c>
      <c r="K15" s="27">
        <v>79864</v>
      </c>
      <c r="L15" s="13">
        <f>SUM(M15:N15)</f>
        <v>598980</v>
      </c>
      <c r="M15" s="27">
        <v>79864</v>
      </c>
      <c r="N15" s="13">
        <f>SUM(O15:P15)</f>
        <v>519116</v>
      </c>
      <c r="O15" s="27">
        <v>79864</v>
      </c>
      <c r="P15" s="13">
        <f>SUM(Q15:R15)</f>
        <v>439252</v>
      </c>
      <c r="Q15" s="70">
        <v>79864</v>
      </c>
      <c r="R15" s="13">
        <f>SUM(S15:T15)</f>
        <v>359388</v>
      </c>
      <c r="S15" s="27">
        <v>79864</v>
      </c>
      <c r="T15" s="13">
        <f>SUM(U15:V15)</f>
        <v>279524</v>
      </c>
      <c r="U15" s="27">
        <v>79864</v>
      </c>
      <c r="V15" s="13">
        <f>SUM(W15:X15)</f>
        <v>199660</v>
      </c>
      <c r="W15" s="27">
        <v>79864</v>
      </c>
      <c r="X15" s="13">
        <f>SUM(Y15:Z15)</f>
        <v>119796</v>
      </c>
      <c r="Y15" s="27">
        <v>79864</v>
      </c>
      <c r="Z15" s="13">
        <f>AA15</f>
        <v>39932</v>
      </c>
      <c r="AA15" s="70">
        <v>39932</v>
      </c>
      <c r="AB15" s="14" t="s">
        <v>36</v>
      </c>
      <c r="AC15" s="15" t="s">
        <v>36</v>
      </c>
      <c r="AD15" s="14" t="s">
        <v>36</v>
      </c>
      <c r="AE15" s="15" t="s">
        <v>36</v>
      </c>
      <c r="AF15" s="14" t="s">
        <v>36</v>
      </c>
      <c r="AG15" s="15" t="s">
        <v>36</v>
      </c>
      <c r="AH15" s="14" t="s">
        <v>36</v>
      </c>
      <c r="AI15" s="15" t="s">
        <v>36</v>
      </c>
      <c r="AJ15" s="14" t="s">
        <v>36</v>
      </c>
      <c r="AK15" s="15" t="s">
        <v>36</v>
      </c>
      <c r="AL15" s="14" t="s">
        <v>36</v>
      </c>
      <c r="AM15" s="15" t="s">
        <v>36</v>
      </c>
      <c r="AN15" s="14" t="s">
        <v>36</v>
      </c>
      <c r="AO15" s="15" t="s">
        <v>36</v>
      </c>
      <c r="AP15" s="14" t="s">
        <v>36</v>
      </c>
      <c r="AQ15" s="15" t="s">
        <v>36</v>
      </c>
      <c r="AR15" s="14" t="s">
        <v>36</v>
      </c>
      <c r="AS15" s="15" t="s">
        <v>36</v>
      </c>
      <c r="AT15" s="14" t="s">
        <v>36</v>
      </c>
      <c r="AU15" s="15" t="s">
        <v>36</v>
      </c>
      <c r="AV15" s="14" t="s">
        <v>36</v>
      </c>
      <c r="AW15" s="15" t="s">
        <v>36</v>
      </c>
    </row>
    <row r="16" spans="1:49" ht="12.75">
      <c r="A16" s="16" t="s">
        <v>188</v>
      </c>
      <c r="B16" s="9"/>
      <c r="C16" s="27"/>
      <c r="D16" s="13"/>
      <c r="E16" s="17"/>
      <c r="F16" s="14" t="s">
        <v>36</v>
      </c>
      <c r="G16" s="29" t="s">
        <v>36</v>
      </c>
      <c r="H16" s="13">
        <v>0</v>
      </c>
      <c r="I16" s="27">
        <v>0</v>
      </c>
      <c r="J16" s="13">
        <v>500000</v>
      </c>
      <c r="K16" s="27">
        <v>0</v>
      </c>
      <c r="L16" s="13">
        <f>SUM(M16:N16)</f>
        <v>607314</v>
      </c>
      <c r="M16" s="27">
        <v>0</v>
      </c>
      <c r="N16" s="13">
        <f>SUM(O16:P16)</f>
        <v>607314</v>
      </c>
      <c r="O16" s="27">
        <v>26400</v>
      </c>
      <c r="P16" s="13">
        <f>SUM(Q16:R16)</f>
        <v>580914</v>
      </c>
      <c r="Q16" s="27">
        <v>35200</v>
      </c>
      <c r="R16" s="13">
        <f>SUM(S16:T16)</f>
        <v>545714</v>
      </c>
      <c r="S16" s="27">
        <v>35200</v>
      </c>
      <c r="T16" s="13">
        <f>SUM(U16:V16)</f>
        <v>510514</v>
      </c>
      <c r="U16" s="27">
        <v>35200</v>
      </c>
      <c r="V16" s="13">
        <f>SUM(W16:X16)</f>
        <v>475314</v>
      </c>
      <c r="W16" s="27">
        <v>35200</v>
      </c>
      <c r="X16" s="13">
        <f>SUM(Y16:Z16)</f>
        <v>440114</v>
      </c>
      <c r="Y16" s="27">
        <v>35200</v>
      </c>
      <c r="Z16" s="13">
        <f>SUM(AA16:AB16)</f>
        <v>404914</v>
      </c>
      <c r="AA16" s="27">
        <v>35200</v>
      </c>
      <c r="AB16" s="13">
        <f>SUM(AC16:AD16)</f>
        <v>369714</v>
      </c>
      <c r="AC16" s="27">
        <v>35200</v>
      </c>
      <c r="AD16" s="13">
        <f>SUM(AE16:AF16)</f>
        <v>334514</v>
      </c>
      <c r="AE16" s="27">
        <v>35200</v>
      </c>
      <c r="AF16" s="13">
        <f>SUM(AG16:AH16)</f>
        <v>299314</v>
      </c>
      <c r="AG16" s="27">
        <v>35200</v>
      </c>
      <c r="AH16" s="13">
        <f>SUM(AI16:AJ16)</f>
        <v>264114</v>
      </c>
      <c r="AI16" s="27">
        <v>35200</v>
      </c>
      <c r="AJ16" s="13">
        <f>SUM(AK16:AL16)</f>
        <v>228914</v>
      </c>
      <c r="AK16" s="27">
        <v>35200</v>
      </c>
      <c r="AL16" s="13">
        <f>SUM(AM16:AN16)</f>
        <v>193714</v>
      </c>
      <c r="AM16" s="27">
        <v>35200</v>
      </c>
      <c r="AN16" s="13">
        <f>SUM(AO16:AP16)</f>
        <v>158514</v>
      </c>
      <c r="AO16" s="27">
        <v>35200</v>
      </c>
      <c r="AP16" s="13">
        <f>SUM(AQ16:AR16)</f>
        <v>123314</v>
      </c>
      <c r="AQ16" s="27">
        <v>35200</v>
      </c>
      <c r="AR16" s="13">
        <f>SUM(AS16:AT16)</f>
        <v>88114</v>
      </c>
      <c r="AS16" s="27">
        <v>35200</v>
      </c>
      <c r="AT16" s="13">
        <f>SUM(AU16:AV16)</f>
        <v>52914</v>
      </c>
      <c r="AU16" s="27">
        <v>35200</v>
      </c>
      <c r="AV16" s="13">
        <f>SUM(AW16:AX16)</f>
        <v>17714</v>
      </c>
      <c r="AW16" s="27">
        <v>17714</v>
      </c>
    </row>
    <row r="17" spans="1:49" ht="12.75">
      <c r="A17" s="16" t="s">
        <v>189</v>
      </c>
      <c r="B17" s="9"/>
      <c r="C17" s="27"/>
      <c r="D17" s="13"/>
      <c r="E17" s="17"/>
      <c r="F17" s="14"/>
      <c r="G17" s="29"/>
      <c r="H17" s="13">
        <v>0</v>
      </c>
      <c r="I17" s="27">
        <v>0</v>
      </c>
      <c r="J17" s="13">
        <v>156673</v>
      </c>
      <c r="K17" s="27">
        <v>0</v>
      </c>
      <c r="L17" s="13">
        <f>SUM(M17:N17)</f>
        <v>179173</v>
      </c>
      <c r="M17" s="27">
        <v>0</v>
      </c>
      <c r="N17" s="13">
        <f>SUM(O17:P17)</f>
        <v>179173</v>
      </c>
      <c r="O17" s="27">
        <v>7800</v>
      </c>
      <c r="P17" s="13">
        <f>SUM(Q17:R17)</f>
        <v>171373</v>
      </c>
      <c r="Q17" s="27">
        <v>10400</v>
      </c>
      <c r="R17" s="13">
        <f>SUM(S17:T17)</f>
        <v>160973</v>
      </c>
      <c r="S17" s="27">
        <v>10400</v>
      </c>
      <c r="T17" s="13">
        <f>SUM(U17:V17)</f>
        <v>150573</v>
      </c>
      <c r="U17" s="27">
        <v>10400</v>
      </c>
      <c r="V17" s="13">
        <f>SUM(W17:X17)</f>
        <v>140173</v>
      </c>
      <c r="W17" s="27">
        <v>10400</v>
      </c>
      <c r="X17" s="13">
        <f>SUM(Y17:Z17)</f>
        <v>129773</v>
      </c>
      <c r="Y17" s="27">
        <v>10400</v>
      </c>
      <c r="Z17" s="13">
        <f>SUM(AA17:AB17)</f>
        <v>119373</v>
      </c>
      <c r="AA17" s="27">
        <v>10400</v>
      </c>
      <c r="AB17" s="13">
        <f>SUM(AC17:AD17)</f>
        <v>108973</v>
      </c>
      <c r="AC17" s="27">
        <v>10400</v>
      </c>
      <c r="AD17" s="13">
        <f>SUM(AE17:AF17)</f>
        <v>98573</v>
      </c>
      <c r="AE17" s="27">
        <v>10400</v>
      </c>
      <c r="AF17" s="13">
        <f>SUM(AG17:AH17)</f>
        <v>88173</v>
      </c>
      <c r="AG17" s="27">
        <v>10400</v>
      </c>
      <c r="AH17" s="13">
        <f>SUM(AI17:AJ17)</f>
        <v>77773</v>
      </c>
      <c r="AI17" s="27">
        <v>10400</v>
      </c>
      <c r="AJ17" s="13">
        <f>SUM(AK17:AL17)</f>
        <v>67373</v>
      </c>
      <c r="AK17" s="27">
        <v>10400</v>
      </c>
      <c r="AL17" s="13">
        <f>SUM(AM17:AN17)</f>
        <v>56973</v>
      </c>
      <c r="AM17" s="27">
        <v>10400</v>
      </c>
      <c r="AN17" s="13">
        <f>SUM(AO17:AP17)</f>
        <v>46573</v>
      </c>
      <c r="AO17" s="27">
        <v>10400</v>
      </c>
      <c r="AP17" s="13">
        <f>SUM(AQ17:AR17)</f>
        <v>36173</v>
      </c>
      <c r="AQ17" s="27">
        <v>10400</v>
      </c>
      <c r="AR17" s="13">
        <f>SUM(AS17:AT17)</f>
        <v>25773</v>
      </c>
      <c r="AS17" s="27">
        <v>10400</v>
      </c>
      <c r="AT17" s="13">
        <f>SUM(AU17:AV17)</f>
        <v>15373</v>
      </c>
      <c r="AU17" s="27">
        <v>10400</v>
      </c>
      <c r="AV17" s="13">
        <f>SUM(AW17:AX17)</f>
        <v>4973</v>
      </c>
      <c r="AW17" s="27">
        <v>4973</v>
      </c>
    </row>
    <row r="18" spans="1:49" ht="12.75">
      <c r="A18" s="16" t="s">
        <v>63</v>
      </c>
      <c r="B18" s="9">
        <f>C18+D18</f>
        <v>107411</v>
      </c>
      <c r="C18" s="27">
        <v>5955</v>
      </c>
      <c r="D18" s="13">
        <v>101456</v>
      </c>
      <c r="E18" s="17">
        <v>11936</v>
      </c>
      <c r="F18" s="9">
        <f>D18-E18</f>
        <v>89520</v>
      </c>
      <c r="G18" s="17">
        <v>11936</v>
      </c>
      <c r="H18" s="13">
        <f>F18-G18</f>
        <v>77584</v>
      </c>
      <c r="I18" s="17">
        <v>11936</v>
      </c>
      <c r="J18" s="36">
        <f>H18-I18</f>
        <v>65648</v>
      </c>
      <c r="K18" s="17">
        <v>11936</v>
      </c>
      <c r="L18" s="36">
        <f>J18-K18</f>
        <v>53712</v>
      </c>
      <c r="M18" s="17">
        <v>11936</v>
      </c>
      <c r="N18" s="66">
        <f>L18-M18</f>
        <v>41776</v>
      </c>
      <c r="O18" s="27">
        <v>11936</v>
      </c>
      <c r="P18" s="13">
        <f>N18-O18</f>
        <v>29840</v>
      </c>
      <c r="Q18" s="70">
        <v>11936</v>
      </c>
      <c r="R18" s="36">
        <f>P18-Q18</f>
        <v>17904</v>
      </c>
      <c r="S18" s="27">
        <v>11936</v>
      </c>
      <c r="T18" s="36">
        <f>R18-S18</f>
        <v>5968</v>
      </c>
      <c r="U18" s="27">
        <v>5968</v>
      </c>
      <c r="V18" s="24" t="s">
        <v>36</v>
      </c>
      <c r="W18" s="26" t="s">
        <v>36</v>
      </c>
      <c r="X18" s="23" t="s">
        <v>36</v>
      </c>
      <c r="Y18" s="29" t="s">
        <v>36</v>
      </c>
      <c r="Z18" s="14" t="s">
        <v>36</v>
      </c>
      <c r="AA18" s="15" t="s">
        <v>36</v>
      </c>
      <c r="AB18" s="14" t="s">
        <v>36</v>
      </c>
      <c r="AC18" s="15" t="s">
        <v>36</v>
      </c>
      <c r="AD18" s="14" t="s">
        <v>36</v>
      </c>
      <c r="AE18" s="15" t="s">
        <v>36</v>
      </c>
      <c r="AF18" s="14" t="s">
        <v>36</v>
      </c>
      <c r="AG18" s="15" t="s">
        <v>36</v>
      </c>
      <c r="AH18" s="14" t="s">
        <v>36</v>
      </c>
      <c r="AI18" s="15" t="s">
        <v>36</v>
      </c>
      <c r="AJ18" s="14" t="s">
        <v>36</v>
      </c>
      <c r="AK18" s="15" t="s">
        <v>36</v>
      </c>
      <c r="AL18" s="14" t="s">
        <v>36</v>
      </c>
      <c r="AM18" s="15" t="s">
        <v>36</v>
      </c>
      <c r="AN18" s="14" t="s">
        <v>36</v>
      </c>
      <c r="AO18" s="15" t="s">
        <v>36</v>
      </c>
      <c r="AP18" s="14" t="s">
        <v>36</v>
      </c>
      <c r="AQ18" s="15" t="s">
        <v>36</v>
      </c>
      <c r="AR18" s="14" t="s">
        <v>36</v>
      </c>
      <c r="AS18" s="15" t="s">
        <v>36</v>
      </c>
      <c r="AT18" s="14" t="s">
        <v>36</v>
      </c>
      <c r="AU18" s="15" t="s">
        <v>36</v>
      </c>
      <c r="AV18" s="14" t="s">
        <v>36</v>
      </c>
      <c r="AW18" s="15" t="s">
        <v>36</v>
      </c>
    </row>
    <row r="19" spans="1:49" ht="12.75">
      <c r="A19" s="16" t="s">
        <v>62</v>
      </c>
      <c r="B19" s="9">
        <v>0</v>
      </c>
      <c r="C19" s="27">
        <v>0</v>
      </c>
      <c r="D19" s="13">
        <v>124412</v>
      </c>
      <c r="E19" s="17">
        <v>5932</v>
      </c>
      <c r="F19" s="9">
        <f>D19-E19</f>
        <v>118480</v>
      </c>
      <c r="G19" s="17">
        <v>11848</v>
      </c>
      <c r="H19" s="13">
        <f>F19-G19</f>
        <v>106632</v>
      </c>
      <c r="I19" s="17">
        <v>11848</v>
      </c>
      <c r="J19" s="36">
        <f>H19-I19</f>
        <v>94784</v>
      </c>
      <c r="K19" s="17">
        <v>11848</v>
      </c>
      <c r="L19" s="36">
        <f>J19-K19</f>
        <v>82936</v>
      </c>
      <c r="M19" s="17">
        <v>11848</v>
      </c>
      <c r="N19" s="66">
        <f>L19-M19</f>
        <v>71088</v>
      </c>
      <c r="O19" s="17">
        <v>11848</v>
      </c>
      <c r="P19" s="13">
        <f>N19-O19</f>
        <v>59240</v>
      </c>
      <c r="Q19" s="10">
        <v>11848</v>
      </c>
      <c r="R19" s="36">
        <f>P19-Q19</f>
        <v>47392</v>
      </c>
      <c r="S19" s="17">
        <v>11848</v>
      </c>
      <c r="T19" s="36">
        <f>R19-S19</f>
        <v>35544</v>
      </c>
      <c r="U19" s="17">
        <v>11848</v>
      </c>
      <c r="V19" s="36">
        <f>T19-U19</f>
        <v>23696</v>
      </c>
      <c r="W19" s="17">
        <v>11848</v>
      </c>
      <c r="X19" s="36">
        <f>V19-W19</f>
        <v>11848</v>
      </c>
      <c r="Y19" s="17">
        <v>11848</v>
      </c>
      <c r="Z19" s="14" t="s">
        <v>36</v>
      </c>
      <c r="AA19" s="15" t="s">
        <v>36</v>
      </c>
      <c r="AB19" s="14" t="s">
        <v>36</v>
      </c>
      <c r="AC19" s="15" t="s">
        <v>36</v>
      </c>
      <c r="AD19" s="14" t="s">
        <v>36</v>
      </c>
      <c r="AE19" s="15" t="s">
        <v>36</v>
      </c>
      <c r="AF19" s="14" t="s">
        <v>36</v>
      </c>
      <c r="AG19" s="15" t="s">
        <v>36</v>
      </c>
      <c r="AH19" s="14" t="s">
        <v>36</v>
      </c>
      <c r="AI19" s="15" t="s">
        <v>36</v>
      </c>
      <c r="AJ19" s="14" t="s">
        <v>36</v>
      </c>
      <c r="AK19" s="15" t="s">
        <v>36</v>
      </c>
      <c r="AL19" s="14" t="s">
        <v>36</v>
      </c>
      <c r="AM19" s="15" t="s">
        <v>36</v>
      </c>
      <c r="AN19" s="14" t="s">
        <v>36</v>
      </c>
      <c r="AO19" s="15" t="s">
        <v>36</v>
      </c>
      <c r="AP19" s="14" t="s">
        <v>36</v>
      </c>
      <c r="AQ19" s="15" t="s">
        <v>36</v>
      </c>
      <c r="AR19" s="14" t="s">
        <v>36</v>
      </c>
      <c r="AS19" s="15" t="s">
        <v>36</v>
      </c>
      <c r="AT19" s="14" t="s">
        <v>36</v>
      </c>
      <c r="AU19" s="15" t="s">
        <v>36</v>
      </c>
      <c r="AV19" s="14" t="s">
        <v>36</v>
      </c>
      <c r="AW19" s="15" t="s">
        <v>36</v>
      </c>
    </row>
    <row r="20" spans="1:49" ht="13.5" thickBot="1">
      <c r="A20" s="384" t="s">
        <v>90</v>
      </c>
      <c r="B20" s="385">
        <v>0</v>
      </c>
      <c r="C20" s="386">
        <v>0</v>
      </c>
      <c r="D20" s="387">
        <v>12499</v>
      </c>
      <c r="E20" s="388">
        <v>2636</v>
      </c>
      <c r="F20" s="385">
        <v>184439</v>
      </c>
      <c r="G20" s="388">
        <v>34769</v>
      </c>
      <c r="H20" s="387">
        <v>149670</v>
      </c>
      <c r="I20" s="388">
        <v>8315</v>
      </c>
      <c r="J20" s="389">
        <f t="shared" si="1"/>
        <v>141355</v>
      </c>
      <c r="K20" s="388">
        <v>8315</v>
      </c>
      <c r="L20" s="389">
        <f t="shared" si="2"/>
        <v>133040</v>
      </c>
      <c r="M20" s="388">
        <v>8315</v>
      </c>
      <c r="N20" s="390">
        <f t="shared" si="3"/>
        <v>124725</v>
      </c>
      <c r="O20" s="388">
        <v>8315</v>
      </c>
      <c r="P20" s="387">
        <f t="shared" si="4"/>
        <v>116410</v>
      </c>
      <c r="Q20" s="391">
        <v>8315</v>
      </c>
      <c r="R20" s="389">
        <f>P20-Q20</f>
        <v>108095</v>
      </c>
      <c r="S20" s="388">
        <v>8315</v>
      </c>
      <c r="T20" s="389">
        <f>R20-S20</f>
        <v>99780</v>
      </c>
      <c r="U20" s="388">
        <v>8315</v>
      </c>
      <c r="V20" s="389">
        <f>T20-U20</f>
        <v>91465</v>
      </c>
      <c r="W20" s="388">
        <v>8315</v>
      </c>
      <c r="X20" s="389">
        <f>V20-W20</f>
        <v>83150</v>
      </c>
      <c r="Y20" s="388">
        <v>8315</v>
      </c>
      <c r="Z20" s="385">
        <f>X20-Y20</f>
        <v>74835</v>
      </c>
      <c r="AA20" s="388">
        <v>8315</v>
      </c>
      <c r="AB20" s="385">
        <f>Z20-AA20</f>
        <v>66520</v>
      </c>
      <c r="AC20" s="388">
        <v>8315</v>
      </c>
      <c r="AD20" s="385">
        <f>AB20-AC20</f>
        <v>58205</v>
      </c>
      <c r="AE20" s="388">
        <v>8315</v>
      </c>
      <c r="AF20" s="385">
        <f>AD20-AE20</f>
        <v>49890</v>
      </c>
      <c r="AG20" s="388">
        <v>8315</v>
      </c>
      <c r="AH20" s="385">
        <f>AF20-AG20</f>
        <v>41575</v>
      </c>
      <c r="AI20" s="388">
        <v>8315</v>
      </c>
      <c r="AJ20" s="385">
        <f>AH20-AI20</f>
        <v>33260</v>
      </c>
      <c r="AK20" s="388">
        <v>8315</v>
      </c>
      <c r="AL20" s="385">
        <f>AJ20-AK20</f>
        <v>24945</v>
      </c>
      <c r="AM20" s="388">
        <v>8315</v>
      </c>
      <c r="AN20" s="385">
        <f>AL20-AM20</f>
        <v>16630</v>
      </c>
      <c r="AO20" s="388">
        <v>8315</v>
      </c>
      <c r="AP20" s="385">
        <f>AN20-AO20</f>
        <v>8315</v>
      </c>
      <c r="AQ20" s="388">
        <v>8315</v>
      </c>
      <c r="AR20" s="14" t="s">
        <v>36</v>
      </c>
      <c r="AS20" s="15" t="s">
        <v>36</v>
      </c>
      <c r="AT20" s="14" t="s">
        <v>36</v>
      </c>
      <c r="AU20" s="15" t="s">
        <v>36</v>
      </c>
      <c r="AV20" s="14" t="s">
        <v>36</v>
      </c>
      <c r="AW20" s="15" t="s">
        <v>36</v>
      </c>
    </row>
    <row r="21" spans="1:49" ht="13.5" thickTop="1">
      <c r="A21" s="11" t="s">
        <v>42</v>
      </c>
      <c r="B21" s="35">
        <f aca="true" t="shared" si="5" ref="B21:G21">SUM(B7:B20)</f>
        <v>1050811</v>
      </c>
      <c r="C21" s="3">
        <f t="shared" si="5"/>
        <v>248956</v>
      </c>
      <c r="D21" s="35">
        <f t="shared" si="5"/>
        <v>1463053</v>
      </c>
      <c r="E21" s="3">
        <f t="shared" si="5"/>
        <v>171178</v>
      </c>
      <c r="F21" s="38">
        <f t="shared" si="5"/>
        <v>2179890</v>
      </c>
      <c r="G21" s="3">
        <f t="shared" si="5"/>
        <v>270220</v>
      </c>
      <c r="H21" s="38">
        <f aca="true" t="shared" si="6" ref="H21:AW21">SUM(H7:H20)</f>
        <v>2660595</v>
      </c>
      <c r="I21" s="3">
        <f t="shared" si="6"/>
        <v>323324</v>
      </c>
      <c r="J21" s="38">
        <f t="shared" si="6"/>
        <v>2993944</v>
      </c>
      <c r="K21" s="3">
        <f t="shared" si="6"/>
        <v>363239</v>
      </c>
      <c r="L21" s="38">
        <f t="shared" si="6"/>
        <v>2760519</v>
      </c>
      <c r="M21" s="3">
        <f t="shared" si="6"/>
        <v>363239</v>
      </c>
      <c r="N21" s="38">
        <f t="shared" si="6"/>
        <v>2397280</v>
      </c>
      <c r="O21" s="3">
        <f t="shared" si="6"/>
        <v>379079</v>
      </c>
      <c r="P21" s="38">
        <f t="shared" si="6"/>
        <v>2018201</v>
      </c>
      <c r="Q21" s="3">
        <f t="shared" si="6"/>
        <v>359519</v>
      </c>
      <c r="R21" s="38">
        <f t="shared" si="6"/>
        <v>1658682</v>
      </c>
      <c r="S21" s="3">
        <f t="shared" si="6"/>
        <v>332719</v>
      </c>
      <c r="T21" s="38">
        <f t="shared" si="6"/>
        <v>1325963</v>
      </c>
      <c r="U21" s="3">
        <f t="shared" si="6"/>
        <v>253815</v>
      </c>
      <c r="V21" s="38">
        <f t="shared" si="6"/>
        <v>1072148</v>
      </c>
      <c r="W21" s="3">
        <f t="shared" si="6"/>
        <v>247847</v>
      </c>
      <c r="X21" s="38">
        <f t="shared" si="6"/>
        <v>824301</v>
      </c>
      <c r="Y21" s="3">
        <f t="shared" si="6"/>
        <v>185247</v>
      </c>
      <c r="Z21" s="38">
        <f t="shared" si="6"/>
        <v>639054</v>
      </c>
      <c r="AA21" s="3">
        <f t="shared" si="6"/>
        <v>93847</v>
      </c>
      <c r="AB21" s="38">
        <f t="shared" si="6"/>
        <v>545207</v>
      </c>
      <c r="AC21" s="3">
        <f t="shared" si="6"/>
        <v>53915</v>
      </c>
      <c r="AD21" s="38">
        <f t="shared" si="6"/>
        <v>491292</v>
      </c>
      <c r="AE21" s="3">
        <f t="shared" si="6"/>
        <v>53915</v>
      </c>
      <c r="AF21" s="38">
        <f t="shared" si="6"/>
        <v>437377</v>
      </c>
      <c r="AG21" s="3">
        <f t="shared" si="6"/>
        <v>53915</v>
      </c>
      <c r="AH21" s="38">
        <f t="shared" si="6"/>
        <v>383462</v>
      </c>
      <c r="AI21" s="3">
        <f t="shared" si="6"/>
        <v>53915</v>
      </c>
      <c r="AJ21" s="38">
        <f t="shared" si="6"/>
        <v>329547</v>
      </c>
      <c r="AK21" s="3">
        <f t="shared" si="6"/>
        <v>53915</v>
      </c>
      <c r="AL21" s="38">
        <f t="shared" si="6"/>
        <v>275632</v>
      </c>
      <c r="AM21" s="3">
        <f t="shared" si="6"/>
        <v>53915</v>
      </c>
      <c r="AN21" s="38">
        <f t="shared" si="6"/>
        <v>221717</v>
      </c>
      <c r="AO21" s="3">
        <f t="shared" si="6"/>
        <v>53915</v>
      </c>
      <c r="AP21" s="38">
        <f t="shared" si="6"/>
        <v>167802</v>
      </c>
      <c r="AQ21" s="3">
        <f t="shared" si="6"/>
        <v>53915</v>
      </c>
      <c r="AR21" s="38">
        <f t="shared" si="6"/>
        <v>113887</v>
      </c>
      <c r="AS21" s="3">
        <f t="shared" si="6"/>
        <v>45600</v>
      </c>
      <c r="AT21" s="38">
        <f t="shared" si="6"/>
        <v>68287</v>
      </c>
      <c r="AU21" s="3">
        <f t="shared" si="6"/>
        <v>45600</v>
      </c>
      <c r="AV21" s="38">
        <f t="shared" si="6"/>
        <v>22687</v>
      </c>
      <c r="AW21" s="3">
        <f t="shared" si="6"/>
        <v>22687</v>
      </c>
    </row>
    <row r="22" spans="1:49" ht="12.75">
      <c r="A22" s="30" t="s">
        <v>70</v>
      </c>
      <c r="B22" s="59"/>
      <c r="C22" s="60"/>
      <c r="D22" s="9"/>
      <c r="E22" s="17"/>
      <c r="F22" s="9"/>
      <c r="G22" s="17"/>
      <c r="H22" s="9"/>
      <c r="I22" s="17"/>
      <c r="K22" s="17"/>
      <c r="M22" s="17"/>
      <c r="N22" s="34"/>
      <c r="O22" s="17"/>
      <c r="P22" s="9"/>
      <c r="Q22" s="10"/>
      <c r="S22" s="17"/>
      <c r="U22" s="17"/>
      <c r="W22" s="17"/>
      <c r="X22" s="22"/>
      <c r="Y22" s="17"/>
      <c r="Z22" s="9"/>
      <c r="AA22" s="10"/>
      <c r="AB22" s="9"/>
      <c r="AC22" s="10"/>
      <c r="AD22" s="9"/>
      <c r="AE22" s="10"/>
      <c r="AF22" s="9"/>
      <c r="AG22" s="10"/>
      <c r="AH22" s="9"/>
      <c r="AI22" s="10"/>
      <c r="AJ22" s="9"/>
      <c r="AK22" s="10"/>
      <c r="AL22" s="9"/>
      <c r="AM22" s="10"/>
      <c r="AN22" s="9"/>
      <c r="AO22" s="10"/>
      <c r="AP22" s="9"/>
      <c r="AQ22" s="10"/>
      <c r="AR22" s="9"/>
      <c r="AS22" s="10"/>
      <c r="AT22" s="9"/>
      <c r="AU22" s="10"/>
      <c r="AV22" s="9"/>
      <c r="AW22" s="10"/>
    </row>
    <row r="23" spans="1:49" ht="12.75">
      <c r="A23" s="6" t="s">
        <v>37</v>
      </c>
      <c r="B23" s="9">
        <f aca="true" t="shared" si="7" ref="B23:B28">C23+D23</f>
        <v>30966</v>
      </c>
      <c r="C23" s="17">
        <v>9644</v>
      </c>
      <c r="D23" s="9">
        <f>SUM(E23,G23,I23,K23,M23,O23)</f>
        <v>21322</v>
      </c>
      <c r="E23" s="17">
        <f>ROUND('1998. évi 200 MFt (...03)'!G55/1000,0)</f>
        <v>6222</v>
      </c>
      <c r="F23" s="9">
        <f aca="true" t="shared" si="8" ref="F23:F36">G23+H23</f>
        <v>15100</v>
      </c>
      <c r="G23" s="17">
        <f>ROUND('1998. évi 200 MFt (...03)'!G67/1000,0)</f>
        <v>7323</v>
      </c>
      <c r="H23" s="9">
        <f aca="true" t="shared" si="9" ref="H23:H36">I23+J23</f>
        <v>7777</v>
      </c>
      <c r="I23" s="17">
        <f>ROUND('1998. évi 200 MFt (...03)'!G79/1000,0)</f>
        <v>3760</v>
      </c>
      <c r="J23" s="22">
        <f aca="true" t="shared" si="10" ref="J23:J36">K23+L23</f>
        <v>4017</v>
      </c>
      <c r="K23" s="17">
        <f>ROUND('1998. évi 200 MFt (...03)'!G91/1000,0)</f>
        <v>2163</v>
      </c>
      <c r="L23" s="22">
        <f>M23+N23</f>
        <v>1854</v>
      </c>
      <c r="M23" s="17">
        <f>ROUND('1998. évi 200 MFt (...03)'!G103/1000,0)</f>
        <v>1339</v>
      </c>
      <c r="N23" s="34">
        <f>O23</f>
        <v>515</v>
      </c>
      <c r="O23" s="17">
        <f>ROUND('1998. évi 200 MFt (...03)'!G115/1000,0)</f>
        <v>515</v>
      </c>
      <c r="P23" s="14" t="s">
        <v>36</v>
      </c>
      <c r="Q23" s="15" t="s">
        <v>36</v>
      </c>
      <c r="R23" s="14" t="s">
        <v>36</v>
      </c>
      <c r="S23" s="29" t="s">
        <v>36</v>
      </c>
      <c r="T23" s="14" t="s">
        <v>36</v>
      </c>
      <c r="U23" s="29" t="s">
        <v>36</v>
      </c>
      <c r="V23" s="14" t="s">
        <v>36</v>
      </c>
      <c r="W23" s="29" t="s">
        <v>36</v>
      </c>
      <c r="X23" s="14" t="s">
        <v>36</v>
      </c>
      <c r="Y23" s="29" t="s">
        <v>36</v>
      </c>
      <c r="Z23" s="14" t="s">
        <v>36</v>
      </c>
      <c r="AA23" s="15" t="s">
        <v>36</v>
      </c>
      <c r="AB23" s="14" t="s">
        <v>36</v>
      </c>
      <c r="AC23" s="15" t="s">
        <v>36</v>
      </c>
      <c r="AD23" s="14" t="s">
        <v>36</v>
      </c>
      <c r="AE23" s="15" t="s">
        <v>36</v>
      </c>
      <c r="AF23" s="14" t="s">
        <v>36</v>
      </c>
      <c r="AG23" s="15" t="s">
        <v>36</v>
      </c>
      <c r="AH23" s="14" t="s">
        <v>36</v>
      </c>
      <c r="AI23" s="15" t="s">
        <v>36</v>
      </c>
      <c r="AJ23" s="14" t="s">
        <v>36</v>
      </c>
      <c r="AK23" s="15" t="s">
        <v>36</v>
      </c>
      <c r="AL23" s="14" t="s">
        <v>36</v>
      </c>
      <c r="AM23" s="15" t="s">
        <v>36</v>
      </c>
      <c r="AN23" s="14" t="s">
        <v>36</v>
      </c>
      <c r="AO23" s="15" t="s">
        <v>36</v>
      </c>
      <c r="AP23" s="14" t="s">
        <v>36</v>
      </c>
      <c r="AQ23" s="15" t="s">
        <v>36</v>
      </c>
      <c r="AR23" s="14" t="s">
        <v>36</v>
      </c>
      <c r="AS23" s="15" t="s">
        <v>36</v>
      </c>
      <c r="AT23" s="14" t="s">
        <v>36</v>
      </c>
      <c r="AU23" s="15" t="s">
        <v>36</v>
      </c>
      <c r="AV23" s="14" t="s">
        <v>36</v>
      </c>
      <c r="AW23" s="15" t="s">
        <v>36</v>
      </c>
    </row>
    <row r="24" spans="1:49" ht="12.75">
      <c r="A24" s="6" t="s">
        <v>38</v>
      </c>
      <c r="B24" s="9">
        <f t="shared" si="7"/>
        <v>36646</v>
      </c>
      <c r="C24" s="17">
        <v>11246</v>
      </c>
      <c r="D24" s="9">
        <f>SUM(E24,G24,I24,K24,M24,O24)</f>
        <v>25400</v>
      </c>
      <c r="E24" s="17">
        <f>ROUND('1999. évi 200 MFt (...04)'!G66/1000,0)</f>
        <v>7575</v>
      </c>
      <c r="F24" s="9">
        <f t="shared" si="8"/>
        <v>17825</v>
      </c>
      <c r="G24" s="17">
        <f>ROUND('1999. évi 200 MFt (...04)'!G82/1000,0)</f>
        <v>8811</v>
      </c>
      <c r="H24" s="9">
        <f t="shared" si="9"/>
        <v>9014</v>
      </c>
      <c r="I24" s="17">
        <f>ROUND('1999. évi 200 MFt (...04)'!G98/1000,0)</f>
        <v>4442</v>
      </c>
      <c r="J24" s="22">
        <f t="shared" si="10"/>
        <v>4572</v>
      </c>
      <c r="K24" s="17">
        <f>ROUND('1999. évi 200 MFt (...04)'!G114/1000,0)</f>
        <v>2517</v>
      </c>
      <c r="L24" s="22">
        <f>M24+N24</f>
        <v>2055</v>
      </c>
      <c r="M24" s="17">
        <f>ROUND('1999. évi 200 MFt (...04)'!G130/1000,0)</f>
        <v>1523</v>
      </c>
      <c r="N24" s="34">
        <f>O24</f>
        <v>532</v>
      </c>
      <c r="O24" s="17">
        <f>ROUND('1999. évi 200 MFt (...04)'!G145/1000,0)</f>
        <v>532</v>
      </c>
      <c r="P24" s="14" t="s">
        <v>36</v>
      </c>
      <c r="Q24" s="15" t="s">
        <v>36</v>
      </c>
      <c r="R24" s="24" t="s">
        <v>36</v>
      </c>
      <c r="S24" s="29" t="s">
        <v>36</v>
      </c>
      <c r="T24" s="24" t="s">
        <v>36</v>
      </c>
      <c r="U24" s="29" t="s">
        <v>36</v>
      </c>
      <c r="V24" s="24" t="s">
        <v>36</v>
      </c>
      <c r="W24" s="29" t="s">
        <v>36</v>
      </c>
      <c r="X24" s="24" t="s">
        <v>36</v>
      </c>
      <c r="Y24" s="29" t="s">
        <v>36</v>
      </c>
      <c r="Z24" s="14" t="s">
        <v>36</v>
      </c>
      <c r="AA24" s="15" t="s">
        <v>36</v>
      </c>
      <c r="AB24" s="14" t="s">
        <v>36</v>
      </c>
      <c r="AC24" s="15" t="s">
        <v>36</v>
      </c>
      <c r="AD24" s="14" t="s">
        <v>36</v>
      </c>
      <c r="AE24" s="15" t="s">
        <v>36</v>
      </c>
      <c r="AF24" s="14" t="s">
        <v>36</v>
      </c>
      <c r="AG24" s="15" t="s">
        <v>36</v>
      </c>
      <c r="AH24" s="14" t="s">
        <v>36</v>
      </c>
      <c r="AI24" s="15" t="s">
        <v>36</v>
      </c>
      <c r="AJ24" s="14" t="s">
        <v>36</v>
      </c>
      <c r="AK24" s="15" t="s">
        <v>36</v>
      </c>
      <c r="AL24" s="14" t="s">
        <v>36</v>
      </c>
      <c r="AM24" s="15" t="s">
        <v>36</v>
      </c>
      <c r="AN24" s="14" t="s">
        <v>36</v>
      </c>
      <c r="AO24" s="15" t="s">
        <v>36</v>
      </c>
      <c r="AP24" s="14" t="s">
        <v>36</v>
      </c>
      <c r="AQ24" s="15" t="s">
        <v>36</v>
      </c>
      <c r="AR24" s="14" t="s">
        <v>36</v>
      </c>
      <c r="AS24" s="15" t="s">
        <v>36</v>
      </c>
      <c r="AT24" s="14" t="s">
        <v>36</v>
      </c>
      <c r="AU24" s="15" t="s">
        <v>36</v>
      </c>
      <c r="AV24" s="14" t="s">
        <v>36</v>
      </c>
      <c r="AW24" s="15" t="s">
        <v>36</v>
      </c>
    </row>
    <row r="25" spans="1:49" ht="12.75">
      <c r="A25" s="16" t="s">
        <v>39</v>
      </c>
      <c r="B25" s="9">
        <f t="shared" si="7"/>
        <v>36951</v>
      </c>
      <c r="C25" s="27">
        <v>13518</v>
      </c>
      <c r="D25" s="13">
        <f>SUM(E25,G25,I25,K25,M25)</f>
        <v>23433</v>
      </c>
      <c r="E25" s="17">
        <f>ROUND('2000. júl-i 200 MFt (...06)'!G31/1000,0)</f>
        <v>7847</v>
      </c>
      <c r="F25" s="9">
        <f t="shared" si="8"/>
        <v>15586</v>
      </c>
      <c r="G25" s="17">
        <f>ROUND('2000. júl-i 200 MFt (...06)'!G39/1000,0)</f>
        <v>8720</v>
      </c>
      <c r="H25" s="9">
        <f t="shared" si="9"/>
        <v>6866</v>
      </c>
      <c r="I25" s="17">
        <f>ROUND('2000. júl-i 200 MFt (...06)'!G47/1000,0)</f>
        <v>4105</v>
      </c>
      <c r="J25" s="22">
        <f t="shared" si="10"/>
        <v>2761</v>
      </c>
      <c r="K25" s="17">
        <f>ROUND('2000. júl-i 200 MFt (...06)'!G55/1000,0)</f>
        <v>1999</v>
      </c>
      <c r="L25" s="22">
        <f>M25</f>
        <v>762</v>
      </c>
      <c r="M25" s="17">
        <f>ROUND('2000. júl-i 200 MFt (...06)'!G62/1000,0)</f>
        <v>762</v>
      </c>
      <c r="N25" s="53" t="s">
        <v>36</v>
      </c>
      <c r="O25" s="29" t="s">
        <v>36</v>
      </c>
      <c r="P25" s="14" t="s">
        <v>36</v>
      </c>
      <c r="Q25" s="15" t="s">
        <v>36</v>
      </c>
      <c r="R25" s="24" t="s">
        <v>36</v>
      </c>
      <c r="S25" s="29" t="s">
        <v>36</v>
      </c>
      <c r="T25" s="24" t="s">
        <v>36</v>
      </c>
      <c r="U25" s="29" t="s">
        <v>36</v>
      </c>
      <c r="V25" s="24" t="s">
        <v>36</v>
      </c>
      <c r="W25" s="29" t="s">
        <v>36</v>
      </c>
      <c r="X25" s="24" t="s">
        <v>36</v>
      </c>
      <c r="Y25" s="29" t="s">
        <v>36</v>
      </c>
      <c r="Z25" s="14" t="s">
        <v>36</v>
      </c>
      <c r="AA25" s="15" t="s">
        <v>36</v>
      </c>
      <c r="AB25" s="14" t="s">
        <v>36</v>
      </c>
      <c r="AC25" s="15" t="s">
        <v>36</v>
      </c>
      <c r="AD25" s="14" t="s">
        <v>36</v>
      </c>
      <c r="AE25" s="15" t="s">
        <v>36</v>
      </c>
      <c r="AF25" s="14" t="s">
        <v>36</v>
      </c>
      <c r="AG25" s="15" t="s">
        <v>36</v>
      </c>
      <c r="AH25" s="14" t="s">
        <v>36</v>
      </c>
      <c r="AI25" s="15" t="s">
        <v>36</v>
      </c>
      <c r="AJ25" s="14" t="s">
        <v>36</v>
      </c>
      <c r="AK25" s="15" t="s">
        <v>36</v>
      </c>
      <c r="AL25" s="14" t="s">
        <v>36</v>
      </c>
      <c r="AM25" s="15" t="s">
        <v>36</v>
      </c>
      <c r="AN25" s="14" t="s">
        <v>36</v>
      </c>
      <c r="AO25" s="15" t="s">
        <v>36</v>
      </c>
      <c r="AP25" s="14" t="s">
        <v>36</v>
      </c>
      <c r="AQ25" s="15" t="s">
        <v>36</v>
      </c>
      <c r="AR25" s="14" t="s">
        <v>36</v>
      </c>
      <c r="AS25" s="15" t="s">
        <v>36</v>
      </c>
      <c r="AT25" s="14" t="s">
        <v>36</v>
      </c>
      <c r="AU25" s="15" t="s">
        <v>36</v>
      </c>
      <c r="AV25" s="14" t="s">
        <v>36</v>
      </c>
      <c r="AW25" s="15" t="s">
        <v>36</v>
      </c>
    </row>
    <row r="26" spans="1:49" ht="12.75">
      <c r="A26" s="16" t="s">
        <v>40</v>
      </c>
      <c r="B26" s="9">
        <f t="shared" si="7"/>
        <v>77792</v>
      </c>
      <c r="C26" s="27">
        <v>20909</v>
      </c>
      <c r="D26" s="13">
        <f>SUM(E26,G26,I26,K26,M26,O26,Q26)</f>
        <v>56883</v>
      </c>
      <c r="E26" s="17">
        <f>ROUND('2000. dec-i 250 MFt (...05)'!G29/1000,0)</f>
        <v>15089</v>
      </c>
      <c r="F26" s="9">
        <f t="shared" si="8"/>
        <v>41794</v>
      </c>
      <c r="G26" s="17">
        <f>ROUND('2000. dec-i 250 MFt (...05)'!G37/1000,0)</f>
        <v>18124</v>
      </c>
      <c r="H26" s="9">
        <f t="shared" si="9"/>
        <v>23670</v>
      </c>
      <c r="I26" s="17">
        <f>ROUND('2000. dec-i 250 MFt (...05)'!G45/1000,0)</f>
        <v>9633</v>
      </c>
      <c r="J26" s="22">
        <f t="shared" si="10"/>
        <v>14037</v>
      </c>
      <c r="K26" s="17">
        <f>ROUND('2000. dec-i 250 MFt (...05)'!G53/1000,0)</f>
        <v>5993</v>
      </c>
      <c r="L26" s="22">
        <f aca="true" t="shared" si="11" ref="L26:L36">M26+N26</f>
        <v>8044</v>
      </c>
      <c r="M26" s="17">
        <f>ROUND('2000. dec-i 250 MFt (...05)'!G61/1000,0)</f>
        <v>4336</v>
      </c>
      <c r="N26" s="34">
        <f aca="true" t="shared" si="12" ref="N26:N36">O26+P26</f>
        <v>3708</v>
      </c>
      <c r="O26" s="17">
        <f>ROUND('2000. dec-i 250 MFt (...05)'!G69/1000,0)</f>
        <v>2687</v>
      </c>
      <c r="P26" s="9">
        <f>Q26</f>
        <v>1021</v>
      </c>
      <c r="Q26" s="10">
        <f>ROUND('2000. dec-i 250 MFt (...05)'!G76/1000,0)</f>
        <v>1021</v>
      </c>
      <c r="R26" s="24" t="s">
        <v>36</v>
      </c>
      <c r="S26" s="29" t="s">
        <v>36</v>
      </c>
      <c r="T26" s="24" t="s">
        <v>36</v>
      </c>
      <c r="U26" s="29" t="s">
        <v>36</v>
      </c>
      <c r="V26" s="24" t="s">
        <v>36</v>
      </c>
      <c r="W26" s="29" t="s">
        <v>36</v>
      </c>
      <c r="X26" s="24" t="s">
        <v>36</v>
      </c>
      <c r="Y26" s="29" t="s">
        <v>36</v>
      </c>
      <c r="Z26" s="14" t="s">
        <v>36</v>
      </c>
      <c r="AA26" s="15" t="s">
        <v>36</v>
      </c>
      <c r="AB26" s="14" t="s">
        <v>36</v>
      </c>
      <c r="AC26" s="15" t="s">
        <v>36</v>
      </c>
      <c r="AD26" s="14" t="s">
        <v>36</v>
      </c>
      <c r="AE26" s="15" t="s">
        <v>36</v>
      </c>
      <c r="AF26" s="14" t="s">
        <v>36</v>
      </c>
      <c r="AG26" s="15" t="s">
        <v>36</v>
      </c>
      <c r="AH26" s="14" t="s">
        <v>36</v>
      </c>
      <c r="AI26" s="15" t="s">
        <v>36</v>
      </c>
      <c r="AJ26" s="14" t="s">
        <v>36</v>
      </c>
      <c r="AK26" s="15" t="s">
        <v>36</v>
      </c>
      <c r="AL26" s="14" t="s">
        <v>36</v>
      </c>
      <c r="AM26" s="15" t="s">
        <v>36</v>
      </c>
      <c r="AN26" s="14" t="s">
        <v>36</v>
      </c>
      <c r="AO26" s="15" t="s">
        <v>36</v>
      </c>
      <c r="AP26" s="14" t="s">
        <v>36</v>
      </c>
      <c r="AQ26" s="15" t="s">
        <v>36</v>
      </c>
      <c r="AR26" s="14" t="s">
        <v>36</v>
      </c>
      <c r="AS26" s="15" t="s">
        <v>36</v>
      </c>
      <c r="AT26" s="14" t="s">
        <v>36</v>
      </c>
      <c r="AU26" s="15" t="s">
        <v>36</v>
      </c>
      <c r="AV26" s="14" t="s">
        <v>36</v>
      </c>
      <c r="AW26" s="15" t="s">
        <v>36</v>
      </c>
    </row>
    <row r="27" spans="1:49" ht="12.75">
      <c r="A27" s="16" t="s">
        <v>41</v>
      </c>
      <c r="B27" s="9">
        <f t="shared" si="7"/>
        <v>105250</v>
      </c>
      <c r="C27" s="27">
        <v>13938</v>
      </c>
      <c r="D27" s="13">
        <f>SUM(E27,G27,I27,K27,M27,O27,Q27,S27,U27,W27)</f>
        <v>91312</v>
      </c>
      <c r="E27" s="17">
        <f>ROUND('NA600-as vezeték (...07)'!G27/1000,0)</f>
        <v>17917</v>
      </c>
      <c r="F27" s="9">
        <f t="shared" si="8"/>
        <v>73395</v>
      </c>
      <c r="G27" s="17">
        <f>ROUND('NA600-as vezeték (...07)'!G35/1000,0)</f>
        <v>23823</v>
      </c>
      <c r="H27" s="9">
        <f t="shared" si="9"/>
        <v>49572</v>
      </c>
      <c r="I27" s="17">
        <f>ROUND('NA600-as vezeték (...07)'!G43/1000,0)</f>
        <v>13576</v>
      </c>
      <c r="J27" s="22">
        <f t="shared" si="10"/>
        <v>35996</v>
      </c>
      <c r="K27" s="17">
        <f>ROUND('NA600-as vezeték (...07)'!G51/1000,0)</f>
        <v>9403</v>
      </c>
      <c r="L27" s="22">
        <f t="shared" si="11"/>
        <v>26593</v>
      </c>
      <c r="M27" s="17">
        <f>ROUND('NA600-as vezeték (...07)'!G59/1000,0)</f>
        <v>7981</v>
      </c>
      <c r="N27" s="34">
        <f t="shared" si="12"/>
        <v>18612</v>
      </c>
      <c r="O27" s="17">
        <f>ROUND('NA600-as vezeték (...07)'!G67/1000,0)</f>
        <v>6580</v>
      </c>
      <c r="P27" s="9">
        <f aca="true" t="shared" si="13" ref="P27:P36">Q27+R27</f>
        <v>12032</v>
      </c>
      <c r="Q27" s="10">
        <f>ROUND('NA600-as vezeték (...07)'!G75/1000,0)</f>
        <v>5139</v>
      </c>
      <c r="R27" s="22">
        <f>S27+T27</f>
        <v>6893</v>
      </c>
      <c r="S27" s="17">
        <f>ROUND('NA600-as vezeték (...07)'!G83/1000,0)</f>
        <v>3718</v>
      </c>
      <c r="T27" s="22">
        <f>U27+V27</f>
        <v>3175</v>
      </c>
      <c r="U27" s="17">
        <f>ROUND('NA600-as vezeték (...07)'!G91/1000,0)</f>
        <v>2296</v>
      </c>
      <c r="V27" s="22">
        <f>W27</f>
        <v>879</v>
      </c>
      <c r="W27" s="17">
        <f>ROUND('NA600-as vezeték (...07)'!G98/1000,0)</f>
        <v>879</v>
      </c>
      <c r="X27" s="14" t="s">
        <v>36</v>
      </c>
      <c r="Y27" s="29" t="s">
        <v>36</v>
      </c>
      <c r="Z27" s="14" t="s">
        <v>36</v>
      </c>
      <c r="AA27" s="15" t="s">
        <v>36</v>
      </c>
      <c r="AB27" s="14" t="s">
        <v>36</v>
      </c>
      <c r="AC27" s="15" t="s">
        <v>36</v>
      </c>
      <c r="AD27" s="14" t="s">
        <v>36</v>
      </c>
      <c r="AE27" s="15" t="s">
        <v>36</v>
      </c>
      <c r="AF27" s="14" t="s">
        <v>36</v>
      </c>
      <c r="AG27" s="15" t="s">
        <v>36</v>
      </c>
      <c r="AH27" s="14" t="s">
        <v>36</v>
      </c>
      <c r="AI27" s="15" t="s">
        <v>36</v>
      </c>
      <c r="AJ27" s="14" t="s">
        <v>36</v>
      </c>
      <c r="AK27" s="15" t="s">
        <v>36</v>
      </c>
      <c r="AL27" s="14" t="s">
        <v>36</v>
      </c>
      <c r="AM27" s="15" t="s">
        <v>36</v>
      </c>
      <c r="AN27" s="14" t="s">
        <v>36</v>
      </c>
      <c r="AO27" s="15" t="s">
        <v>36</v>
      </c>
      <c r="AP27" s="14" t="s">
        <v>36</v>
      </c>
      <c r="AQ27" s="15" t="s">
        <v>36</v>
      </c>
      <c r="AR27" s="14" t="s">
        <v>36</v>
      </c>
      <c r="AS27" s="15" t="s">
        <v>36</v>
      </c>
      <c r="AT27" s="14" t="s">
        <v>36</v>
      </c>
      <c r="AU27" s="15" t="s">
        <v>36</v>
      </c>
      <c r="AV27" s="14" t="s">
        <v>36</v>
      </c>
      <c r="AW27" s="15" t="s">
        <v>36</v>
      </c>
    </row>
    <row r="28" spans="1:49" ht="12.75">
      <c r="A28" s="16" t="s">
        <v>69</v>
      </c>
      <c r="B28" s="9">
        <f t="shared" si="7"/>
        <v>106970</v>
      </c>
      <c r="C28" s="27">
        <v>20186</v>
      </c>
      <c r="D28" s="13">
        <f>SUM(E28,G28,I28,K28,M28,O28,Q28,S28)</f>
        <v>86784</v>
      </c>
      <c r="E28" s="17">
        <f>ROUND('2001.dec. - 2002.jún. (...08) '!G23/1000,0)</f>
        <v>20914</v>
      </c>
      <c r="F28" s="9">
        <f t="shared" si="8"/>
        <v>65870</v>
      </c>
      <c r="G28" s="17">
        <f>ROUND('2001.dec. - 2002.jún. (...08) '!G31/1000,0)</f>
        <v>25686</v>
      </c>
      <c r="H28" s="9">
        <f t="shared" si="9"/>
        <v>40184</v>
      </c>
      <c r="I28" s="17">
        <f>ROUND('2001.dec. - 2002.jún. (...08) '!G39/1000,0)</f>
        <v>14080</v>
      </c>
      <c r="J28" s="22">
        <f t="shared" si="10"/>
        <v>26104</v>
      </c>
      <c r="K28" s="17">
        <f>ROUND('2001.dec. - 2002.jún. (...08) '!G47/1000,0)</f>
        <v>9207</v>
      </c>
      <c r="L28" s="22">
        <f t="shared" si="11"/>
        <v>16897</v>
      </c>
      <c r="M28" s="17">
        <f>ROUND('2001.dec. - 2002.jún. (...08) '!G55/1000,0)</f>
        <v>7212</v>
      </c>
      <c r="N28" s="34">
        <f t="shared" si="12"/>
        <v>9685</v>
      </c>
      <c r="O28" s="17">
        <f>ROUND('2001.dec. - 2002.jún. (...08) '!G63/1000,0)</f>
        <v>5234</v>
      </c>
      <c r="P28" s="9">
        <f t="shared" si="13"/>
        <v>4451</v>
      </c>
      <c r="Q28" s="10">
        <f>ROUND('2001.dec. - 2002.jún. (...08) '!G71/1000,0)</f>
        <v>3223</v>
      </c>
      <c r="R28" s="22">
        <f>S28</f>
        <v>1228</v>
      </c>
      <c r="S28" s="17">
        <f>ROUND('2001.dec. - 2002.jún. (...08) '!G78/1000,0)</f>
        <v>1228</v>
      </c>
      <c r="T28" s="24" t="s">
        <v>36</v>
      </c>
      <c r="U28" s="29" t="s">
        <v>36</v>
      </c>
      <c r="V28" s="24" t="s">
        <v>36</v>
      </c>
      <c r="W28" s="29" t="s">
        <v>36</v>
      </c>
      <c r="X28" s="14" t="s">
        <v>36</v>
      </c>
      <c r="Y28" s="29" t="s">
        <v>36</v>
      </c>
      <c r="Z28" s="14" t="s">
        <v>36</v>
      </c>
      <c r="AA28" s="15" t="s">
        <v>36</v>
      </c>
      <c r="AB28" s="14" t="s">
        <v>36</v>
      </c>
      <c r="AC28" s="15" t="s">
        <v>36</v>
      </c>
      <c r="AD28" s="14" t="s">
        <v>36</v>
      </c>
      <c r="AE28" s="15" t="s">
        <v>36</v>
      </c>
      <c r="AF28" s="14" t="s">
        <v>36</v>
      </c>
      <c r="AG28" s="15" t="s">
        <v>36</v>
      </c>
      <c r="AH28" s="14" t="s">
        <v>36</v>
      </c>
      <c r="AI28" s="15" t="s">
        <v>36</v>
      </c>
      <c r="AJ28" s="14" t="s">
        <v>36</v>
      </c>
      <c r="AK28" s="15" t="s">
        <v>36</v>
      </c>
      <c r="AL28" s="14" t="s">
        <v>36</v>
      </c>
      <c r="AM28" s="15" t="s">
        <v>36</v>
      </c>
      <c r="AN28" s="14" t="s">
        <v>36</v>
      </c>
      <c r="AO28" s="15" t="s">
        <v>36</v>
      </c>
      <c r="AP28" s="14" t="s">
        <v>36</v>
      </c>
      <c r="AQ28" s="15" t="s">
        <v>36</v>
      </c>
      <c r="AR28" s="14" t="s">
        <v>36</v>
      </c>
      <c r="AS28" s="15" t="s">
        <v>36</v>
      </c>
      <c r="AT28" s="14" t="s">
        <v>36</v>
      </c>
      <c r="AU28" s="15" t="s">
        <v>36</v>
      </c>
      <c r="AV28" s="14" t="s">
        <v>36</v>
      </c>
      <c r="AW28" s="15" t="s">
        <v>36</v>
      </c>
    </row>
    <row r="29" spans="1:49" ht="12.75">
      <c r="A29" s="16" t="s">
        <v>77</v>
      </c>
      <c r="B29" s="9">
        <v>0</v>
      </c>
      <c r="C29" s="27">
        <v>1157</v>
      </c>
      <c r="D29" s="13">
        <f>SUM(E29,G29,I29,K29,M29,O29,Q29,S29)</f>
        <v>108899</v>
      </c>
      <c r="E29" s="17">
        <f>ROUND('2002. dec-i 305.133 eFt (...09)'!G15/1000,0)</f>
        <v>25808</v>
      </c>
      <c r="F29" s="9">
        <f t="shared" si="8"/>
        <v>83091</v>
      </c>
      <c r="G29" s="17">
        <f>ROUND('2002. dec-i 305.133 eFt (...09)'!G23/1000,0)</f>
        <v>32401</v>
      </c>
      <c r="H29" s="9">
        <f t="shared" si="9"/>
        <v>50690</v>
      </c>
      <c r="I29" s="17">
        <f>ROUND('2002. dec-i 305.133 eFt (...09)'!G31/1000,0)</f>
        <v>17761</v>
      </c>
      <c r="J29" s="22">
        <f t="shared" si="10"/>
        <v>32929</v>
      </c>
      <c r="K29" s="17">
        <f>ROUND('2002. dec-i 305.133 eFt (...09)'!G39/1000,0)</f>
        <v>11614</v>
      </c>
      <c r="L29" s="22">
        <f t="shared" si="11"/>
        <v>21315</v>
      </c>
      <c r="M29" s="27">
        <f>ROUND('2002. dec-i 305.133 eFt (...09)'!G47/1000,0)</f>
        <v>9098</v>
      </c>
      <c r="N29" s="34">
        <f t="shared" si="12"/>
        <v>12217</v>
      </c>
      <c r="O29" s="27">
        <f>ROUND('2002. dec-i 305.133 eFt (...09)'!G55/1000,0)</f>
        <v>6602</v>
      </c>
      <c r="P29" s="9">
        <f t="shared" si="13"/>
        <v>5615</v>
      </c>
      <c r="Q29" s="70">
        <f>ROUND('2002. dec-i 305.133 eFt (...09)'!G63/1000,0)</f>
        <v>4066</v>
      </c>
      <c r="R29" s="22">
        <f>S29</f>
        <v>1549</v>
      </c>
      <c r="S29" s="27">
        <f>ROUND('2002. dec-i 305.133 eFt (...09)'!G70/1000,0)</f>
        <v>1549</v>
      </c>
      <c r="T29" s="24" t="s">
        <v>36</v>
      </c>
      <c r="U29" s="29" t="s">
        <v>36</v>
      </c>
      <c r="V29" s="24" t="s">
        <v>36</v>
      </c>
      <c r="W29" s="26" t="s">
        <v>36</v>
      </c>
      <c r="X29" s="21" t="s">
        <v>36</v>
      </c>
      <c r="Y29" s="29" t="s">
        <v>36</v>
      </c>
      <c r="Z29" s="14" t="s">
        <v>36</v>
      </c>
      <c r="AA29" s="15" t="s">
        <v>36</v>
      </c>
      <c r="AB29" s="14" t="s">
        <v>36</v>
      </c>
      <c r="AC29" s="15" t="s">
        <v>36</v>
      </c>
      <c r="AD29" s="14" t="s">
        <v>36</v>
      </c>
      <c r="AE29" s="15" t="s">
        <v>36</v>
      </c>
      <c r="AF29" s="14" t="s">
        <v>36</v>
      </c>
      <c r="AG29" s="15" t="s">
        <v>36</v>
      </c>
      <c r="AH29" s="14" t="s">
        <v>36</v>
      </c>
      <c r="AI29" s="15" t="s">
        <v>36</v>
      </c>
      <c r="AJ29" s="14" t="s">
        <v>36</v>
      </c>
      <c r="AK29" s="15" t="s">
        <v>36</v>
      </c>
      <c r="AL29" s="14" t="s">
        <v>36</v>
      </c>
      <c r="AM29" s="15" t="s">
        <v>36</v>
      </c>
      <c r="AN29" s="14" t="s">
        <v>36</v>
      </c>
      <c r="AO29" s="15" t="s">
        <v>36</v>
      </c>
      <c r="AP29" s="14" t="s">
        <v>36</v>
      </c>
      <c r="AQ29" s="15" t="s">
        <v>36</v>
      </c>
      <c r="AR29" s="14" t="s">
        <v>36</v>
      </c>
      <c r="AS29" s="15" t="s">
        <v>36</v>
      </c>
      <c r="AT29" s="14" t="s">
        <v>36</v>
      </c>
      <c r="AU29" s="15" t="s">
        <v>36</v>
      </c>
      <c r="AV29" s="14" t="s">
        <v>36</v>
      </c>
      <c r="AW29" s="15" t="s">
        <v>36</v>
      </c>
    </row>
    <row r="30" spans="1:49" ht="12.75">
      <c r="A30" s="16" t="s">
        <v>91</v>
      </c>
      <c r="B30" s="9">
        <v>0</v>
      </c>
      <c r="C30" s="27">
        <v>0</v>
      </c>
      <c r="D30" s="13">
        <f>SUM(Y30,W30,U30,S30,Q30,O30,M30,K30,I30,G30,E30)</f>
        <v>282324</v>
      </c>
      <c r="E30" s="17">
        <f>ROUND('2003. okt. és dec. (...10)'!G11/1000,0)</f>
        <v>7975</v>
      </c>
      <c r="F30" s="9">
        <f>G30+H30</f>
        <v>274349</v>
      </c>
      <c r="G30" s="17">
        <f>ROUND('2003. okt. és dec. (...10)'!G20/1000,0)</f>
        <v>82483</v>
      </c>
      <c r="H30" s="9">
        <f t="shared" si="9"/>
        <v>191866</v>
      </c>
      <c r="I30" s="17">
        <f>ROUND('2003. okt. és dec. (...10)'!G28/1000,0)</f>
        <v>49868</v>
      </c>
      <c r="J30" s="22">
        <f t="shared" si="10"/>
        <v>141998</v>
      </c>
      <c r="K30" s="17">
        <f>ROUND('2003. okt. és dec. (...10)'!G36/1000,0)</f>
        <v>34873</v>
      </c>
      <c r="L30" s="22">
        <f t="shared" si="11"/>
        <v>107125</v>
      </c>
      <c r="M30" s="17">
        <f>ROUND('2003. okt. és dec. (...10)'!G44/1000,0)</f>
        <v>29972</v>
      </c>
      <c r="N30" s="34">
        <f t="shared" si="12"/>
        <v>77153</v>
      </c>
      <c r="O30" s="17">
        <f>ROUND('2003. okt. és dec. (...10)'!G52/1000,0)</f>
        <v>25145</v>
      </c>
      <c r="P30" s="9">
        <f t="shared" si="13"/>
        <v>52008</v>
      </c>
      <c r="Q30" s="10">
        <f>ROUND('2003. okt. és dec. (...10)'!G60/1000,0)</f>
        <v>20170</v>
      </c>
      <c r="R30" s="22">
        <f>S30+T30</f>
        <v>31838</v>
      </c>
      <c r="S30" s="17">
        <f>ROUND('2003. okt. és dec. (...10)'!G68/1000,0)</f>
        <v>15169</v>
      </c>
      <c r="T30" s="22">
        <f>U30+V30</f>
        <v>16669</v>
      </c>
      <c r="U30" s="17">
        <f>ROUND('2003. okt. és dec. (...10)'!G76/1000,0)</f>
        <v>10308</v>
      </c>
      <c r="V30" s="36">
        <f>W30+X30</f>
        <v>6361</v>
      </c>
      <c r="W30" s="17">
        <f>ROUND('2003. okt. és dec. (...10)'!G84/1000,0)</f>
        <v>5468</v>
      </c>
      <c r="X30" s="36">
        <f>Y30</f>
        <v>893</v>
      </c>
      <c r="Y30" s="17">
        <f>ROUND('2003. okt. és dec. (...10)'!G87/1000,0)</f>
        <v>893</v>
      </c>
      <c r="Z30" s="14" t="s">
        <v>36</v>
      </c>
      <c r="AA30" s="15" t="s">
        <v>36</v>
      </c>
      <c r="AB30" s="14" t="s">
        <v>36</v>
      </c>
      <c r="AC30" s="15" t="s">
        <v>36</v>
      </c>
      <c r="AD30" s="14" t="s">
        <v>36</v>
      </c>
      <c r="AE30" s="15" t="s">
        <v>36</v>
      </c>
      <c r="AF30" s="14" t="s">
        <v>36</v>
      </c>
      <c r="AG30" s="15" t="s">
        <v>36</v>
      </c>
      <c r="AH30" s="14" t="s">
        <v>36</v>
      </c>
      <c r="AI30" s="15" t="s">
        <v>36</v>
      </c>
      <c r="AJ30" s="14" t="s">
        <v>36</v>
      </c>
      <c r="AK30" s="15" t="s">
        <v>36</v>
      </c>
      <c r="AL30" s="14" t="s">
        <v>36</v>
      </c>
      <c r="AM30" s="15" t="s">
        <v>36</v>
      </c>
      <c r="AN30" s="14" t="s">
        <v>36</v>
      </c>
      <c r="AO30" s="15" t="s">
        <v>36</v>
      </c>
      <c r="AP30" s="14" t="s">
        <v>36</v>
      </c>
      <c r="AQ30" s="15" t="s">
        <v>36</v>
      </c>
      <c r="AR30" s="14" t="s">
        <v>36</v>
      </c>
      <c r="AS30" s="15" t="s">
        <v>36</v>
      </c>
      <c r="AT30" s="14" t="s">
        <v>36</v>
      </c>
      <c r="AU30" s="15" t="s">
        <v>36</v>
      </c>
      <c r="AV30" s="14" t="s">
        <v>36</v>
      </c>
      <c r="AW30" s="15" t="s">
        <v>36</v>
      </c>
    </row>
    <row r="31" spans="1:49" ht="12.75">
      <c r="A31" s="16" t="s">
        <v>130</v>
      </c>
      <c r="B31" s="9"/>
      <c r="C31" s="27"/>
      <c r="D31" s="13">
        <v>0</v>
      </c>
      <c r="E31" s="17">
        <v>0</v>
      </c>
      <c r="F31" s="9">
        <f>G31+H31</f>
        <v>226862</v>
      </c>
      <c r="G31" s="17">
        <f>ROUND('2004. szept. 718.793 eFt (..11)'!G12/1000,0)</f>
        <v>7525</v>
      </c>
      <c r="H31" s="9">
        <f>I31+J31</f>
        <v>219337</v>
      </c>
      <c r="I31" s="17">
        <f>ROUND('2004. szept. 718.793 eFt (..11)'!G19/1000,0)</f>
        <v>36229</v>
      </c>
      <c r="J31" s="9">
        <f>K31+L31</f>
        <v>183108</v>
      </c>
      <c r="K31" s="17">
        <f>ROUND('2004. szept. 718.793 eFt (..11)'!G27/1000,0)</f>
        <v>40087</v>
      </c>
      <c r="L31" s="9">
        <f>M31+N31</f>
        <v>143021</v>
      </c>
      <c r="M31" s="17">
        <f>ROUND('2004. szept. 718.793 eFt (..11)'!G35/1000,0)</f>
        <v>35147</v>
      </c>
      <c r="N31" s="9">
        <f>O31+P31</f>
        <v>107874</v>
      </c>
      <c r="O31" s="17">
        <f>ROUND('2004. szept. 718.793 eFt (..11)'!G43/1000,0)</f>
        <v>30296</v>
      </c>
      <c r="P31" s="9">
        <f>Q31+R31</f>
        <v>77578</v>
      </c>
      <c r="Q31" s="10">
        <f>ROUND('2004. szept. 718.793 eFt (..11)'!G51/1000,0)</f>
        <v>25269</v>
      </c>
      <c r="R31" s="9">
        <f>S31+T31</f>
        <v>52309</v>
      </c>
      <c r="S31" s="17">
        <f>ROUND('2004. szept. 718.793 eFt (..11)'!G59/1000,0)</f>
        <v>20187</v>
      </c>
      <c r="T31" s="9">
        <f>U31+V31</f>
        <v>32122</v>
      </c>
      <c r="U31" s="17">
        <f>ROUND('2004. szept. 718.793 eFt (..11)'!G67/1000,0)</f>
        <v>15288</v>
      </c>
      <c r="V31" s="9">
        <f>W31+X31</f>
        <v>16834</v>
      </c>
      <c r="W31" s="17">
        <f>ROUND('2004. szept. 718.793 eFt (..11)'!G75/1000,0)</f>
        <v>10423</v>
      </c>
      <c r="X31" s="9">
        <f>Y31+Z31</f>
        <v>6411</v>
      </c>
      <c r="Y31" s="17">
        <f>ROUND('2004. szept. 718.793 eFt (..11)'!G83/1000,0)</f>
        <v>5511</v>
      </c>
      <c r="Z31" s="9">
        <f>AA31</f>
        <v>900</v>
      </c>
      <c r="AA31" s="70">
        <f>ROUND('2004. szept. 718.793 eFt (..11)'!G86/1000,0)</f>
        <v>900</v>
      </c>
      <c r="AB31" s="14" t="s">
        <v>36</v>
      </c>
      <c r="AC31" s="15" t="s">
        <v>36</v>
      </c>
      <c r="AD31" s="14" t="s">
        <v>36</v>
      </c>
      <c r="AE31" s="15" t="s">
        <v>36</v>
      </c>
      <c r="AF31" s="14" t="s">
        <v>36</v>
      </c>
      <c r="AG31" s="15" t="s">
        <v>36</v>
      </c>
      <c r="AH31" s="14" t="s">
        <v>36</v>
      </c>
      <c r="AI31" s="15" t="s">
        <v>36</v>
      </c>
      <c r="AJ31" s="14" t="s">
        <v>36</v>
      </c>
      <c r="AK31" s="15" t="s">
        <v>36</v>
      </c>
      <c r="AL31" s="14" t="s">
        <v>36</v>
      </c>
      <c r="AM31" s="15" t="s">
        <v>36</v>
      </c>
      <c r="AN31" s="14" t="s">
        <v>36</v>
      </c>
      <c r="AO31" s="15" t="s">
        <v>36</v>
      </c>
      <c r="AP31" s="14" t="s">
        <v>36</v>
      </c>
      <c r="AQ31" s="15" t="s">
        <v>36</v>
      </c>
      <c r="AR31" s="14" t="s">
        <v>36</v>
      </c>
      <c r="AS31" s="15" t="s">
        <v>36</v>
      </c>
      <c r="AT31" s="14" t="s">
        <v>36</v>
      </c>
      <c r="AU31" s="15" t="s">
        <v>36</v>
      </c>
      <c r="AV31" s="14" t="s">
        <v>36</v>
      </c>
      <c r="AW31" s="15" t="s">
        <v>36</v>
      </c>
    </row>
    <row r="32" spans="1:49" ht="12.75">
      <c r="A32" s="16" t="s">
        <v>188</v>
      </c>
      <c r="B32" s="9"/>
      <c r="C32" s="27"/>
      <c r="D32" s="13"/>
      <c r="E32" s="17"/>
      <c r="F32" s="14" t="s">
        <v>36</v>
      </c>
      <c r="G32" s="29" t="s">
        <v>36</v>
      </c>
      <c r="H32" s="9">
        <f>I32+J32</f>
        <v>262476</v>
      </c>
      <c r="I32" s="27">
        <f>ROUND('2005. évi 607.314 eFt (..13)'!G8/1000,0)</f>
        <v>1615</v>
      </c>
      <c r="J32" s="13">
        <f>SUM(K32:L32)</f>
        <v>260861</v>
      </c>
      <c r="K32" s="27">
        <f>ROUND('2005. évi 607.314 eFt (..13)'!G14/1000,0)</f>
        <v>23705</v>
      </c>
      <c r="L32" s="13">
        <f>SUM(M32:N32)</f>
        <v>237156</v>
      </c>
      <c r="M32" s="27">
        <f>ROUND('2005. évi 607.314 eFt (..13)'!G18/1000,0)</f>
        <v>23866</v>
      </c>
      <c r="N32" s="13">
        <f>SUM(O32:P32)</f>
        <v>213290</v>
      </c>
      <c r="O32" s="27">
        <f>ROUND('2005. évi 607.314 eFt (..13)'!G25/1000,0)</f>
        <v>23598</v>
      </c>
      <c r="P32" s="13">
        <f>SUM(Q32:R32)</f>
        <v>189692</v>
      </c>
      <c r="Q32" s="27">
        <f>ROUND('2005. évi 607.314 eFt (..13)'!G33/1000,0)</f>
        <v>22210</v>
      </c>
      <c r="R32" s="13">
        <f>SUM(S32:T32)</f>
        <v>167482</v>
      </c>
      <c r="S32" s="27">
        <f>ROUND('2005. évi 607.314 eFt (..13)'!G41/1000,0)</f>
        <v>20827</v>
      </c>
      <c r="T32" s="13">
        <f>SUM(U32:V32)</f>
        <v>146655</v>
      </c>
      <c r="U32" s="27">
        <f>ROUND('2005. évi 607.314 eFt (..13)'!G49/1000,0)</f>
        <v>19444</v>
      </c>
      <c r="V32" s="13">
        <f>SUM(W32:X32)</f>
        <v>127211</v>
      </c>
      <c r="W32" s="27">
        <f>ROUND('2005. évi 607.314 eFt (..13)'!G57/1000,0)</f>
        <v>18112</v>
      </c>
      <c r="X32" s="13">
        <f>SUM(Y32:Z32)</f>
        <v>109099</v>
      </c>
      <c r="Y32" s="27">
        <f>ROUND('2005. évi 607.314 eFt (..13)'!G65/1000,0)</f>
        <v>16677</v>
      </c>
      <c r="Z32" s="13">
        <f>SUM(AA32:AB32)</f>
        <v>92422</v>
      </c>
      <c r="AA32" s="27">
        <f>ROUND('2005. évi 607.314 eFt (..13)'!G73/1000,0)</f>
        <v>15294</v>
      </c>
      <c r="AB32" s="13">
        <f>SUM(AC32:AD32)</f>
        <v>77128</v>
      </c>
      <c r="AC32" s="27">
        <f>ROUND('2005. évi 607.314 eFt (..13)'!G81/1000,0)</f>
        <v>13910</v>
      </c>
      <c r="AD32" s="13">
        <f>SUM(AE32:AF32)</f>
        <v>63218</v>
      </c>
      <c r="AE32" s="27">
        <f>ROUND('2005. évi 607.314 eFt (..13)'!G89/1000,0)</f>
        <v>12563</v>
      </c>
      <c r="AF32" s="13">
        <f>SUM(AG32:AH32)</f>
        <v>50655</v>
      </c>
      <c r="AG32" s="27">
        <f>ROUND('2005. évi 607.314 eFt (..13)'!G97/1000,0)</f>
        <v>11144</v>
      </c>
      <c r="AH32" s="13">
        <f>SUM(AI32:AJ32)</f>
        <v>39511</v>
      </c>
      <c r="AI32" s="27">
        <f>ROUND('2005. évi 607.314 eFt (..13)'!G105/1000,0)</f>
        <v>9761</v>
      </c>
      <c r="AJ32" s="13">
        <f>SUM(AK32:AL32)</f>
        <v>29750</v>
      </c>
      <c r="AK32" s="27">
        <f>ROUND('2005. évi 607.314 eFt (..13)'!G113/1000,0)</f>
        <v>8377</v>
      </c>
      <c r="AL32" s="13">
        <f>SUM(AM32:AN32)</f>
        <v>21373</v>
      </c>
      <c r="AM32" s="27">
        <f>ROUND('2005. évi 607.314 eFt (..13)'!G121/1000,0)</f>
        <v>7015</v>
      </c>
      <c r="AN32" s="13">
        <f>SUM(AO32:AP32)</f>
        <v>14358</v>
      </c>
      <c r="AO32" s="27">
        <f>ROUND('2005. évi 607.314 eFt (..13)'!G129/1000,0)</f>
        <v>5611</v>
      </c>
      <c r="AP32" s="13">
        <f>SUM(AQ32:AR32)</f>
        <v>8747</v>
      </c>
      <c r="AQ32" s="27">
        <f>ROUND('2005. évi 607.314 eFt (..13)'!G137/1000,0)</f>
        <v>4227</v>
      </c>
      <c r="AR32" s="13">
        <f>SUM(AS32:AT32)</f>
        <v>4520</v>
      </c>
      <c r="AS32" s="27">
        <f>ROUND('2005. évi 607.314 eFt (..13)'!G145/1000,0)</f>
        <v>2844</v>
      </c>
      <c r="AT32" s="13">
        <f>SUM(AU32:AV32)</f>
        <v>1676</v>
      </c>
      <c r="AU32" s="27">
        <f>ROUND('2005. évi 607.314 eFt (..13)'!G153/1000,0)</f>
        <v>1466</v>
      </c>
      <c r="AV32" s="13">
        <f>SUM(AW32:AX32)</f>
        <v>210</v>
      </c>
      <c r="AW32" s="27">
        <f>ROUND('2005. évi 607.314 eFt (..13)'!G156/1000,0)</f>
        <v>210</v>
      </c>
    </row>
    <row r="33" spans="1:49" ht="12.75">
      <c r="A33" s="16" t="s">
        <v>189</v>
      </c>
      <c r="B33" s="9"/>
      <c r="C33" s="27"/>
      <c r="D33" s="13"/>
      <c r="E33" s="17"/>
      <c r="F33" s="14"/>
      <c r="G33" s="29"/>
      <c r="H33" s="9">
        <f>I33+J33</f>
        <v>65383</v>
      </c>
      <c r="I33" s="27">
        <f>ROUND('2005. évi 179.173 eFt (..12)'!G8/1000,0)</f>
        <v>428</v>
      </c>
      <c r="J33" s="13">
        <f>SUM(K33:L33)</f>
        <v>64955</v>
      </c>
      <c r="K33" s="27">
        <f>ROUND('2005. évi 179.173 eFt (..12)'!G14/1000,0)</f>
        <v>5892</v>
      </c>
      <c r="L33" s="13">
        <f>SUM(M33:N33)</f>
        <v>59063</v>
      </c>
      <c r="M33" s="27">
        <f>ROUND('2005. évi 179.173 eFt (..12)'!G18/1000,0)</f>
        <v>5951</v>
      </c>
      <c r="N33" s="13">
        <f>SUM(O33:P33)</f>
        <v>53112</v>
      </c>
      <c r="O33" s="27">
        <f>ROUND('2005. évi 179.173 eFt (..12)'!G25/1000,0)</f>
        <v>5884</v>
      </c>
      <c r="P33" s="13">
        <f>SUM(Q33:R33)</f>
        <v>47228</v>
      </c>
      <c r="Q33" s="27">
        <f>ROUND('2005. évi 179.173 eFt (..12)'!G33/1000,0)</f>
        <v>5538</v>
      </c>
      <c r="R33" s="13">
        <f>SUM(S33:T33)</f>
        <v>41690</v>
      </c>
      <c r="S33" s="27">
        <f>ROUND('2005. évi 179.173 eFt (..12)'!G41/1000,0)</f>
        <v>5192</v>
      </c>
      <c r="T33" s="13">
        <f>SUM(U33:V33)</f>
        <v>36498</v>
      </c>
      <c r="U33" s="27">
        <f>ROUND('2005. évi 179.173 eFt (..12)'!G49/1000,0)</f>
        <v>4847</v>
      </c>
      <c r="V33" s="13">
        <f>SUM(W33:X33)</f>
        <v>31651</v>
      </c>
      <c r="W33" s="27">
        <f>ROUND('2005. évi 179.173 eFt (..12)'!G57/1000,0)</f>
        <v>4514</v>
      </c>
      <c r="X33" s="13">
        <f>SUM(Y33:Z33)</f>
        <v>27137</v>
      </c>
      <c r="Y33" s="27">
        <f>ROUND('2005. évi 179.173 eFt (..12)'!G65/1000,0)</f>
        <v>4156</v>
      </c>
      <c r="Z33" s="13">
        <f>SUM(AA33:AB33)</f>
        <v>22981</v>
      </c>
      <c r="AA33" s="27">
        <f>ROUND('2005. évi 179.173 eFt (..12)'!G73/1000,0)</f>
        <v>3810</v>
      </c>
      <c r="AB33" s="13">
        <f>SUM(AC33:AD33)</f>
        <v>19171</v>
      </c>
      <c r="AC33" s="27">
        <f>ROUND('2005. évi 179.173 eFt (..12)'!G81/1000,0)</f>
        <v>3465</v>
      </c>
      <c r="AD33" s="13">
        <f>SUM(AE33:AF33)</f>
        <v>15706</v>
      </c>
      <c r="AE33" s="27">
        <f>ROUND('2005. évi 179.173 eFt (..12)'!G89/1000,0)</f>
        <v>3129</v>
      </c>
      <c r="AF33" s="13">
        <f>SUM(AG33:AH33)</f>
        <v>12577</v>
      </c>
      <c r="AG33" s="27">
        <f>ROUND('2005. évi 179.173 eFt (..12)'!G97/1000,0)</f>
        <v>2774</v>
      </c>
      <c r="AH33" s="13">
        <f>SUM(AI33:AJ33)</f>
        <v>9803</v>
      </c>
      <c r="AI33" s="27">
        <f>ROUND('2005. évi 179.173 eFt (..12)'!G105/1000,0)</f>
        <v>2429</v>
      </c>
      <c r="AJ33" s="13">
        <f>SUM(AK33:AL33)</f>
        <v>7374</v>
      </c>
      <c r="AK33" s="27">
        <f>ROUND('2005. évi 179.173 eFt (..12)'!G113/1000,0)</f>
        <v>2083</v>
      </c>
      <c r="AL33" s="13">
        <f>SUM(AM33:AN33)</f>
        <v>5291</v>
      </c>
      <c r="AM33" s="27">
        <f>ROUND('2005. évi 179.173 eFt (..12)'!G121/1000,0)</f>
        <v>1743</v>
      </c>
      <c r="AN33" s="13">
        <f>SUM(AO33:AP33)</f>
        <v>3548</v>
      </c>
      <c r="AO33" s="27">
        <f>ROUND('2005. évi 179.173 eFt (..12)'!G129/1000,0)</f>
        <v>1392</v>
      </c>
      <c r="AP33" s="13">
        <f>SUM(AQ33:AR33)</f>
        <v>2156</v>
      </c>
      <c r="AQ33" s="27">
        <f>ROUND('2005. évi 179.173 eFt (..12)'!G137/1000,0)</f>
        <v>1047</v>
      </c>
      <c r="AR33" s="13">
        <f>SUM(AS33:AT33)</f>
        <v>1109</v>
      </c>
      <c r="AS33" s="27">
        <f>ROUND('2005. évi 179.173 eFt (..12)'!G145/1000,0)</f>
        <v>702</v>
      </c>
      <c r="AT33" s="13">
        <f>SUM(AU33:AV33)</f>
        <v>407</v>
      </c>
      <c r="AU33" s="27">
        <f>ROUND('2005. évi 179.173 eFt (..12)'!G153/1000,0)</f>
        <v>358</v>
      </c>
      <c r="AV33" s="13">
        <f>SUM(AW33:AX33)</f>
        <v>49</v>
      </c>
      <c r="AW33" s="27">
        <f>ROUND('2005. évi 179.173 eFt (..12)'!G156/1000,0)</f>
        <v>49</v>
      </c>
    </row>
    <row r="34" spans="1:49" ht="12.75">
      <c r="A34" s="16" t="s">
        <v>46</v>
      </c>
      <c r="B34" s="9">
        <f>C34+D34</f>
        <v>20241</v>
      </c>
      <c r="C34" s="27">
        <v>3400</v>
      </c>
      <c r="D34" s="13">
        <f>SUM(E34,G34,I34,K34,M34,O34,Q34,S34,U34)</f>
        <v>16841</v>
      </c>
      <c r="E34" s="17">
        <f>ROUND('69 db bérlakásépítés (...11)'!G23/1000,0)</f>
        <v>4346</v>
      </c>
      <c r="F34" s="9">
        <f>G34+H34</f>
        <v>12495</v>
      </c>
      <c r="G34" s="17">
        <f>ROUND('69 db bérlakásépítés (...11)'!G31/1000,0)</f>
        <v>4791</v>
      </c>
      <c r="H34" s="9">
        <f>I34+J34</f>
        <v>7704</v>
      </c>
      <c r="I34" s="17">
        <f>ROUND('69 db bérlakásépítés (...11)'!G40/1000,0)</f>
        <v>2209</v>
      </c>
      <c r="J34" s="22">
        <f>K34+L34</f>
        <v>5495</v>
      </c>
      <c r="K34" s="17">
        <f>ROUND('69 db bérlakásépítés (...11)'!G48/1000,0)</f>
        <v>1783</v>
      </c>
      <c r="L34" s="22">
        <f>M34+N34</f>
        <v>3712</v>
      </c>
      <c r="M34" s="17">
        <f>ROUND('69 db bérlakásépítés (...11)'!G56/1000,0)</f>
        <v>1434</v>
      </c>
      <c r="N34" s="34">
        <f>O34+P34</f>
        <v>2278</v>
      </c>
      <c r="O34" s="17">
        <f>ROUND('69 db bérlakásépítés (...11)'!G64/1000,0)</f>
        <v>1089</v>
      </c>
      <c r="P34" s="9">
        <f>Q34+R34</f>
        <v>1189</v>
      </c>
      <c r="Q34" s="10">
        <f>ROUND('69 db bérlakásépítés (...11)'!G72/1000,0)</f>
        <v>737</v>
      </c>
      <c r="R34" s="22">
        <f>S34+T34</f>
        <v>452</v>
      </c>
      <c r="S34" s="17">
        <f>ROUND('69 db bérlakásépítés (...11)'!G80/1000,0)</f>
        <v>389</v>
      </c>
      <c r="T34" s="22">
        <f>U34</f>
        <v>63</v>
      </c>
      <c r="U34" s="17">
        <f>ROUND('69 db bérlakásépítés (...11)'!G83/1000,0)</f>
        <v>63</v>
      </c>
      <c r="V34" s="24" t="s">
        <v>36</v>
      </c>
      <c r="W34" s="26" t="s">
        <v>36</v>
      </c>
      <c r="X34" s="23" t="s">
        <v>36</v>
      </c>
      <c r="Y34" s="29" t="s">
        <v>36</v>
      </c>
      <c r="Z34" s="14" t="s">
        <v>36</v>
      </c>
      <c r="AA34" s="15" t="s">
        <v>36</v>
      </c>
      <c r="AB34" s="14" t="s">
        <v>36</v>
      </c>
      <c r="AC34" s="15" t="s">
        <v>36</v>
      </c>
      <c r="AD34" s="14" t="s">
        <v>36</v>
      </c>
      <c r="AE34" s="15" t="s">
        <v>36</v>
      </c>
      <c r="AF34" s="14" t="s">
        <v>36</v>
      </c>
      <c r="AG34" s="15" t="s">
        <v>36</v>
      </c>
      <c r="AH34" s="14" t="s">
        <v>36</v>
      </c>
      <c r="AI34" s="15" t="s">
        <v>36</v>
      </c>
      <c r="AJ34" s="14" t="s">
        <v>36</v>
      </c>
      <c r="AK34" s="15" t="s">
        <v>36</v>
      </c>
      <c r="AL34" s="14" t="s">
        <v>36</v>
      </c>
      <c r="AM34" s="15" t="s">
        <v>36</v>
      </c>
      <c r="AN34" s="14" t="s">
        <v>36</v>
      </c>
      <c r="AO34" s="15" t="s">
        <v>36</v>
      </c>
      <c r="AP34" s="14" t="s">
        <v>36</v>
      </c>
      <c r="AQ34" s="15" t="s">
        <v>36</v>
      </c>
      <c r="AR34" s="14" t="s">
        <v>36</v>
      </c>
      <c r="AS34" s="15" t="s">
        <v>36</v>
      </c>
      <c r="AT34" s="14" t="s">
        <v>36</v>
      </c>
      <c r="AU34" s="15" t="s">
        <v>36</v>
      </c>
      <c r="AV34" s="14" t="s">
        <v>36</v>
      </c>
      <c r="AW34" s="15" t="s">
        <v>36</v>
      </c>
    </row>
    <row r="35" spans="1:49" ht="12.75">
      <c r="A35" s="16" t="s">
        <v>62</v>
      </c>
      <c r="B35" s="9">
        <v>0</v>
      </c>
      <c r="C35" s="27">
        <v>399</v>
      </c>
      <c r="D35" s="13">
        <f>SUM(E35,G35,I35,K35,M35,O35,Q35,S35,U35,W35,Y35)</f>
        <v>26493</v>
      </c>
      <c r="E35" s="17">
        <f>ROUND('59 db bérlakás (...12)'!G15/1000,0)</f>
        <v>5585</v>
      </c>
      <c r="F35" s="9">
        <f>G35+H35</f>
        <v>20908</v>
      </c>
      <c r="G35" s="17">
        <f>ROUND('59 db bérlakás (...12)'!G23/1000,0)</f>
        <v>6418</v>
      </c>
      <c r="H35" s="9">
        <f>I35+J35</f>
        <v>14490</v>
      </c>
      <c r="I35" s="17">
        <f>ROUND('59 db bérlakás (...12)'!G32/1000,0)</f>
        <v>3090</v>
      </c>
      <c r="J35" s="22">
        <f>K35+L35</f>
        <v>11400</v>
      </c>
      <c r="K35" s="17">
        <f>ROUND('59 db bérlakás (...12)'!G40/1000,0)</f>
        <v>2635</v>
      </c>
      <c r="L35" s="22">
        <f>M35+N35</f>
        <v>8765</v>
      </c>
      <c r="M35" s="17">
        <f>ROUND('59 db bérlakás (...12)'!G48/1000,0)</f>
        <v>2289</v>
      </c>
      <c r="N35" s="34">
        <f>O35+P35</f>
        <v>6476</v>
      </c>
      <c r="O35" s="17">
        <f>ROUND('59 db bérlakás (...12)'!G56/1000,0)</f>
        <v>1949</v>
      </c>
      <c r="P35" s="9">
        <f>Q35+R35</f>
        <v>4527</v>
      </c>
      <c r="Q35" s="10">
        <f>ROUND('59 db bérlakás (...12)'!G64/1000,0)</f>
        <v>1597</v>
      </c>
      <c r="R35" s="22">
        <f>S35+T35</f>
        <v>2930</v>
      </c>
      <c r="S35" s="17">
        <f>ROUND('59 db bérlakás (...12)'!G72/1000,0)</f>
        <v>1251</v>
      </c>
      <c r="T35" s="22">
        <f>U35+V35</f>
        <v>1679</v>
      </c>
      <c r="U35" s="17">
        <f>ROUND('59 db bérlakás (...12)'!G80/1000,0)</f>
        <v>905</v>
      </c>
      <c r="V35" s="36">
        <f>W35+X35</f>
        <v>774</v>
      </c>
      <c r="W35" s="17">
        <f>ROUND('59 db bérlakás (...12)'!G88/1000,0)</f>
        <v>561</v>
      </c>
      <c r="X35" s="52">
        <f>Y35</f>
        <v>213</v>
      </c>
      <c r="Y35" s="17">
        <f>ROUND('59 db bérlakás (...12)'!G95/1000,0)</f>
        <v>213</v>
      </c>
      <c r="Z35" s="14" t="s">
        <v>36</v>
      </c>
      <c r="AA35" s="15" t="s">
        <v>36</v>
      </c>
      <c r="AB35" s="14" t="s">
        <v>36</v>
      </c>
      <c r="AC35" s="15" t="s">
        <v>36</v>
      </c>
      <c r="AD35" s="14" t="s">
        <v>36</v>
      </c>
      <c r="AE35" s="15" t="s">
        <v>36</v>
      </c>
      <c r="AF35" s="14" t="s">
        <v>36</v>
      </c>
      <c r="AG35" s="15" t="s">
        <v>36</v>
      </c>
      <c r="AH35" s="14" t="s">
        <v>36</v>
      </c>
      <c r="AI35" s="15" t="s">
        <v>36</v>
      </c>
      <c r="AJ35" s="14" t="s">
        <v>36</v>
      </c>
      <c r="AK35" s="15" t="s">
        <v>36</v>
      </c>
      <c r="AL35" s="14" t="s">
        <v>36</v>
      </c>
      <c r="AM35" s="15" t="s">
        <v>36</v>
      </c>
      <c r="AN35" s="14" t="s">
        <v>36</v>
      </c>
      <c r="AO35" s="15" t="s">
        <v>36</v>
      </c>
      <c r="AP35" s="14" t="s">
        <v>36</v>
      </c>
      <c r="AQ35" s="15" t="s">
        <v>36</v>
      </c>
      <c r="AR35" s="14" t="s">
        <v>36</v>
      </c>
      <c r="AS35" s="15" t="s">
        <v>36</v>
      </c>
      <c r="AT35" s="14" t="s">
        <v>36</v>
      </c>
      <c r="AU35" s="15" t="s">
        <v>36</v>
      </c>
      <c r="AV35" s="14" t="s">
        <v>36</v>
      </c>
      <c r="AW35" s="15" t="s">
        <v>36</v>
      </c>
    </row>
    <row r="36" spans="1:49" s="51" customFormat="1" ht="13.5" thickBot="1">
      <c r="A36" s="45" t="s">
        <v>89</v>
      </c>
      <c r="B36" s="9">
        <v>0</v>
      </c>
      <c r="C36" s="49">
        <v>3</v>
      </c>
      <c r="D36" s="54">
        <f>SUM(E36,G36,I36,K36,M36,O36,Q36,S36,U36,W36,Y36,AA36,AC36,AE36,AG36,AI36,AK36,AM36,AO36,AQ36)</f>
        <v>55264</v>
      </c>
      <c r="E36" s="46">
        <f>ROUND('Kecelhegyi bérlakás (...13)'!G22/1000,0)</f>
        <v>5138</v>
      </c>
      <c r="F36" s="9">
        <f t="shared" si="8"/>
        <v>50126</v>
      </c>
      <c r="G36" s="46">
        <f>ROUND('Kecelhegyi bérlakás (...13)'!G32/1000,0)</f>
        <v>10104</v>
      </c>
      <c r="H36" s="9">
        <f t="shared" si="9"/>
        <v>40022</v>
      </c>
      <c r="I36" s="46">
        <f>ROUND('Kecelhegyi bérlakás (...13)'!G41/1000,0)</f>
        <v>4436</v>
      </c>
      <c r="J36" s="22">
        <f t="shared" si="10"/>
        <v>35586</v>
      </c>
      <c r="K36" s="46">
        <f>ROUND('Kecelhegyi bérlakás (...13)'!G49/1000,0)</f>
        <v>4034</v>
      </c>
      <c r="L36" s="22">
        <f t="shared" si="11"/>
        <v>31552</v>
      </c>
      <c r="M36" s="49">
        <f>ROUND('Kecelhegyi bérlakás (...13)'!G57/1000,0)</f>
        <v>3791</v>
      </c>
      <c r="N36" s="34">
        <f t="shared" si="12"/>
        <v>27761</v>
      </c>
      <c r="O36" s="49">
        <f>ROUND('Kecelhegyi bérlakás (...13)'!G65/1000,0)</f>
        <v>3559</v>
      </c>
      <c r="P36" s="9">
        <f t="shared" si="13"/>
        <v>24202</v>
      </c>
      <c r="Q36" s="71">
        <f>ROUND('Kecelhegyi bérlakás (...13)'!G73/1000,0)</f>
        <v>3306</v>
      </c>
      <c r="R36" s="22">
        <f>S36+T36</f>
        <v>20896</v>
      </c>
      <c r="S36" s="49">
        <f>ROUND('Kecelhegyi bérlakás (...13)'!G81/1000,0)</f>
        <v>3063</v>
      </c>
      <c r="T36" s="22">
        <f>U36+V36</f>
        <v>17833</v>
      </c>
      <c r="U36" s="46">
        <f>ROUND('Kecelhegyi bérlakás (...13)'!G89/1000,0)</f>
        <v>2820</v>
      </c>
      <c r="V36" s="36">
        <f>W36+X36</f>
        <v>15013</v>
      </c>
      <c r="W36" s="46">
        <f>ROUND('Kecelhegyi bérlakás (...13)'!G97/1000,0)</f>
        <v>2585</v>
      </c>
      <c r="X36" s="47">
        <f>SUM(Y36:Z36)</f>
        <v>12428</v>
      </c>
      <c r="Y36" s="46">
        <f>ROUND('Kecelhegyi bérlakás (...13)'!G105/1000,0)</f>
        <v>2335</v>
      </c>
      <c r="Z36" s="54">
        <f>AA36+AB36</f>
        <v>10093</v>
      </c>
      <c r="AA36" s="48">
        <f>ROUND('Kecelhegyi bérlakás (...13)'!G113/1000,0)</f>
        <v>2092</v>
      </c>
      <c r="AB36" s="54">
        <f>AC36+AD36</f>
        <v>8001</v>
      </c>
      <c r="AC36" s="48">
        <f>ROUND('Kecelhegyi bérlakás (...13)'!G121/1000,0)</f>
        <v>1849</v>
      </c>
      <c r="AD36" s="54">
        <f>AE36+AF36</f>
        <v>6152</v>
      </c>
      <c r="AE36" s="48">
        <f>ROUND('Kecelhegyi bérlakás (...13)'!G129/1000,0)</f>
        <v>1611</v>
      </c>
      <c r="AF36" s="54">
        <f>AG36+AH36</f>
        <v>4541</v>
      </c>
      <c r="AG36" s="48">
        <f>ROUND('Kecelhegyi bérlakás (...13)'!G137/1000,0)</f>
        <v>1363</v>
      </c>
      <c r="AH36" s="54">
        <f>AI36+AJ36</f>
        <v>3178</v>
      </c>
      <c r="AI36" s="48">
        <f>ROUND('Kecelhegyi bérlakás (...13)'!G145/1000,0)</f>
        <v>1121</v>
      </c>
      <c r="AJ36" s="54">
        <f>AK36+AL36</f>
        <v>2057</v>
      </c>
      <c r="AK36" s="48">
        <f>ROUND('Kecelhegyi bérlakás (...13)'!G153/1000,0)</f>
        <v>878</v>
      </c>
      <c r="AL36" s="54">
        <f>AM36+AN36</f>
        <v>1179</v>
      </c>
      <c r="AM36" s="50">
        <f>ROUND('Kecelhegyi bérlakás (...13)'!G161/1000,0)</f>
        <v>637</v>
      </c>
      <c r="AN36" s="54">
        <f>AO36+AP36</f>
        <v>542</v>
      </c>
      <c r="AO36" s="50">
        <f>ROUND('Kecelhegyi bérlakás (...13)'!G169/1000,0)</f>
        <v>392</v>
      </c>
      <c r="AP36" s="54">
        <f>AQ36</f>
        <v>150</v>
      </c>
      <c r="AQ36" s="50">
        <f>ROUND('Kecelhegyi bérlakás (...13)'!G176/1000,0)</f>
        <v>150</v>
      </c>
      <c r="AR36" s="14" t="s">
        <v>36</v>
      </c>
      <c r="AS36" s="15" t="s">
        <v>36</v>
      </c>
      <c r="AT36" s="14" t="s">
        <v>36</v>
      </c>
      <c r="AU36" s="15" t="s">
        <v>36</v>
      </c>
      <c r="AV36" s="14" t="s">
        <v>36</v>
      </c>
      <c r="AW36" s="15" t="s">
        <v>36</v>
      </c>
    </row>
    <row r="37" spans="1:49" ht="13.5" thickTop="1">
      <c r="A37" s="11" t="s">
        <v>68</v>
      </c>
      <c r="B37" s="12">
        <f aca="true" t="shared" si="14" ref="B37:AQ37">SUM(B23:B36)</f>
        <v>414816</v>
      </c>
      <c r="C37" s="3">
        <f t="shared" si="14"/>
        <v>94400</v>
      </c>
      <c r="D37" s="12">
        <f t="shared" si="14"/>
        <v>794955</v>
      </c>
      <c r="E37" s="3">
        <f t="shared" si="14"/>
        <v>124416</v>
      </c>
      <c r="F37" s="12">
        <f t="shared" si="14"/>
        <v>897401</v>
      </c>
      <c r="G37" s="3">
        <f>SUM(G23:G36)</f>
        <v>236209</v>
      </c>
      <c r="H37" s="12">
        <f t="shared" si="14"/>
        <v>989051</v>
      </c>
      <c r="I37" s="3">
        <f t="shared" si="14"/>
        <v>165232</v>
      </c>
      <c r="J37" s="12">
        <f t="shared" si="14"/>
        <v>823819</v>
      </c>
      <c r="K37" s="3">
        <f t="shared" si="14"/>
        <v>155905</v>
      </c>
      <c r="L37" s="12">
        <f t="shared" si="14"/>
        <v>667914</v>
      </c>
      <c r="M37" s="3">
        <f t="shared" si="14"/>
        <v>134701</v>
      </c>
      <c r="N37" s="67">
        <f t="shared" si="14"/>
        <v>533213</v>
      </c>
      <c r="O37" s="3">
        <f t="shared" si="14"/>
        <v>113670</v>
      </c>
      <c r="P37" s="12">
        <f t="shared" si="14"/>
        <v>419543</v>
      </c>
      <c r="Q37" s="2">
        <f t="shared" si="14"/>
        <v>92276</v>
      </c>
      <c r="R37" s="12">
        <f t="shared" si="14"/>
        <v>327267</v>
      </c>
      <c r="S37" s="3">
        <f t="shared" si="14"/>
        <v>72573</v>
      </c>
      <c r="T37" s="12">
        <f t="shared" si="14"/>
        <v>254694</v>
      </c>
      <c r="U37" s="3">
        <f t="shared" si="14"/>
        <v>55971</v>
      </c>
      <c r="V37" s="12">
        <f t="shared" si="14"/>
        <v>198723</v>
      </c>
      <c r="W37" s="3">
        <f t="shared" si="14"/>
        <v>42542</v>
      </c>
      <c r="X37" s="12">
        <f t="shared" si="14"/>
        <v>156181</v>
      </c>
      <c r="Y37" s="3">
        <f t="shared" si="14"/>
        <v>29785</v>
      </c>
      <c r="Z37" s="12">
        <f t="shared" si="14"/>
        <v>126396</v>
      </c>
      <c r="AA37" s="3">
        <f t="shared" si="14"/>
        <v>22096</v>
      </c>
      <c r="AB37" s="12">
        <f t="shared" si="14"/>
        <v>104300</v>
      </c>
      <c r="AC37" s="3">
        <f t="shared" si="14"/>
        <v>19224</v>
      </c>
      <c r="AD37" s="12">
        <f t="shared" si="14"/>
        <v>85076</v>
      </c>
      <c r="AE37" s="3">
        <f t="shared" si="14"/>
        <v>17303</v>
      </c>
      <c r="AF37" s="12">
        <f t="shared" si="14"/>
        <v>67773</v>
      </c>
      <c r="AG37" s="3">
        <f t="shared" si="14"/>
        <v>15281</v>
      </c>
      <c r="AH37" s="12">
        <f t="shared" si="14"/>
        <v>52492</v>
      </c>
      <c r="AI37" s="3">
        <f t="shared" si="14"/>
        <v>13311</v>
      </c>
      <c r="AJ37" s="12">
        <f t="shared" si="14"/>
        <v>39181</v>
      </c>
      <c r="AK37" s="3">
        <f t="shared" si="14"/>
        <v>11338</v>
      </c>
      <c r="AL37" s="12">
        <f t="shared" si="14"/>
        <v>27843</v>
      </c>
      <c r="AM37" s="3">
        <f t="shared" si="14"/>
        <v>9395</v>
      </c>
      <c r="AN37" s="12">
        <f t="shared" si="14"/>
        <v>18448</v>
      </c>
      <c r="AO37" s="3">
        <f t="shared" si="14"/>
        <v>7395</v>
      </c>
      <c r="AP37" s="12">
        <f t="shared" si="14"/>
        <v>11053</v>
      </c>
      <c r="AQ37" s="3">
        <f t="shared" si="14"/>
        <v>5424</v>
      </c>
      <c r="AR37" s="38">
        <f aca="true" t="shared" si="15" ref="AR37:AW37">SUM(AR23:AR36)</f>
        <v>5629</v>
      </c>
      <c r="AS37" s="3">
        <f t="shared" si="15"/>
        <v>3546</v>
      </c>
      <c r="AT37" s="38">
        <f t="shared" si="15"/>
        <v>2083</v>
      </c>
      <c r="AU37" s="3">
        <f t="shared" si="15"/>
        <v>1824</v>
      </c>
      <c r="AV37" s="38">
        <f t="shared" si="15"/>
        <v>259</v>
      </c>
      <c r="AW37" s="3">
        <f t="shared" si="15"/>
        <v>259</v>
      </c>
    </row>
    <row r="38" spans="1:49" ht="12.75">
      <c r="A38" s="30" t="s">
        <v>44</v>
      </c>
      <c r="B38" s="59"/>
      <c r="C38" s="60"/>
      <c r="D38" s="9"/>
      <c r="E38" s="17"/>
      <c r="F38" s="9"/>
      <c r="G38" s="17"/>
      <c r="H38" s="9"/>
      <c r="I38" s="17"/>
      <c r="K38" s="17"/>
      <c r="M38" s="17"/>
      <c r="N38" s="34"/>
      <c r="O38" s="17"/>
      <c r="P38" s="9"/>
      <c r="Q38" s="10"/>
      <c r="S38" s="17"/>
      <c r="U38" s="17"/>
      <c r="W38" s="17"/>
      <c r="X38" s="22"/>
      <c r="Y38" s="17"/>
      <c r="Z38" s="9"/>
      <c r="AA38" s="10"/>
      <c r="AB38" s="9"/>
      <c r="AC38" s="10"/>
      <c r="AD38" s="9"/>
      <c r="AE38" s="10"/>
      <c r="AF38" s="9"/>
      <c r="AG38" s="10"/>
      <c r="AH38" s="9"/>
      <c r="AI38" s="10"/>
      <c r="AJ38" s="9"/>
      <c r="AK38" s="10"/>
      <c r="AL38" s="9"/>
      <c r="AM38" s="10"/>
      <c r="AN38" s="9"/>
      <c r="AO38" s="10"/>
      <c r="AP38" s="9"/>
      <c r="AQ38" s="10"/>
      <c r="AR38" s="9"/>
      <c r="AS38" s="10"/>
      <c r="AT38" s="9"/>
      <c r="AU38" s="10"/>
      <c r="AV38" s="9"/>
      <c r="AW38" s="10"/>
    </row>
    <row r="39" spans="1:49" ht="12.75">
      <c r="A39" s="6" t="s">
        <v>37</v>
      </c>
      <c r="B39" s="9">
        <f aca="true" t="shared" si="16" ref="B39:O39">B7+B23</f>
        <v>150966</v>
      </c>
      <c r="C39" s="17">
        <f t="shared" si="16"/>
        <v>49644</v>
      </c>
      <c r="D39" s="9">
        <f t="shared" si="16"/>
        <v>101322</v>
      </c>
      <c r="E39" s="17">
        <f t="shared" si="16"/>
        <v>18982</v>
      </c>
      <c r="F39" s="9">
        <f t="shared" si="16"/>
        <v>82340</v>
      </c>
      <c r="G39" s="17">
        <f t="shared" si="16"/>
        <v>20443</v>
      </c>
      <c r="H39" s="9">
        <f t="shared" si="16"/>
        <v>61897</v>
      </c>
      <c r="I39" s="17">
        <f t="shared" si="16"/>
        <v>16880</v>
      </c>
      <c r="J39" s="34">
        <f t="shared" si="16"/>
        <v>45017</v>
      </c>
      <c r="K39" s="17">
        <f t="shared" si="16"/>
        <v>15283</v>
      </c>
      <c r="L39" s="34">
        <f t="shared" si="16"/>
        <v>29734</v>
      </c>
      <c r="M39" s="17">
        <f t="shared" si="16"/>
        <v>14459</v>
      </c>
      <c r="N39" s="34">
        <f t="shared" si="16"/>
        <v>15275</v>
      </c>
      <c r="O39" s="17">
        <f t="shared" si="16"/>
        <v>15275</v>
      </c>
      <c r="P39" s="14" t="s">
        <v>36</v>
      </c>
      <c r="Q39" s="15" t="s">
        <v>36</v>
      </c>
      <c r="R39" s="53" t="s">
        <v>36</v>
      </c>
      <c r="S39" s="29" t="s">
        <v>36</v>
      </c>
      <c r="T39" s="53" t="s">
        <v>36</v>
      </c>
      <c r="U39" s="29" t="s">
        <v>36</v>
      </c>
      <c r="V39" s="53" t="s">
        <v>36</v>
      </c>
      <c r="W39" s="29" t="s">
        <v>36</v>
      </c>
      <c r="X39" s="14" t="s">
        <v>36</v>
      </c>
      <c r="Y39" s="29" t="s">
        <v>36</v>
      </c>
      <c r="Z39" s="14" t="s">
        <v>36</v>
      </c>
      <c r="AA39" s="15" t="s">
        <v>36</v>
      </c>
      <c r="AB39" s="14" t="s">
        <v>36</v>
      </c>
      <c r="AC39" s="15" t="s">
        <v>36</v>
      </c>
      <c r="AD39" s="14" t="s">
        <v>36</v>
      </c>
      <c r="AE39" s="15" t="s">
        <v>36</v>
      </c>
      <c r="AF39" s="14" t="s">
        <v>36</v>
      </c>
      <c r="AG39" s="15" t="s">
        <v>36</v>
      </c>
      <c r="AH39" s="14" t="s">
        <v>36</v>
      </c>
      <c r="AI39" s="15" t="s">
        <v>36</v>
      </c>
      <c r="AJ39" s="14" t="s">
        <v>36</v>
      </c>
      <c r="AK39" s="15" t="s">
        <v>36</v>
      </c>
      <c r="AL39" s="14" t="s">
        <v>36</v>
      </c>
      <c r="AM39" s="15" t="s">
        <v>36</v>
      </c>
      <c r="AN39" s="14" t="s">
        <v>36</v>
      </c>
      <c r="AO39" s="15" t="s">
        <v>36</v>
      </c>
      <c r="AP39" s="14" t="s">
        <v>36</v>
      </c>
      <c r="AQ39" s="15" t="s">
        <v>36</v>
      </c>
      <c r="AR39" s="14" t="s">
        <v>36</v>
      </c>
      <c r="AS39" s="15" t="s">
        <v>36</v>
      </c>
      <c r="AT39" s="14" t="s">
        <v>36</v>
      </c>
      <c r="AU39" s="15" t="s">
        <v>36</v>
      </c>
      <c r="AV39" s="14" t="s">
        <v>36</v>
      </c>
      <c r="AW39" s="15" t="s">
        <v>36</v>
      </c>
    </row>
    <row r="40" spans="1:49" ht="12.75">
      <c r="A40" s="6" t="s">
        <v>38</v>
      </c>
      <c r="B40" s="9">
        <f aca="true" t="shared" si="17" ref="B40:O40">B8+B24</f>
        <v>173319</v>
      </c>
      <c r="C40" s="17">
        <f t="shared" si="17"/>
        <v>51242</v>
      </c>
      <c r="D40" s="9">
        <f t="shared" si="17"/>
        <v>122077</v>
      </c>
      <c r="E40" s="17">
        <f t="shared" si="17"/>
        <v>23252</v>
      </c>
      <c r="F40" s="9">
        <f t="shared" si="17"/>
        <v>98825</v>
      </c>
      <c r="G40" s="17">
        <f t="shared" si="17"/>
        <v>25011</v>
      </c>
      <c r="H40" s="9">
        <f t="shared" si="17"/>
        <v>73814</v>
      </c>
      <c r="I40" s="17">
        <f t="shared" si="17"/>
        <v>20642</v>
      </c>
      <c r="J40" s="34">
        <f t="shared" si="17"/>
        <v>53172</v>
      </c>
      <c r="K40" s="17">
        <f t="shared" si="17"/>
        <v>18717</v>
      </c>
      <c r="L40" s="34">
        <f t="shared" si="17"/>
        <v>34455</v>
      </c>
      <c r="M40" s="17">
        <f t="shared" si="17"/>
        <v>17723</v>
      </c>
      <c r="N40" s="34">
        <f t="shared" si="17"/>
        <v>16732</v>
      </c>
      <c r="O40" s="17">
        <f t="shared" si="17"/>
        <v>16732</v>
      </c>
      <c r="P40" s="14" t="s">
        <v>36</v>
      </c>
      <c r="Q40" s="15" t="s">
        <v>36</v>
      </c>
      <c r="R40" s="53" t="s">
        <v>36</v>
      </c>
      <c r="S40" s="29" t="s">
        <v>36</v>
      </c>
      <c r="T40" s="53" t="s">
        <v>36</v>
      </c>
      <c r="U40" s="29" t="s">
        <v>36</v>
      </c>
      <c r="V40" s="53" t="s">
        <v>36</v>
      </c>
      <c r="W40" s="29" t="s">
        <v>36</v>
      </c>
      <c r="X40" s="14" t="s">
        <v>36</v>
      </c>
      <c r="Y40" s="29" t="s">
        <v>36</v>
      </c>
      <c r="Z40" s="14" t="s">
        <v>36</v>
      </c>
      <c r="AA40" s="15" t="s">
        <v>36</v>
      </c>
      <c r="AB40" s="14" t="s">
        <v>36</v>
      </c>
      <c r="AC40" s="15" t="s">
        <v>36</v>
      </c>
      <c r="AD40" s="14" t="s">
        <v>36</v>
      </c>
      <c r="AE40" s="15" t="s">
        <v>36</v>
      </c>
      <c r="AF40" s="14" t="s">
        <v>36</v>
      </c>
      <c r="AG40" s="15" t="s">
        <v>36</v>
      </c>
      <c r="AH40" s="14" t="s">
        <v>36</v>
      </c>
      <c r="AI40" s="15" t="s">
        <v>36</v>
      </c>
      <c r="AJ40" s="14" t="s">
        <v>36</v>
      </c>
      <c r="AK40" s="15" t="s">
        <v>36</v>
      </c>
      <c r="AL40" s="14" t="s">
        <v>36</v>
      </c>
      <c r="AM40" s="15" t="s">
        <v>36</v>
      </c>
      <c r="AN40" s="14" t="s">
        <v>36</v>
      </c>
      <c r="AO40" s="15" t="s">
        <v>36</v>
      </c>
      <c r="AP40" s="14" t="s">
        <v>36</v>
      </c>
      <c r="AQ40" s="15" t="s">
        <v>36</v>
      </c>
      <c r="AR40" s="14" t="s">
        <v>36</v>
      </c>
      <c r="AS40" s="15" t="s">
        <v>36</v>
      </c>
      <c r="AT40" s="14" t="s">
        <v>36</v>
      </c>
      <c r="AU40" s="15" t="s">
        <v>36</v>
      </c>
      <c r="AV40" s="14" t="s">
        <v>36</v>
      </c>
      <c r="AW40" s="15" t="s">
        <v>36</v>
      </c>
    </row>
    <row r="41" spans="1:49" ht="12.75">
      <c r="A41" s="16" t="s">
        <v>39</v>
      </c>
      <c r="B41" s="9">
        <f aca="true" t="shared" si="18" ref="B41:M41">B9+B25</f>
        <v>203619</v>
      </c>
      <c r="C41" s="17">
        <f t="shared" si="18"/>
        <v>80182</v>
      </c>
      <c r="D41" s="9">
        <f t="shared" si="18"/>
        <v>123437</v>
      </c>
      <c r="E41" s="17">
        <f t="shared" si="18"/>
        <v>27851</v>
      </c>
      <c r="F41" s="9">
        <f t="shared" si="18"/>
        <v>95586</v>
      </c>
      <c r="G41" s="17">
        <f t="shared" si="18"/>
        <v>28720</v>
      </c>
      <c r="H41" s="9">
        <f t="shared" si="18"/>
        <v>66866</v>
      </c>
      <c r="I41" s="17">
        <f t="shared" si="18"/>
        <v>24105</v>
      </c>
      <c r="J41" s="34">
        <f t="shared" si="18"/>
        <v>42761</v>
      </c>
      <c r="K41" s="17">
        <f t="shared" si="18"/>
        <v>21999</v>
      </c>
      <c r="L41" s="34">
        <f t="shared" si="18"/>
        <v>20762</v>
      </c>
      <c r="M41" s="17">
        <f t="shared" si="18"/>
        <v>20762</v>
      </c>
      <c r="N41" s="53" t="s">
        <v>36</v>
      </c>
      <c r="O41" s="29" t="s">
        <v>36</v>
      </c>
      <c r="P41" s="14" t="s">
        <v>36</v>
      </c>
      <c r="Q41" s="15" t="s">
        <v>36</v>
      </c>
      <c r="R41" s="53" t="s">
        <v>36</v>
      </c>
      <c r="S41" s="29" t="s">
        <v>36</v>
      </c>
      <c r="T41" s="53" t="s">
        <v>36</v>
      </c>
      <c r="U41" s="29" t="s">
        <v>36</v>
      </c>
      <c r="V41" s="53" t="s">
        <v>36</v>
      </c>
      <c r="W41" s="29" t="s">
        <v>36</v>
      </c>
      <c r="X41" s="14" t="s">
        <v>36</v>
      </c>
      <c r="Y41" s="29" t="s">
        <v>36</v>
      </c>
      <c r="Z41" s="14" t="s">
        <v>36</v>
      </c>
      <c r="AA41" s="15" t="s">
        <v>36</v>
      </c>
      <c r="AB41" s="14" t="s">
        <v>36</v>
      </c>
      <c r="AC41" s="15" t="s">
        <v>36</v>
      </c>
      <c r="AD41" s="14" t="s">
        <v>36</v>
      </c>
      <c r="AE41" s="15" t="s">
        <v>36</v>
      </c>
      <c r="AF41" s="14" t="s">
        <v>36</v>
      </c>
      <c r="AG41" s="15" t="s">
        <v>36</v>
      </c>
      <c r="AH41" s="14" t="s">
        <v>36</v>
      </c>
      <c r="AI41" s="15" t="s">
        <v>36</v>
      </c>
      <c r="AJ41" s="14" t="s">
        <v>36</v>
      </c>
      <c r="AK41" s="15" t="s">
        <v>36</v>
      </c>
      <c r="AL41" s="14" t="s">
        <v>36</v>
      </c>
      <c r="AM41" s="15" t="s">
        <v>36</v>
      </c>
      <c r="AN41" s="14" t="s">
        <v>36</v>
      </c>
      <c r="AO41" s="15" t="s">
        <v>36</v>
      </c>
      <c r="AP41" s="14" t="s">
        <v>36</v>
      </c>
      <c r="AQ41" s="15" t="s">
        <v>36</v>
      </c>
      <c r="AR41" s="14" t="s">
        <v>36</v>
      </c>
      <c r="AS41" s="15" t="s">
        <v>36</v>
      </c>
      <c r="AT41" s="14" t="s">
        <v>36</v>
      </c>
      <c r="AU41" s="15" t="s">
        <v>36</v>
      </c>
      <c r="AV41" s="14" t="s">
        <v>36</v>
      </c>
      <c r="AW41" s="15" t="s">
        <v>36</v>
      </c>
    </row>
    <row r="42" spans="1:49" ht="12.75">
      <c r="A42" s="16" t="s">
        <v>40</v>
      </c>
      <c r="B42" s="9">
        <f aca="true" t="shared" si="19" ref="B42:M42">B10+B26</f>
        <v>315292</v>
      </c>
      <c r="C42" s="17">
        <f t="shared" si="19"/>
        <v>70909</v>
      </c>
      <c r="D42" s="9">
        <f t="shared" si="19"/>
        <v>244383</v>
      </c>
      <c r="E42" s="17">
        <f t="shared" si="19"/>
        <v>41789</v>
      </c>
      <c r="F42" s="9">
        <f t="shared" si="19"/>
        <v>202594</v>
      </c>
      <c r="G42" s="17">
        <f t="shared" si="19"/>
        <v>44924</v>
      </c>
      <c r="H42" s="9">
        <f t="shared" si="19"/>
        <v>157670</v>
      </c>
      <c r="I42" s="17">
        <f t="shared" si="19"/>
        <v>36433</v>
      </c>
      <c r="J42" s="34">
        <f t="shared" si="19"/>
        <v>121237</v>
      </c>
      <c r="K42" s="17">
        <f t="shared" si="19"/>
        <v>32793</v>
      </c>
      <c r="L42" s="34">
        <f t="shared" si="19"/>
        <v>88444</v>
      </c>
      <c r="M42" s="17">
        <f t="shared" si="19"/>
        <v>31136</v>
      </c>
      <c r="N42" s="34">
        <f aca="true" t="shared" si="20" ref="N42:Q52">N10+N26</f>
        <v>57308</v>
      </c>
      <c r="O42" s="17">
        <f t="shared" si="20"/>
        <v>29487</v>
      </c>
      <c r="P42" s="9">
        <f t="shared" si="20"/>
        <v>27821</v>
      </c>
      <c r="Q42" s="10">
        <f t="shared" si="20"/>
        <v>27821</v>
      </c>
      <c r="R42" s="53" t="s">
        <v>36</v>
      </c>
      <c r="S42" s="29" t="s">
        <v>36</v>
      </c>
      <c r="T42" s="53" t="s">
        <v>36</v>
      </c>
      <c r="U42" s="29" t="s">
        <v>36</v>
      </c>
      <c r="V42" s="53" t="s">
        <v>36</v>
      </c>
      <c r="W42" s="29" t="s">
        <v>36</v>
      </c>
      <c r="X42" s="14" t="s">
        <v>36</v>
      </c>
      <c r="Y42" s="24" t="s">
        <v>36</v>
      </c>
      <c r="Z42" s="14" t="s">
        <v>36</v>
      </c>
      <c r="AA42" s="15" t="s">
        <v>36</v>
      </c>
      <c r="AB42" s="14" t="s">
        <v>36</v>
      </c>
      <c r="AC42" s="15" t="s">
        <v>36</v>
      </c>
      <c r="AD42" s="14" t="s">
        <v>36</v>
      </c>
      <c r="AE42" s="15" t="s">
        <v>36</v>
      </c>
      <c r="AF42" s="14" t="s">
        <v>36</v>
      </c>
      <c r="AG42" s="15" t="s">
        <v>36</v>
      </c>
      <c r="AH42" s="14" t="s">
        <v>36</v>
      </c>
      <c r="AI42" s="15" t="s">
        <v>36</v>
      </c>
      <c r="AJ42" s="14" t="s">
        <v>36</v>
      </c>
      <c r="AK42" s="15" t="s">
        <v>36</v>
      </c>
      <c r="AL42" s="14" t="s">
        <v>36</v>
      </c>
      <c r="AM42" s="15" t="s">
        <v>36</v>
      </c>
      <c r="AN42" s="14" t="s">
        <v>36</v>
      </c>
      <c r="AO42" s="15" t="s">
        <v>36</v>
      </c>
      <c r="AP42" s="14" t="s">
        <v>36</v>
      </c>
      <c r="AQ42" s="15" t="s">
        <v>36</v>
      </c>
      <c r="AR42" s="14" t="s">
        <v>36</v>
      </c>
      <c r="AS42" s="15" t="s">
        <v>36</v>
      </c>
      <c r="AT42" s="14" t="s">
        <v>36</v>
      </c>
      <c r="AU42" s="15" t="s">
        <v>36</v>
      </c>
      <c r="AV42" s="14" t="s">
        <v>36</v>
      </c>
      <c r="AW42" s="15" t="s">
        <v>36</v>
      </c>
    </row>
    <row r="43" spans="1:49" ht="12.75">
      <c r="A43" s="16" t="s">
        <v>41</v>
      </c>
      <c r="B43" s="9">
        <f aca="true" t="shared" si="21" ref="B43:M43">B11+B27</f>
        <v>248750</v>
      </c>
      <c r="C43" s="17">
        <f t="shared" si="21"/>
        <v>31613</v>
      </c>
      <c r="D43" s="9">
        <f t="shared" si="21"/>
        <v>288687</v>
      </c>
      <c r="E43" s="17">
        <f t="shared" si="21"/>
        <v>40872</v>
      </c>
      <c r="F43" s="9">
        <f t="shared" si="21"/>
        <v>280215</v>
      </c>
      <c r="G43" s="17">
        <f t="shared" si="21"/>
        <v>46803</v>
      </c>
      <c r="H43" s="9">
        <f t="shared" si="21"/>
        <v>233412</v>
      </c>
      <c r="I43" s="17">
        <f t="shared" si="21"/>
        <v>36556</v>
      </c>
      <c r="J43" s="34">
        <f t="shared" si="21"/>
        <v>196856</v>
      </c>
      <c r="K43" s="17">
        <f t="shared" si="21"/>
        <v>32383</v>
      </c>
      <c r="L43" s="34">
        <f t="shared" si="21"/>
        <v>164473</v>
      </c>
      <c r="M43" s="17">
        <f t="shared" si="21"/>
        <v>30961</v>
      </c>
      <c r="N43" s="34">
        <f t="shared" si="20"/>
        <v>133512</v>
      </c>
      <c r="O43" s="17">
        <f t="shared" si="20"/>
        <v>29560</v>
      </c>
      <c r="P43" s="9">
        <f t="shared" si="20"/>
        <v>103952</v>
      </c>
      <c r="Q43" s="10">
        <f t="shared" si="20"/>
        <v>28119</v>
      </c>
      <c r="R43" s="34">
        <f aca="true" t="shared" si="22" ref="R43:W43">R11+R27</f>
        <v>75833</v>
      </c>
      <c r="S43" s="17">
        <f t="shared" si="22"/>
        <v>26698</v>
      </c>
      <c r="T43" s="34">
        <f t="shared" si="22"/>
        <v>49135</v>
      </c>
      <c r="U43" s="17">
        <f t="shared" si="22"/>
        <v>25276</v>
      </c>
      <c r="V43" s="34">
        <f t="shared" si="22"/>
        <v>23859</v>
      </c>
      <c r="W43" s="17">
        <f t="shared" si="22"/>
        <v>23859</v>
      </c>
      <c r="X43" s="14" t="s">
        <v>36</v>
      </c>
      <c r="Y43" s="29" t="s">
        <v>36</v>
      </c>
      <c r="Z43" s="14" t="s">
        <v>36</v>
      </c>
      <c r="AA43" s="15" t="s">
        <v>36</v>
      </c>
      <c r="AB43" s="14" t="s">
        <v>36</v>
      </c>
      <c r="AC43" s="15" t="s">
        <v>36</v>
      </c>
      <c r="AD43" s="14" t="s">
        <v>36</v>
      </c>
      <c r="AE43" s="15" t="s">
        <v>36</v>
      </c>
      <c r="AF43" s="14" t="s">
        <v>36</v>
      </c>
      <c r="AG43" s="15" t="s">
        <v>36</v>
      </c>
      <c r="AH43" s="14" t="s">
        <v>36</v>
      </c>
      <c r="AI43" s="15" t="s">
        <v>36</v>
      </c>
      <c r="AJ43" s="14" t="s">
        <v>36</v>
      </c>
      <c r="AK43" s="15" t="s">
        <v>36</v>
      </c>
      <c r="AL43" s="14" t="s">
        <v>36</v>
      </c>
      <c r="AM43" s="15" t="s">
        <v>36</v>
      </c>
      <c r="AN43" s="14" t="s">
        <v>36</v>
      </c>
      <c r="AO43" s="15" t="s">
        <v>36</v>
      </c>
      <c r="AP43" s="14" t="s">
        <v>36</v>
      </c>
      <c r="AQ43" s="15" t="s">
        <v>36</v>
      </c>
      <c r="AR43" s="14" t="s">
        <v>36</v>
      </c>
      <c r="AS43" s="15" t="s">
        <v>36</v>
      </c>
      <c r="AT43" s="14" t="s">
        <v>36</v>
      </c>
      <c r="AU43" s="15" t="s">
        <v>36</v>
      </c>
      <c r="AV43" s="14" t="s">
        <v>36</v>
      </c>
      <c r="AW43" s="15" t="s">
        <v>36</v>
      </c>
    </row>
    <row r="44" spans="1:49" ht="12.75">
      <c r="A44" s="16" t="s">
        <v>69</v>
      </c>
      <c r="B44" s="9">
        <f aca="true" t="shared" si="23" ref="B44:M44">B12+B28</f>
        <v>246029</v>
      </c>
      <c r="C44" s="17">
        <f t="shared" si="23"/>
        <v>48852</v>
      </c>
      <c r="D44" s="9">
        <f t="shared" si="23"/>
        <v>344781</v>
      </c>
      <c r="E44" s="17">
        <f t="shared" si="23"/>
        <v>53147</v>
      </c>
      <c r="F44" s="9">
        <f t="shared" si="23"/>
        <v>291634</v>
      </c>
      <c r="G44" s="17">
        <f t="shared" si="23"/>
        <v>57938</v>
      </c>
      <c r="H44" s="9">
        <f t="shared" si="23"/>
        <v>233696</v>
      </c>
      <c r="I44" s="17">
        <f t="shared" si="23"/>
        <v>46332</v>
      </c>
      <c r="J44" s="34">
        <f t="shared" si="23"/>
        <v>187364</v>
      </c>
      <c r="K44" s="17">
        <f t="shared" si="23"/>
        <v>41459</v>
      </c>
      <c r="L44" s="34">
        <f t="shared" si="23"/>
        <v>145905</v>
      </c>
      <c r="M44" s="17">
        <f t="shared" si="23"/>
        <v>39464</v>
      </c>
      <c r="N44" s="34">
        <f t="shared" si="20"/>
        <v>106441</v>
      </c>
      <c r="O44" s="17">
        <f t="shared" si="20"/>
        <v>37486</v>
      </c>
      <c r="P44" s="9">
        <f t="shared" si="20"/>
        <v>68955</v>
      </c>
      <c r="Q44" s="10">
        <f t="shared" si="20"/>
        <v>35475</v>
      </c>
      <c r="R44" s="34">
        <f aca="true" t="shared" si="24" ref="R44:S52">R12+R28</f>
        <v>33480</v>
      </c>
      <c r="S44" s="17">
        <f t="shared" si="24"/>
        <v>33480</v>
      </c>
      <c r="T44" s="53" t="s">
        <v>36</v>
      </c>
      <c r="U44" s="29" t="s">
        <v>36</v>
      </c>
      <c r="V44" s="53" t="s">
        <v>36</v>
      </c>
      <c r="W44" s="29" t="s">
        <v>36</v>
      </c>
      <c r="X44" s="14" t="s">
        <v>36</v>
      </c>
      <c r="Y44" s="29" t="s">
        <v>36</v>
      </c>
      <c r="Z44" s="14" t="s">
        <v>36</v>
      </c>
      <c r="AA44" s="15" t="s">
        <v>36</v>
      </c>
      <c r="AB44" s="14" t="s">
        <v>36</v>
      </c>
      <c r="AC44" s="15" t="s">
        <v>36</v>
      </c>
      <c r="AD44" s="14" t="s">
        <v>36</v>
      </c>
      <c r="AE44" s="15" t="s">
        <v>36</v>
      </c>
      <c r="AF44" s="14" t="s">
        <v>36</v>
      </c>
      <c r="AG44" s="15" t="s">
        <v>36</v>
      </c>
      <c r="AH44" s="14" t="s">
        <v>36</v>
      </c>
      <c r="AI44" s="15" t="s">
        <v>36</v>
      </c>
      <c r="AJ44" s="14" t="s">
        <v>36</v>
      </c>
      <c r="AK44" s="15" t="s">
        <v>36</v>
      </c>
      <c r="AL44" s="14" t="s">
        <v>36</v>
      </c>
      <c r="AM44" s="15" t="s">
        <v>36</v>
      </c>
      <c r="AN44" s="14" t="s">
        <v>36</v>
      </c>
      <c r="AO44" s="15" t="s">
        <v>36</v>
      </c>
      <c r="AP44" s="14" t="s">
        <v>36</v>
      </c>
      <c r="AQ44" s="15" t="s">
        <v>36</v>
      </c>
      <c r="AR44" s="14" t="s">
        <v>36</v>
      </c>
      <c r="AS44" s="15" t="s">
        <v>36</v>
      </c>
      <c r="AT44" s="14" t="s">
        <v>36</v>
      </c>
      <c r="AU44" s="15" t="s">
        <v>36</v>
      </c>
      <c r="AV44" s="14" t="s">
        <v>36</v>
      </c>
      <c r="AW44" s="15" t="s">
        <v>36</v>
      </c>
    </row>
    <row r="45" spans="1:49" ht="12.75">
      <c r="A45" s="16" t="s">
        <v>77</v>
      </c>
      <c r="B45" s="9">
        <f aca="true" t="shared" si="25" ref="B45:M45">B13+B29</f>
        <v>0</v>
      </c>
      <c r="C45" s="17">
        <f t="shared" si="25"/>
        <v>1157</v>
      </c>
      <c r="D45" s="9">
        <f t="shared" si="25"/>
        <v>414032</v>
      </c>
      <c r="E45" s="17">
        <f t="shared" si="25"/>
        <v>46153</v>
      </c>
      <c r="F45" s="9">
        <f t="shared" si="25"/>
        <v>367879</v>
      </c>
      <c r="G45" s="17">
        <f t="shared" si="25"/>
        <v>73085</v>
      </c>
      <c r="H45" s="9">
        <f t="shared" si="25"/>
        <v>294794</v>
      </c>
      <c r="I45" s="17">
        <f t="shared" si="25"/>
        <v>58445</v>
      </c>
      <c r="J45" s="34">
        <f t="shared" si="25"/>
        <v>236349</v>
      </c>
      <c r="K45" s="17">
        <f t="shared" si="25"/>
        <v>52298</v>
      </c>
      <c r="L45" s="34">
        <f t="shared" si="25"/>
        <v>184051</v>
      </c>
      <c r="M45" s="17">
        <f t="shared" si="25"/>
        <v>49782</v>
      </c>
      <c r="N45" s="34">
        <f t="shared" si="20"/>
        <v>134269</v>
      </c>
      <c r="O45" s="17">
        <f t="shared" si="20"/>
        <v>47286</v>
      </c>
      <c r="P45" s="9">
        <f t="shared" si="20"/>
        <v>86983</v>
      </c>
      <c r="Q45" s="10">
        <f t="shared" si="20"/>
        <v>44750</v>
      </c>
      <c r="R45" s="34">
        <f t="shared" si="24"/>
        <v>42233</v>
      </c>
      <c r="S45" s="17">
        <f t="shared" si="24"/>
        <v>42233</v>
      </c>
      <c r="T45" s="53" t="s">
        <v>36</v>
      </c>
      <c r="U45" s="26" t="s">
        <v>36</v>
      </c>
      <c r="V45" s="53" t="s">
        <v>36</v>
      </c>
      <c r="W45" s="26" t="s">
        <v>36</v>
      </c>
      <c r="X45" s="14" t="s">
        <v>36</v>
      </c>
      <c r="Y45" s="29" t="s">
        <v>36</v>
      </c>
      <c r="Z45" s="14" t="s">
        <v>36</v>
      </c>
      <c r="AA45" s="15" t="s">
        <v>36</v>
      </c>
      <c r="AB45" s="14" t="s">
        <v>36</v>
      </c>
      <c r="AC45" s="15" t="s">
        <v>36</v>
      </c>
      <c r="AD45" s="14" t="s">
        <v>36</v>
      </c>
      <c r="AE45" s="15" t="s">
        <v>36</v>
      </c>
      <c r="AF45" s="14" t="s">
        <v>36</v>
      </c>
      <c r="AG45" s="15" t="s">
        <v>36</v>
      </c>
      <c r="AH45" s="14" t="s">
        <v>36</v>
      </c>
      <c r="AI45" s="15" t="s">
        <v>36</v>
      </c>
      <c r="AJ45" s="14" t="s">
        <v>36</v>
      </c>
      <c r="AK45" s="15" t="s">
        <v>36</v>
      </c>
      <c r="AL45" s="14" t="s">
        <v>36</v>
      </c>
      <c r="AM45" s="15" t="s">
        <v>36</v>
      </c>
      <c r="AN45" s="14" t="s">
        <v>36</v>
      </c>
      <c r="AO45" s="15" t="s">
        <v>36</v>
      </c>
      <c r="AP45" s="14" t="s">
        <v>36</v>
      </c>
      <c r="AQ45" s="15" t="s">
        <v>36</v>
      </c>
      <c r="AR45" s="14" t="s">
        <v>36</v>
      </c>
      <c r="AS45" s="15" t="s">
        <v>36</v>
      </c>
      <c r="AT45" s="14" t="s">
        <v>36</v>
      </c>
      <c r="AU45" s="15" t="s">
        <v>36</v>
      </c>
      <c r="AV45" s="14" t="s">
        <v>36</v>
      </c>
      <c r="AW45" s="15" t="s">
        <v>36</v>
      </c>
    </row>
    <row r="46" spans="1:49" ht="12.75">
      <c r="A46" s="16" t="s">
        <v>91</v>
      </c>
      <c r="B46" s="9">
        <f aca="true" t="shared" si="26" ref="B46:M46">B14+B30</f>
        <v>0</v>
      </c>
      <c r="C46" s="17">
        <f t="shared" si="26"/>
        <v>0</v>
      </c>
      <c r="D46" s="9">
        <f t="shared" si="26"/>
        <v>282324</v>
      </c>
      <c r="E46" s="17">
        <f t="shared" si="26"/>
        <v>7975</v>
      </c>
      <c r="F46" s="9">
        <f t="shared" si="26"/>
        <v>955388</v>
      </c>
      <c r="G46" s="17">
        <f t="shared" si="26"/>
        <v>122114</v>
      </c>
      <c r="H46" s="9">
        <f t="shared" si="26"/>
        <v>865406</v>
      </c>
      <c r="I46" s="17">
        <f t="shared" si="26"/>
        <v>129108</v>
      </c>
      <c r="J46" s="34">
        <f t="shared" si="26"/>
        <v>736298</v>
      </c>
      <c r="K46" s="17">
        <f t="shared" si="26"/>
        <v>114113</v>
      </c>
      <c r="L46" s="34">
        <f t="shared" si="26"/>
        <v>622185</v>
      </c>
      <c r="M46" s="17">
        <f t="shared" si="26"/>
        <v>109212</v>
      </c>
      <c r="N46" s="34">
        <f t="shared" si="20"/>
        <v>512973</v>
      </c>
      <c r="O46" s="17">
        <f t="shared" si="20"/>
        <v>104385</v>
      </c>
      <c r="P46" s="9">
        <f t="shared" si="20"/>
        <v>408588</v>
      </c>
      <c r="Q46" s="10">
        <f t="shared" si="20"/>
        <v>99410</v>
      </c>
      <c r="R46" s="34">
        <f t="shared" si="24"/>
        <v>309178</v>
      </c>
      <c r="S46" s="17">
        <f t="shared" si="24"/>
        <v>94409</v>
      </c>
      <c r="T46" s="34">
        <f aca="true" t="shared" si="27" ref="T46:Y49">T14+T30</f>
        <v>214769</v>
      </c>
      <c r="U46" s="17">
        <f t="shared" si="27"/>
        <v>89548</v>
      </c>
      <c r="V46" s="34">
        <f t="shared" si="27"/>
        <v>125221</v>
      </c>
      <c r="W46" s="17">
        <f t="shared" si="27"/>
        <v>84708</v>
      </c>
      <c r="X46" s="34">
        <f t="shared" si="27"/>
        <v>40513</v>
      </c>
      <c r="Y46" s="17">
        <f t="shared" si="27"/>
        <v>40513</v>
      </c>
      <c r="Z46" s="14" t="s">
        <v>36</v>
      </c>
      <c r="AA46" s="15" t="s">
        <v>36</v>
      </c>
      <c r="AB46" s="14" t="s">
        <v>36</v>
      </c>
      <c r="AC46" s="15" t="s">
        <v>36</v>
      </c>
      <c r="AD46" s="14" t="s">
        <v>36</v>
      </c>
      <c r="AE46" s="15" t="s">
        <v>36</v>
      </c>
      <c r="AF46" s="14" t="s">
        <v>36</v>
      </c>
      <c r="AG46" s="15" t="s">
        <v>36</v>
      </c>
      <c r="AH46" s="14" t="s">
        <v>36</v>
      </c>
      <c r="AI46" s="15" t="s">
        <v>36</v>
      </c>
      <c r="AJ46" s="14" t="s">
        <v>36</v>
      </c>
      <c r="AK46" s="15" t="s">
        <v>36</v>
      </c>
      <c r="AL46" s="14" t="s">
        <v>36</v>
      </c>
      <c r="AM46" s="15" t="s">
        <v>36</v>
      </c>
      <c r="AN46" s="14" t="s">
        <v>36</v>
      </c>
      <c r="AO46" s="15" t="s">
        <v>36</v>
      </c>
      <c r="AP46" s="14" t="s">
        <v>36</v>
      </c>
      <c r="AQ46" s="15" t="s">
        <v>36</v>
      </c>
      <c r="AR46" s="14" t="s">
        <v>36</v>
      </c>
      <c r="AS46" s="15" t="s">
        <v>36</v>
      </c>
      <c r="AT46" s="14" t="s">
        <v>36</v>
      </c>
      <c r="AU46" s="15" t="s">
        <v>36</v>
      </c>
      <c r="AV46" s="14" t="s">
        <v>36</v>
      </c>
      <c r="AW46" s="15" t="s">
        <v>36</v>
      </c>
    </row>
    <row r="47" spans="1:49" ht="12.75">
      <c r="A47" s="16" t="s">
        <v>130</v>
      </c>
      <c r="B47" s="9"/>
      <c r="C47" s="17"/>
      <c r="D47" s="13">
        <f aca="true" t="shared" si="28" ref="D47:M47">D15+D31</f>
        <v>0</v>
      </c>
      <c r="E47" s="17">
        <f t="shared" si="28"/>
        <v>0</v>
      </c>
      <c r="F47" s="13">
        <f t="shared" si="28"/>
        <v>226862</v>
      </c>
      <c r="G47" s="17">
        <f t="shared" si="28"/>
        <v>7525</v>
      </c>
      <c r="H47" s="13">
        <f t="shared" si="28"/>
        <v>938130</v>
      </c>
      <c r="I47" s="17">
        <f t="shared" si="28"/>
        <v>76178</v>
      </c>
      <c r="J47" s="13">
        <f t="shared" si="28"/>
        <v>861952</v>
      </c>
      <c r="K47" s="17">
        <f t="shared" si="28"/>
        <v>119951</v>
      </c>
      <c r="L47" s="13">
        <f t="shared" si="28"/>
        <v>742001</v>
      </c>
      <c r="M47" s="17">
        <f t="shared" si="28"/>
        <v>115011</v>
      </c>
      <c r="N47" s="13">
        <f t="shared" si="20"/>
        <v>626990</v>
      </c>
      <c r="O47" s="17">
        <f t="shared" si="20"/>
        <v>110160</v>
      </c>
      <c r="P47" s="13">
        <f t="shared" si="20"/>
        <v>516830</v>
      </c>
      <c r="Q47" s="17">
        <f t="shared" si="20"/>
        <v>105133</v>
      </c>
      <c r="R47" s="13">
        <f t="shared" si="24"/>
        <v>411697</v>
      </c>
      <c r="S47" s="17">
        <f t="shared" si="24"/>
        <v>100051</v>
      </c>
      <c r="T47" s="13">
        <f t="shared" si="27"/>
        <v>311646</v>
      </c>
      <c r="U47" s="17">
        <f t="shared" si="27"/>
        <v>95152</v>
      </c>
      <c r="V47" s="13">
        <f t="shared" si="27"/>
        <v>216494</v>
      </c>
      <c r="W47" s="17">
        <f t="shared" si="27"/>
        <v>90287</v>
      </c>
      <c r="X47" s="13">
        <f t="shared" si="27"/>
        <v>126207</v>
      </c>
      <c r="Y47" s="17">
        <f t="shared" si="27"/>
        <v>85375</v>
      </c>
      <c r="Z47" s="13">
        <f aca="true" t="shared" si="29" ref="Z47:AA49">Z15+Z31</f>
        <v>40832</v>
      </c>
      <c r="AA47" s="17">
        <f t="shared" si="29"/>
        <v>40832</v>
      </c>
      <c r="AB47" s="14" t="s">
        <v>36</v>
      </c>
      <c r="AC47" s="15" t="s">
        <v>36</v>
      </c>
      <c r="AD47" s="14" t="s">
        <v>36</v>
      </c>
      <c r="AE47" s="15" t="s">
        <v>36</v>
      </c>
      <c r="AF47" s="14" t="s">
        <v>36</v>
      </c>
      <c r="AG47" s="15" t="s">
        <v>36</v>
      </c>
      <c r="AH47" s="14" t="s">
        <v>36</v>
      </c>
      <c r="AI47" s="15" t="s">
        <v>36</v>
      </c>
      <c r="AJ47" s="14" t="s">
        <v>36</v>
      </c>
      <c r="AK47" s="15" t="s">
        <v>36</v>
      </c>
      <c r="AL47" s="14" t="s">
        <v>36</v>
      </c>
      <c r="AM47" s="15" t="s">
        <v>36</v>
      </c>
      <c r="AN47" s="14" t="s">
        <v>36</v>
      </c>
      <c r="AO47" s="15" t="s">
        <v>36</v>
      </c>
      <c r="AP47" s="14" t="s">
        <v>36</v>
      </c>
      <c r="AQ47" s="15" t="s">
        <v>36</v>
      </c>
      <c r="AR47" s="14" t="s">
        <v>36</v>
      </c>
      <c r="AS47" s="15" t="s">
        <v>36</v>
      </c>
      <c r="AT47" s="14" t="s">
        <v>36</v>
      </c>
      <c r="AU47" s="15" t="s">
        <v>36</v>
      </c>
      <c r="AV47" s="14" t="s">
        <v>36</v>
      </c>
      <c r="AW47" s="15" t="s">
        <v>36</v>
      </c>
    </row>
    <row r="48" spans="1:49" ht="12.75">
      <c r="A48" s="16" t="s">
        <v>188</v>
      </c>
      <c r="B48" s="9"/>
      <c r="C48" s="17"/>
      <c r="D48" s="13"/>
      <c r="E48" s="17"/>
      <c r="F48" s="14" t="s">
        <v>36</v>
      </c>
      <c r="G48" s="29" t="s">
        <v>36</v>
      </c>
      <c r="H48" s="13">
        <f aca="true" t="shared" si="30" ref="H48:M52">H16+H32</f>
        <v>262476</v>
      </c>
      <c r="I48" s="17">
        <f t="shared" si="30"/>
        <v>1615</v>
      </c>
      <c r="J48" s="13">
        <f t="shared" si="30"/>
        <v>760861</v>
      </c>
      <c r="K48" s="17">
        <f t="shared" si="30"/>
        <v>23705</v>
      </c>
      <c r="L48" s="13">
        <f t="shared" si="30"/>
        <v>844470</v>
      </c>
      <c r="M48" s="17">
        <f t="shared" si="30"/>
        <v>23866</v>
      </c>
      <c r="N48" s="13">
        <f t="shared" si="20"/>
        <v>820604</v>
      </c>
      <c r="O48" s="17">
        <f t="shared" si="20"/>
        <v>49998</v>
      </c>
      <c r="P48" s="13">
        <f t="shared" si="20"/>
        <v>770606</v>
      </c>
      <c r="Q48" s="17">
        <f t="shared" si="20"/>
        <v>57410</v>
      </c>
      <c r="R48" s="13">
        <f t="shared" si="24"/>
        <v>713196</v>
      </c>
      <c r="S48" s="17">
        <f t="shared" si="24"/>
        <v>56027</v>
      </c>
      <c r="T48" s="13">
        <f t="shared" si="27"/>
        <v>657169</v>
      </c>
      <c r="U48" s="17">
        <f t="shared" si="27"/>
        <v>54644</v>
      </c>
      <c r="V48" s="13">
        <f t="shared" si="27"/>
        <v>602525</v>
      </c>
      <c r="W48" s="17">
        <f t="shared" si="27"/>
        <v>53312</v>
      </c>
      <c r="X48" s="13">
        <f t="shared" si="27"/>
        <v>549213</v>
      </c>
      <c r="Y48" s="17">
        <f t="shared" si="27"/>
        <v>51877</v>
      </c>
      <c r="Z48" s="13">
        <f t="shared" si="29"/>
        <v>497336</v>
      </c>
      <c r="AA48" s="17">
        <f t="shared" si="29"/>
        <v>50494</v>
      </c>
      <c r="AB48" s="13">
        <f aca="true" t="shared" si="31" ref="AB48:AQ49">AB16+AB32</f>
        <v>446842</v>
      </c>
      <c r="AC48" s="17">
        <f t="shared" si="31"/>
        <v>49110</v>
      </c>
      <c r="AD48" s="13">
        <f t="shared" si="31"/>
        <v>397732</v>
      </c>
      <c r="AE48" s="17">
        <f t="shared" si="31"/>
        <v>47763</v>
      </c>
      <c r="AF48" s="13">
        <f t="shared" si="31"/>
        <v>349969</v>
      </c>
      <c r="AG48" s="17">
        <f t="shared" si="31"/>
        <v>46344</v>
      </c>
      <c r="AH48" s="13">
        <f t="shared" si="31"/>
        <v>303625</v>
      </c>
      <c r="AI48" s="17">
        <f t="shared" si="31"/>
        <v>44961</v>
      </c>
      <c r="AJ48" s="13">
        <f t="shared" si="31"/>
        <v>258664</v>
      </c>
      <c r="AK48" s="17">
        <f t="shared" si="31"/>
        <v>43577</v>
      </c>
      <c r="AL48" s="13">
        <f t="shared" si="31"/>
        <v>215087</v>
      </c>
      <c r="AM48" s="17">
        <f t="shared" si="31"/>
        <v>42215</v>
      </c>
      <c r="AN48" s="13">
        <f t="shared" si="31"/>
        <v>172872</v>
      </c>
      <c r="AO48" s="17">
        <f t="shared" si="31"/>
        <v>40811</v>
      </c>
      <c r="AP48" s="13">
        <f t="shared" si="31"/>
        <v>132061</v>
      </c>
      <c r="AQ48" s="17">
        <f t="shared" si="31"/>
        <v>39427</v>
      </c>
      <c r="AR48" s="13">
        <f aca="true" t="shared" si="32" ref="AR48:AW49">AR16+AR32</f>
        <v>92634</v>
      </c>
      <c r="AS48" s="17">
        <f t="shared" si="32"/>
        <v>38044</v>
      </c>
      <c r="AT48" s="13">
        <f t="shared" si="32"/>
        <v>54590</v>
      </c>
      <c r="AU48" s="17">
        <f t="shared" si="32"/>
        <v>36666</v>
      </c>
      <c r="AV48" s="13">
        <f t="shared" si="32"/>
        <v>17924</v>
      </c>
      <c r="AW48" s="17">
        <f t="shared" si="32"/>
        <v>17924</v>
      </c>
    </row>
    <row r="49" spans="1:49" ht="12.75">
      <c r="A49" s="16" t="s">
        <v>189</v>
      </c>
      <c r="B49" s="9"/>
      <c r="C49" s="17"/>
      <c r="D49" s="13"/>
      <c r="E49" s="17"/>
      <c r="F49" s="14"/>
      <c r="G49" s="29"/>
      <c r="H49" s="13">
        <f t="shared" si="30"/>
        <v>65383</v>
      </c>
      <c r="I49" s="17">
        <f t="shared" si="30"/>
        <v>428</v>
      </c>
      <c r="J49" s="13">
        <f t="shared" si="30"/>
        <v>221628</v>
      </c>
      <c r="K49" s="17">
        <f t="shared" si="30"/>
        <v>5892</v>
      </c>
      <c r="L49" s="13">
        <f t="shared" si="30"/>
        <v>238236</v>
      </c>
      <c r="M49" s="17">
        <f t="shared" si="30"/>
        <v>5951</v>
      </c>
      <c r="N49" s="13">
        <f t="shared" si="20"/>
        <v>232285</v>
      </c>
      <c r="O49" s="17">
        <f t="shared" si="20"/>
        <v>13684</v>
      </c>
      <c r="P49" s="13">
        <f t="shared" si="20"/>
        <v>218601</v>
      </c>
      <c r="Q49" s="17">
        <f t="shared" si="20"/>
        <v>15938</v>
      </c>
      <c r="R49" s="13">
        <f t="shared" si="24"/>
        <v>202663</v>
      </c>
      <c r="S49" s="17">
        <f t="shared" si="24"/>
        <v>15592</v>
      </c>
      <c r="T49" s="13">
        <f t="shared" si="27"/>
        <v>187071</v>
      </c>
      <c r="U49" s="17">
        <f t="shared" si="27"/>
        <v>15247</v>
      </c>
      <c r="V49" s="13">
        <f t="shared" si="27"/>
        <v>171824</v>
      </c>
      <c r="W49" s="17">
        <f t="shared" si="27"/>
        <v>14914</v>
      </c>
      <c r="X49" s="13">
        <f t="shared" si="27"/>
        <v>156910</v>
      </c>
      <c r="Y49" s="17">
        <f t="shared" si="27"/>
        <v>14556</v>
      </c>
      <c r="Z49" s="13">
        <f t="shared" si="29"/>
        <v>142354</v>
      </c>
      <c r="AA49" s="17">
        <f t="shared" si="29"/>
        <v>14210</v>
      </c>
      <c r="AB49" s="13">
        <f t="shared" si="31"/>
        <v>128144</v>
      </c>
      <c r="AC49" s="17">
        <f t="shared" si="31"/>
        <v>13865</v>
      </c>
      <c r="AD49" s="13">
        <f t="shared" si="31"/>
        <v>114279</v>
      </c>
      <c r="AE49" s="17">
        <f t="shared" si="31"/>
        <v>13529</v>
      </c>
      <c r="AF49" s="13">
        <f t="shared" si="31"/>
        <v>100750</v>
      </c>
      <c r="AG49" s="17">
        <f t="shared" si="31"/>
        <v>13174</v>
      </c>
      <c r="AH49" s="13">
        <f t="shared" si="31"/>
        <v>87576</v>
      </c>
      <c r="AI49" s="17">
        <f t="shared" si="31"/>
        <v>12829</v>
      </c>
      <c r="AJ49" s="13">
        <f t="shared" si="31"/>
        <v>74747</v>
      </c>
      <c r="AK49" s="17">
        <f t="shared" si="31"/>
        <v>12483</v>
      </c>
      <c r="AL49" s="13">
        <f t="shared" si="31"/>
        <v>62264</v>
      </c>
      <c r="AM49" s="17">
        <f t="shared" si="31"/>
        <v>12143</v>
      </c>
      <c r="AN49" s="13">
        <f t="shared" si="31"/>
        <v>50121</v>
      </c>
      <c r="AO49" s="17">
        <f t="shared" si="31"/>
        <v>11792</v>
      </c>
      <c r="AP49" s="13">
        <f t="shared" si="31"/>
        <v>38329</v>
      </c>
      <c r="AQ49" s="17">
        <f t="shared" si="31"/>
        <v>11447</v>
      </c>
      <c r="AR49" s="13">
        <f t="shared" si="32"/>
        <v>26882</v>
      </c>
      <c r="AS49" s="17">
        <f t="shared" si="32"/>
        <v>11102</v>
      </c>
      <c r="AT49" s="13">
        <f t="shared" si="32"/>
        <v>15780</v>
      </c>
      <c r="AU49" s="17">
        <f t="shared" si="32"/>
        <v>10758</v>
      </c>
      <c r="AV49" s="13">
        <f t="shared" si="32"/>
        <v>5022</v>
      </c>
      <c r="AW49" s="17">
        <f t="shared" si="32"/>
        <v>5022</v>
      </c>
    </row>
    <row r="50" spans="1:49" ht="12.75">
      <c r="A50" s="16" t="s">
        <v>46</v>
      </c>
      <c r="B50" s="9">
        <f aca="true" t="shared" si="33" ref="B50:G52">B18+B34</f>
        <v>127652</v>
      </c>
      <c r="C50" s="17">
        <f t="shared" si="33"/>
        <v>9355</v>
      </c>
      <c r="D50" s="9">
        <f t="shared" si="33"/>
        <v>118297</v>
      </c>
      <c r="E50" s="17">
        <f t="shared" si="33"/>
        <v>16282</v>
      </c>
      <c r="F50" s="9">
        <f t="shared" si="33"/>
        <v>102015</v>
      </c>
      <c r="G50" s="17">
        <f t="shared" si="33"/>
        <v>16727</v>
      </c>
      <c r="H50" s="9">
        <f t="shared" si="30"/>
        <v>85288</v>
      </c>
      <c r="I50" s="17">
        <f t="shared" si="30"/>
        <v>14145</v>
      </c>
      <c r="J50" s="34">
        <f t="shared" si="30"/>
        <v>71143</v>
      </c>
      <c r="K50" s="17">
        <f t="shared" si="30"/>
        <v>13719</v>
      </c>
      <c r="L50" s="34">
        <f t="shared" si="30"/>
        <v>57424</v>
      </c>
      <c r="M50" s="17">
        <f t="shared" si="30"/>
        <v>13370</v>
      </c>
      <c r="N50" s="34">
        <f t="shared" si="20"/>
        <v>44054</v>
      </c>
      <c r="O50" s="17">
        <f t="shared" si="20"/>
        <v>13025</v>
      </c>
      <c r="P50" s="9">
        <f t="shared" si="20"/>
        <v>31029</v>
      </c>
      <c r="Q50" s="10">
        <f t="shared" si="20"/>
        <v>12673</v>
      </c>
      <c r="R50" s="34">
        <f t="shared" si="24"/>
        <v>18356</v>
      </c>
      <c r="S50" s="17">
        <f t="shared" si="24"/>
        <v>12325</v>
      </c>
      <c r="T50" s="34">
        <f aca="true" t="shared" si="34" ref="T50:U52">T18+T34</f>
        <v>6031</v>
      </c>
      <c r="U50" s="17">
        <f t="shared" si="34"/>
        <v>6031</v>
      </c>
      <c r="V50" s="53" t="s">
        <v>36</v>
      </c>
      <c r="W50" s="26" t="s">
        <v>36</v>
      </c>
      <c r="X50" s="14" t="s">
        <v>36</v>
      </c>
      <c r="Y50" s="29" t="s">
        <v>36</v>
      </c>
      <c r="Z50" s="14" t="s">
        <v>36</v>
      </c>
      <c r="AA50" s="15" t="s">
        <v>36</v>
      </c>
      <c r="AB50" s="14" t="s">
        <v>36</v>
      </c>
      <c r="AC50" s="15" t="s">
        <v>36</v>
      </c>
      <c r="AD50" s="14" t="s">
        <v>36</v>
      </c>
      <c r="AE50" s="15" t="s">
        <v>36</v>
      </c>
      <c r="AF50" s="14" t="s">
        <v>36</v>
      </c>
      <c r="AG50" s="15" t="s">
        <v>36</v>
      </c>
      <c r="AH50" s="14" t="s">
        <v>36</v>
      </c>
      <c r="AI50" s="15" t="s">
        <v>36</v>
      </c>
      <c r="AJ50" s="14" t="s">
        <v>36</v>
      </c>
      <c r="AK50" s="15" t="s">
        <v>36</v>
      </c>
      <c r="AL50" s="14" t="s">
        <v>36</v>
      </c>
      <c r="AM50" s="15" t="s">
        <v>36</v>
      </c>
      <c r="AN50" s="14" t="s">
        <v>36</v>
      </c>
      <c r="AO50" s="15" t="s">
        <v>36</v>
      </c>
      <c r="AP50" s="14" t="s">
        <v>36</v>
      </c>
      <c r="AQ50" s="15" t="s">
        <v>36</v>
      </c>
      <c r="AR50" s="14" t="s">
        <v>36</v>
      </c>
      <c r="AS50" s="15" t="s">
        <v>36</v>
      </c>
      <c r="AT50" s="14" t="s">
        <v>36</v>
      </c>
      <c r="AU50" s="15" t="s">
        <v>36</v>
      </c>
      <c r="AV50" s="14" t="s">
        <v>36</v>
      </c>
      <c r="AW50" s="15" t="s">
        <v>36</v>
      </c>
    </row>
    <row r="51" spans="1:49" ht="12.75">
      <c r="A51" s="16" t="s">
        <v>62</v>
      </c>
      <c r="B51" s="9">
        <f t="shared" si="33"/>
        <v>0</v>
      </c>
      <c r="C51" s="17">
        <f t="shared" si="33"/>
        <v>399</v>
      </c>
      <c r="D51" s="9">
        <f t="shared" si="33"/>
        <v>150905</v>
      </c>
      <c r="E51" s="17">
        <f t="shared" si="33"/>
        <v>11517</v>
      </c>
      <c r="F51" s="9">
        <f t="shared" si="33"/>
        <v>139388</v>
      </c>
      <c r="G51" s="17">
        <f t="shared" si="33"/>
        <v>18266</v>
      </c>
      <c r="H51" s="9">
        <f t="shared" si="30"/>
        <v>121122</v>
      </c>
      <c r="I51" s="17">
        <f t="shared" si="30"/>
        <v>14938</v>
      </c>
      <c r="J51" s="34">
        <f t="shared" si="30"/>
        <v>106184</v>
      </c>
      <c r="K51" s="17">
        <f t="shared" si="30"/>
        <v>14483</v>
      </c>
      <c r="L51" s="34">
        <f t="shared" si="30"/>
        <v>91701</v>
      </c>
      <c r="M51" s="17">
        <f t="shared" si="30"/>
        <v>14137</v>
      </c>
      <c r="N51" s="34">
        <f t="shared" si="20"/>
        <v>77564</v>
      </c>
      <c r="O51" s="17">
        <f t="shared" si="20"/>
        <v>13797</v>
      </c>
      <c r="P51" s="9">
        <f t="shared" si="20"/>
        <v>63767</v>
      </c>
      <c r="Q51" s="10">
        <f t="shared" si="20"/>
        <v>13445</v>
      </c>
      <c r="R51" s="34">
        <f t="shared" si="24"/>
        <v>50322</v>
      </c>
      <c r="S51" s="17">
        <f t="shared" si="24"/>
        <v>13099</v>
      </c>
      <c r="T51" s="34">
        <f t="shared" si="34"/>
        <v>37223</v>
      </c>
      <c r="U51" s="17">
        <f t="shared" si="34"/>
        <v>12753</v>
      </c>
      <c r="V51" s="34">
        <f aca="true" t="shared" si="35" ref="V51:Y52">V19+V35</f>
        <v>24470</v>
      </c>
      <c r="W51" s="17">
        <f t="shared" si="35"/>
        <v>12409</v>
      </c>
      <c r="X51" s="9">
        <f t="shared" si="35"/>
        <v>12061</v>
      </c>
      <c r="Y51" s="17">
        <f t="shared" si="35"/>
        <v>12061</v>
      </c>
      <c r="Z51" s="14" t="s">
        <v>36</v>
      </c>
      <c r="AA51" s="15" t="s">
        <v>36</v>
      </c>
      <c r="AB51" s="14" t="s">
        <v>36</v>
      </c>
      <c r="AC51" s="15" t="s">
        <v>36</v>
      </c>
      <c r="AD51" s="14" t="s">
        <v>36</v>
      </c>
      <c r="AE51" s="15" t="s">
        <v>36</v>
      </c>
      <c r="AF51" s="14" t="s">
        <v>36</v>
      </c>
      <c r="AG51" s="15" t="s">
        <v>36</v>
      </c>
      <c r="AH51" s="14" t="s">
        <v>36</v>
      </c>
      <c r="AI51" s="15" t="s">
        <v>36</v>
      </c>
      <c r="AJ51" s="14" t="s">
        <v>36</v>
      </c>
      <c r="AK51" s="15" t="s">
        <v>36</v>
      </c>
      <c r="AL51" s="14" t="s">
        <v>36</v>
      </c>
      <c r="AM51" s="15" t="s">
        <v>36</v>
      </c>
      <c r="AN51" s="14" t="s">
        <v>36</v>
      </c>
      <c r="AO51" s="15" t="s">
        <v>36</v>
      </c>
      <c r="AP51" s="14" t="s">
        <v>36</v>
      </c>
      <c r="AQ51" s="15" t="s">
        <v>36</v>
      </c>
      <c r="AR51" s="14" t="s">
        <v>36</v>
      </c>
      <c r="AS51" s="15" t="s">
        <v>36</v>
      </c>
      <c r="AT51" s="14" t="s">
        <v>36</v>
      </c>
      <c r="AU51" s="15" t="s">
        <v>36</v>
      </c>
      <c r="AV51" s="14" t="s">
        <v>36</v>
      </c>
      <c r="AW51" s="15" t="s">
        <v>36</v>
      </c>
    </row>
    <row r="52" spans="1:49" ht="13.5" thickBot="1">
      <c r="A52" s="16" t="s">
        <v>78</v>
      </c>
      <c r="B52" s="9">
        <f t="shared" si="33"/>
        <v>0</v>
      </c>
      <c r="C52" s="17">
        <f t="shared" si="33"/>
        <v>3</v>
      </c>
      <c r="D52" s="9">
        <f t="shared" si="33"/>
        <v>67763</v>
      </c>
      <c r="E52" s="17">
        <f t="shared" si="33"/>
        <v>7774</v>
      </c>
      <c r="F52" s="9">
        <f t="shared" si="33"/>
        <v>234565</v>
      </c>
      <c r="G52" s="17">
        <f t="shared" si="33"/>
        <v>44873</v>
      </c>
      <c r="H52" s="9">
        <f t="shared" si="30"/>
        <v>189692</v>
      </c>
      <c r="I52" s="17">
        <f t="shared" si="30"/>
        <v>12751</v>
      </c>
      <c r="J52" s="34">
        <f t="shared" si="30"/>
        <v>176941</v>
      </c>
      <c r="K52" s="17">
        <f t="shared" si="30"/>
        <v>12349</v>
      </c>
      <c r="L52" s="34">
        <f t="shared" si="30"/>
        <v>164592</v>
      </c>
      <c r="M52" s="17">
        <f t="shared" si="30"/>
        <v>12106</v>
      </c>
      <c r="N52" s="34">
        <f t="shared" si="20"/>
        <v>152486</v>
      </c>
      <c r="O52" s="17">
        <f t="shared" si="20"/>
        <v>11874</v>
      </c>
      <c r="P52" s="9">
        <f t="shared" si="20"/>
        <v>140612</v>
      </c>
      <c r="Q52" s="10">
        <f t="shared" si="20"/>
        <v>11621</v>
      </c>
      <c r="R52" s="34">
        <f t="shared" si="24"/>
        <v>128991</v>
      </c>
      <c r="S52" s="17">
        <f t="shared" si="24"/>
        <v>11378</v>
      </c>
      <c r="T52" s="34">
        <f t="shared" si="34"/>
        <v>117613</v>
      </c>
      <c r="U52" s="18">
        <f t="shared" si="34"/>
        <v>11135</v>
      </c>
      <c r="V52" s="34">
        <f t="shared" si="35"/>
        <v>106478</v>
      </c>
      <c r="W52" s="18">
        <f t="shared" si="35"/>
        <v>10900</v>
      </c>
      <c r="X52" s="34">
        <f t="shared" si="35"/>
        <v>95578</v>
      </c>
      <c r="Y52" s="17">
        <f t="shared" si="35"/>
        <v>10650</v>
      </c>
      <c r="Z52" s="9">
        <f aca="true" t="shared" si="36" ref="Z52:AQ52">Z20+Z36</f>
        <v>84928</v>
      </c>
      <c r="AA52" s="10">
        <f t="shared" si="36"/>
        <v>10407</v>
      </c>
      <c r="AB52" s="9">
        <f t="shared" si="36"/>
        <v>74521</v>
      </c>
      <c r="AC52" s="10">
        <f t="shared" si="36"/>
        <v>10164</v>
      </c>
      <c r="AD52" s="9">
        <f t="shared" si="36"/>
        <v>64357</v>
      </c>
      <c r="AE52" s="10">
        <f t="shared" si="36"/>
        <v>9926</v>
      </c>
      <c r="AF52" s="9">
        <f t="shared" si="36"/>
        <v>54431</v>
      </c>
      <c r="AG52" s="10">
        <f t="shared" si="36"/>
        <v>9678</v>
      </c>
      <c r="AH52" s="9">
        <f t="shared" si="36"/>
        <v>44753</v>
      </c>
      <c r="AI52" s="10">
        <f t="shared" si="36"/>
        <v>9436</v>
      </c>
      <c r="AJ52" s="9">
        <f t="shared" si="36"/>
        <v>35317</v>
      </c>
      <c r="AK52" s="10">
        <f t="shared" si="36"/>
        <v>9193</v>
      </c>
      <c r="AL52" s="9">
        <f t="shared" si="36"/>
        <v>26124</v>
      </c>
      <c r="AM52" s="10">
        <f t="shared" si="36"/>
        <v>8952</v>
      </c>
      <c r="AN52" s="9">
        <f t="shared" si="36"/>
        <v>17172</v>
      </c>
      <c r="AO52" s="10">
        <f t="shared" si="36"/>
        <v>8707</v>
      </c>
      <c r="AP52" s="9">
        <f t="shared" si="36"/>
        <v>8465</v>
      </c>
      <c r="AQ52" s="10">
        <f t="shared" si="36"/>
        <v>8465</v>
      </c>
      <c r="AR52" s="14" t="s">
        <v>36</v>
      </c>
      <c r="AS52" s="15" t="s">
        <v>36</v>
      </c>
      <c r="AT52" s="14" t="s">
        <v>36</v>
      </c>
      <c r="AU52" s="15" t="s">
        <v>36</v>
      </c>
      <c r="AV52" s="14" t="s">
        <v>36</v>
      </c>
      <c r="AW52" s="15" t="s">
        <v>36</v>
      </c>
    </row>
    <row r="53" spans="1:49" ht="13.5" thickTop="1">
      <c r="A53" s="11" t="s">
        <v>45</v>
      </c>
      <c r="B53" s="38">
        <f>SUM(B39:B52)</f>
        <v>1465627</v>
      </c>
      <c r="C53" s="3">
        <f>SUM(C39:C52)</f>
        <v>343356</v>
      </c>
      <c r="D53" s="38">
        <f>D21+D37</f>
        <v>2258008</v>
      </c>
      <c r="E53" s="3">
        <f aca="true" t="shared" si="37" ref="E53:O53">SUM(E39:E52)</f>
        <v>295594</v>
      </c>
      <c r="F53" s="12">
        <f t="shared" si="37"/>
        <v>3077291</v>
      </c>
      <c r="G53" s="3">
        <f t="shared" si="37"/>
        <v>506429</v>
      </c>
      <c r="H53" s="12">
        <f>SUM(H39:H52)</f>
        <v>3649646</v>
      </c>
      <c r="I53" s="3">
        <f>SUM(I39:I52)</f>
        <v>488556</v>
      </c>
      <c r="J53" s="33">
        <f t="shared" si="37"/>
        <v>3817763</v>
      </c>
      <c r="K53" s="3">
        <f t="shared" si="37"/>
        <v>519144</v>
      </c>
      <c r="L53" s="33">
        <f t="shared" si="37"/>
        <v>3428433</v>
      </c>
      <c r="M53" s="3">
        <f t="shared" si="37"/>
        <v>497940</v>
      </c>
      <c r="N53" s="67">
        <f t="shared" si="37"/>
        <v>2930493</v>
      </c>
      <c r="O53" s="3">
        <f t="shared" si="37"/>
        <v>492749</v>
      </c>
      <c r="P53" s="12">
        <f>SUM(P42:P52)</f>
        <v>2437744</v>
      </c>
      <c r="Q53" s="2">
        <f>SUM(Q39:Q52)</f>
        <v>451795</v>
      </c>
      <c r="R53" s="33">
        <f>SUM(R43:R52)</f>
        <v>1985949</v>
      </c>
      <c r="S53" s="3">
        <f aca="true" t="shared" si="38" ref="S53:Y53">SUM(S39:S52)</f>
        <v>405292</v>
      </c>
      <c r="T53" s="33">
        <f t="shared" si="38"/>
        <v>1580657</v>
      </c>
      <c r="U53" s="3">
        <f t="shared" si="38"/>
        <v>309786</v>
      </c>
      <c r="V53" s="33">
        <f t="shared" si="38"/>
        <v>1270871</v>
      </c>
      <c r="W53" s="3">
        <f t="shared" si="38"/>
        <v>290389</v>
      </c>
      <c r="X53" s="33">
        <f t="shared" si="38"/>
        <v>980482</v>
      </c>
      <c r="Y53" s="3">
        <f t="shared" si="38"/>
        <v>215032</v>
      </c>
      <c r="Z53" s="12">
        <f>SUM(Z52)</f>
        <v>84928</v>
      </c>
      <c r="AA53" s="2">
        <f>SUM(AA39:AA52)</f>
        <v>115943</v>
      </c>
      <c r="AB53" s="12">
        <f>SUM(AB52)</f>
        <v>74521</v>
      </c>
      <c r="AC53" s="2">
        <f>SUM(AC39:AC52)</f>
        <v>73139</v>
      </c>
      <c r="AD53" s="12">
        <f>SUM(AD52)</f>
        <v>64357</v>
      </c>
      <c r="AE53" s="2">
        <f>SUM(AE39:AE52)</f>
        <v>71218</v>
      </c>
      <c r="AF53" s="12">
        <f>SUM(AF52)</f>
        <v>54431</v>
      </c>
      <c r="AG53" s="2">
        <f>SUM(AG39:AG52)</f>
        <v>69196</v>
      </c>
      <c r="AH53" s="12">
        <f>SUM(AH52)</f>
        <v>44753</v>
      </c>
      <c r="AI53" s="2">
        <f>SUM(AI39:AI52)</f>
        <v>67226</v>
      </c>
      <c r="AJ53" s="12">
        <f>SUM(AJ52)</f>
        <v>35317</v>
      </c>
      <c r="AK53" s="2">
        <f>SUM(AK39:AK52)</f>
        <v>65253</v>
      </c>
      <c r="AL53" s="12">
        <f>SUM(AL52)</f>
        <v>26124</v>
      </c>
      <c r="AM53" s="2">
        <f>SUM(AM39:AM52)</f>
        <v>63310</v>
      </c>
      <c r="AN53" s="12">
        <f>SUM(AN52)</f>
        <v>17172</v>
      </c>
      <c r="AO53" s="2">
        <f>SUM(AO39:AO52)</f>
        <v>61310</v>
      </c>
      <c r="AP53" s="12">
        <f>SUM(AP52)</f>
        <v>8465</v>
      </c>
      <c r="AQ53" s="2">
        <f aca="true" t="shared" si="39" ref="AQ53:AW53">SUM(AQ39:AQ52)</f>
        <v>59339</v>
      </c>
      <c r="AR53" s="38">
        <f t="shared" si="39"/>
        <v>119516</v>
      </c>
      <c r="AS53" s="3">
        <f t="shared" si="39"/>
        <v>49146</v>
      </c>
      <c r="AT53" s="38">
        <f t="shared" si="39"/>
        <v>70370</v>
      </c>
      <c r="AU53" s="3">
        <f t="shared" si="39"/>
        <v>47424</v>
      </c>
      <c r="AV53" s="38">
        <f t="shared" si="39"/>
        <v>22946</v>
      </c>
      <c r="AW53" s="3">
        <f t="shared" si="39"/>
        <v>22946</v>
      </c>
    </row>
    <row r="54" spans="4:22" s="72" customFormat="1" ht="12">
      <c r="D54" s="417"/>
      <c r="E54" s="418"/>
      <c r="F54" s="74"/>
      <c r="H54" s="74"/>
      <c r="J54" s="74"/>
      <c r="L54" s="74"/>
      <c r="N54" s="74"/>
      <c r="P54" s="74"/>
      <c r="R54" s="74"/>
      <c r="T54" s="74"/>
      <c r="V54" s="74"/>
    </row>
    <row r="55" spans="2:22" s="72" customFormat="1" ht="12">
      <c r="B55" s="72" t="s">
        <v>81</v>
      </c>
      <c r="C55" s="73" t="s">
        <v>93</v>
      </c>
      <c r="I55" s="73" t="s">
        <v>191</v>
      </c>
      <c r="N55" s="75" t="s">
        <v>192</v>
      </c>
      <c r="R55" s="75" t="s">
        <v>193</v>
      </c>
      <c r="V55" s="74"/>
    </row>
    <row r="56" spans="3:22" s="72" customFormat="1" ht="12">
      <c r="C56" s="75" t="s">
        <v>94</v>
      </c>
      <c r="I56" s="72" t="s">
        <v>184</v>
      </c>
      <c r="N56" s="74" t="s">
        <v>179</v>
      </c>
      <c r="R56" s="72" t="s">
        <v>185</v>
      </c>
      <c r="V56" s="74"/>
    </row>
    <row r="57" spans="3:22" s="72" customFormat="1" ht="12">
      <c r="C57" s="75"/>
      <c r="I57" s="75" t="s">
        <v>194</v>
      </c>
      <c r="N57" s="72" t="s">
        <v>88</v>
      </c>
      <c r="R57" s="418" t="s">
        <v>186</v>
      </c>
      <c r="V57" s="74"/>
    </row>
    <row r="58" spans="3:22" s="72" customFormat="1" ht="12">
      <c r="C58" s="75" t="s">
        <v>131</v>
      </c>
      <c r="N58" s="74" t="s">
        <v>180</v>
      </c>
      <c r="R58" s="418" t="s">
        <v>209</v>
      </c>
      <c r="V58" s="74"/>
    </row>
    <row r="59" spans="3:22" s="72" customFormat="1" ht="12">
      <c r="C59" s="72" t="s">
        <v>88</v>
      </c>
      <c r="I59" s="75" t="s">
        <v>195</v>
      </c>
      <c r="N59" s="72" t="s">
        <v>181</v>
      </c>
      <c r="V59" s="74"/>
    </row>
    <row r="60" spans="9:22" s="72" customFormat="1" ht="12">
      <c r="I60" s="72" t="s">
        <v>174</v>
      </c>
      <c r="N60" s="74" t="s">
        <v>182</v>
      </c>
      <c r="R60" s="75" t="s">
        <v>205</v>
      </c>
      <c r="V60" s="74"/>
    </row>
    <row r="61" spans="9:22" s="72" customFormat="1" ht="12">
      <c r="I61" s="418" t="s">
        <v>175</v>
      </c>
      <c r="N61" s="417" t="s">
        <v>183</v>
      </c>
      <c r="R61" s="72" t="s">
        <v>206</v>
      </c>
      <c r="V61" s="74"/>
    </row>
    <row r="62" spans="9:22" s="72" customFormat="1" ht="12">
      <c r="I62" s="418" t="s">
        <v>176</v>
      </c>
      <c r="V62" s="74"/>
    </row>
    <row r="63" spans="4:22" s="72" customFormat="1" ht="12">
      <c r="D63" s="417"/>
      <c r="E63" s="418"/>
      <c r="F63" s="74"/>
      <c r="I63" s="418" t="s">
        <v>177</v>
      </c>
      <c r="J63" s="74"/>
      <c r="L63" s="74"/>
      <c r="N63" s="74"/>
      <c r="P63" s="74"/>
      <c r="R63" s="75" t="s">
        <v>207</v>
      </c>
      <c r="T63" s="74"/>
      <c r="V63" s="74"/>
    </row>
    <row r="64" spans="4:22" s="72" customFormat="1" ht="12">
      <c r="D64" s="417"/>
      <c r="E64" s="418"/>
      <c r="F64" s="74"/>
      <c r="I64" s="418" t="s">
        <v>178</v>
      </c>
      <c r="J64" s="74"/>
      <c r="L64" s="74"/>
      <c r="N64" s="74"/>
      <c r="P64" s="74"/>
      <c r="R64" s="72" t="s">
        <v>190</v>
      </c>
      <c r="T64" s="74"/>
      <c r="V64" s="74"/>
    </row>
    <row r="65" spans="4:22" s="72" customFormat="1" ht="12">
      <c r="D65" s="417"/>
      <c r="E65" s="418"/>
      <c r="F65" s="418"/>
      <c r="G65" s="418"/>
      <c r="J65" s="74"/>
      <c r="L65" s="74"/>
      <c r="N65" s="74"/>
      <c r="P65" s="74"/>
      <c r="R65" s="74"/>
      <c r="T65" s="74"/>
      <c r="V65" s="74"/>
    </row>
    <row r="66" spans="6:12" ht="12.75">
      <c r="F66"/>
      <c r="G66"/>
      <c r="H66"/>
      <c r="I66" s="20"/>
      <c r="J66"/>
      <c r="K66"/>
      <c r="L66"/>
    </row>
    <row r="67" spans="6:12" ht="12.75">
      <c r="F67"/>
      <c r="G67"/>
      <c r="H67"/>
      <c r="I67" s="20"/>
      <c r="J67"/>
      <c r="K67"/>
      <c r="L67"/>
    </row>
    <row r="68" spans="6:21" ht="12.75">
      <c r="F68"/>
      <c r="G68"/>
      <c r="I68" s="392"/>
      <c r="J68" s="392"/>
      <c r="K68" s="393"/>
      <c r="M68" s="51"/>
      <c r="N68" s="51"/>
      <c r="O68" s="51"/>
      <c r="P68" s="394"/>
      <c r="Q68" s="51"/>
      <c r="R68" s="394"/>
      <c r="S68" s="51"/>
      <c r="T68" s="394"/>
      <c r="U68" s="51"/>
    </row>
    <row r="69" spans="6:21" ht="12.75">
      <c r="F69"/>
      <c r="G69"/>
      <c r="I69" s="392"/>
      <c r="J69" s="393"/>
      <c r="K69" s="394"/>
      <c r="L69" s="51"/>
      <c r="M69" s="51"/>
      <c r="N69" s="51"/>
      <c r="O69" s="51"/>
      <c r="P69" s="394"/>
      <c r="Q69" s="51"/>
      <c r="R69" s="394"/>
      <c r="S69" s="51"/>
      <c r="T69" s="394"/>
      <c r="U69" s="51"/>
    </row>
    <row r="70" spans="9:21" ht="12.75">
      <c r="I70" s="392"/>
      <c r="J70" s="393"/>
      <c r="K70" s="394"/>
      <c r="M70" s="51"/>
      <c r="N70" s="51"/>
      <c r="O70" s="51"/>
      <c r="P70" s="394"/>
      <c r="R70" s="394"/>
      <c r="S70" s="51"/>
      <c r="T70" s="394"/>
      <c r="U70" s="51"/>
    </row>
    <row r="71" spans="9:21" ht="12.75">
      <c r="I71" s="394"/>
      <c r="J71" s="51"/>
      <c r="K71" s="394"/>
      <c r="M71" s="51"/>
      <c r="N71" s="51"/>
      <c r="O71" s="51"/>
      <c r="P71" s="394"/>
      <c r="R71" s="394"/>
      <c r="S71" s="51"/>
      <c r="T71" s="394"/>
      <c r="U71" s="51"/>
    </row>
    <row r="72" spans="9:21" ht="12.75">
      <c r="I72" s="392"/>
      <c r="J72" s="393"/>
      <c r="K72" s="394"/>
      <c r="M72" s="51"/>
      <c r="N72" s="51"/>
      <c r="O72" s="51"/>
      <c r="P72" s="394"/>
      <c r="R72" s="394"/>
      <c r="S72" s="393"/>
      <c r="T72" s="393"/>
      <c r="U72" s="393"/>
    </row>
    <row r="73" spans="9:21" ht="12.75">
      <c r="I73" s="392"/>
      <c r="J73" s="393"/>
      <c r="K73" s="394"/>
      <c r="M73" s="51"/>
      <c r="N73" s="51"/>
      <c r="O73" s="51"/>
      <c r="P73" s="394"/>
      <c r="R73" s="394"/>
      <c r="S73" s="393"/>
      <c r="T73" s="393"/>
      <c r="U73" s="393"/>
    </row>
    <row r="74" spans="9:21" ht="12.75"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392"/>
      <c r="T74" s="393"/>
      <c r="U74" s="392"/>
    </row>
    <row r="75" spans="9:21" ht="12.75">
      <c r="I75" s="392"/>
      <c r="J75" s="393"/>
      <c r="K75" s="394"/>
      <c r="M75" s="51"/>
      <c r="N75" s="51"/>
      <c r="O75" s="51"/>
      <c r="P75" s="394"/>
      <c r="R75" s="394"/>
      <c r="S75" s="51"/>
      <c r="T75" s="394"/>
      <c r="U75" s="51"/>
    </row>
    <row r="76" spans="9:21" ht="12.75">
      <c r="I76" s="394"/>
      <c r="J76" s="51"/>
      <c r="K76" s="394"/>
      <c r="L76" s="51"/>
      <c r="M76" s="51"/>
      <c r="N76" s="51"/>
      <c r="O76" s="51"/>
      <c r="P76" s="394"/>
      <c r="Q76" s="51"/>
      <c r="R76" s="394"/>
      <c r="S76" s="51"/>
      <c r="T76" s="394"/>
      <c r="U76" s="51"/>
    </row>
    <row r="77" spans="9:21" ht="12.75">
      <c r="I77" s="393"/>
      <c r="J77" s="395"/>
      <c r="K77" s="393"/>
      <c r="L77" s="393"/>
      <c r="M77" s="393"/>
      <c r="N77" s="51"/>
      <c r="O77" s="51"/>
      <c r="P77" s="394"/>
      <c r="Q77" s="51"/>
      <c r="R77" s="394"/>
      <c r="S77" s="51"/>
      <c r="T77" s="394"/>
      <c r="U77" s="51"/>
    </row>
    <row r="78" spans="8:21" ht="12.75">
      <c r="H78" s="393"/>
      <c r="I78" s="395"/>
      <c r="J78" s="393"/>
      <c r="K78" s="393"/>
      <c r="L78" s="393"/>
      <c r="M78" s="51"/>
      <c r="N78" s="394"/>
      <c r="O78" s="51"/>
      <c r="P78" s="394"/>
      <c r="Q78" s="51"/>
      <c r="R78" s="394"/>
      <c r="S78" s="51"/>
      <c r="T78" s="394"/>
      <c r="U78" s="51"/>
    </row>
  </sheetData>
  <mergeCells count="25">
    <mergeCell ref="S1:Z1"/>
    <mergeCell ref="AR3:AS3"/>
    <mergeCell ref="AT3:AU3"/>
    <mergeCell ref="AV3:AW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P3:AQ3"/>
    <mergeCell ref="AH3:AI3"/>
    <mergeCell ref="AJ3:AK3"/>
    <mergeCell ref="AL3:AM3"/>
    <mergeCell ref="AN3:AO3"/>
  </mergeCells>
  <printOptions horizontalCentered="1"/>
  <pageMargins left="0.2755905511811024" right="0.5905511811023623" top="0.3937007874015748" bottom="0.15748031496062992" header="0.1968503937007874" footer="0"/>
  <pageSetup blackAndWhite="1" horizontalDpi="300" verticalDpi="300" orientation="landscape" paperSize="9" scale="70" r:id="rId1"/>
  <headerFooter alignWithMargins="0">
    <oddHeader>&amp;C&amp;"Times New Roman CE,Félkövér"&amp;14Kimutatás az önkormányzat fejlesztési célú adósságszolgálatának alakulásáról &amp;R9. számú melléklet
(ezer Ft-ban)</oddHeader>
    <oddFooter>&amp;LNyomtatás dátuma: &amp;D
C:\Andi\adósságszolgálat\&amp;F\&amp;A&amp;R&amp;P/&amp;N</oddFooter>
  </headerFooter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1">
      <pane ySplit="6" topLeftCell="BM6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1.375" style="81" bestFit="1" customWidth="1"/>
    <col min="2" max="2" width="6.50390625" style="81" customWidth="1"/>
    <col min="3" max="3" width="12.125" style="147" customWidth="1"/>
    <col min="4" max="4" width="12.875" style="147" bestFit="1" customWidth="1"/>
    <col min="5" max="5" width="9.00390625" style="81" customWidth="1"/>
    <col min="6" max="7" width="11.625" style="81" bestFit="1" customWidth="1"/>
    <col min="8" max="8" width="12.625" style="81" bestFit="1" customWidth="1"/>
    <col min="9" max="9" width="12.50390625" style="81" customWidth="1"/>
    <col min="10" max="10" width="9.375" style="81" customWidth="1"/>
    <col min="11" max="11" width="10.125" style="81" bestFit="1" customWidth="1"/>
    <col min="12" max="16384" width="9.375" style="81" customWidth="1"/>
  </cols>
  <sheetData>
    <row r="1" spans="1:9" ht="12.75">
      <c r="A1" s="267" t="s">
        <v>97</v>
      </c>
      <c r="B1" s="188"/>
      <c r="C1" s="189"/>
      <c r="D1" s="189"/>
      <c r="F1" s="189"/>
      <c r="G1" s="189"/>
      <c r="H1" s="189"/>
      <c r="I1" s="189"/>
    </row>
    <row r="2" spans="1:9" ht="12.75">
      <c r="A2" s="161" t="s">
        <v>0</v>
      </c>
      <c r="B2" s="159"/>
      <c r="C2" s="158"/>
      <c r="D2" s="158"/>
      <c r="E2" s="158"/>
      <c r="F2" s="158"/>
      <c r="G2" s="158"/>
      <c r="H2" s="158"/>
      <c r="I2" s="158"/>
    </row>
    <row r="3" spans="1:9" ht="12.75">
      <c r="A3" s="160" t="s">
        <v>72</v>
      </c>
      <c r="B3" s="159"/>
      <c r="C3" s="158"/>
      <c r="D3" s="158"/>
      <c r="E3" s="158"/>
      <c r="F3" s="158"/>
      <c r="G3" s="158"/>
      <c r="H3" s="158"/>
      <c r="I3" s="159" t="s">
        <v>2</v>
      </c>
    </row>
    <row r="4" spans="1:9" ht="12.75">
      <c r="A4" s="89" t="s">
        <v>3</v>
      </c>
      <c r="B4" s="90" t="s">
        <v>4</v>
      </c>
      <c r="C4" s="91" t="s">
        <v>5</v>
      </c>
      <c r="D4" s="91" t="s">
        <v>21</v>
      </c>
      <c r="E4" s="91" t="s">
        <v>18</v>
      </c>
      <c r="F4" s="92" t="s">
        <v>20</v>
      </c>
      <c r="G4" s="93" t="s">
        <v>6</v>
      </c>
      <c r="H4" s="93" t="s">
        <v>6</v>
      </c>
      <c r="I4" s="94" t="s">
        <v>6</v>
      </c>
    </row>
    <row r="5" spans="1:9" ht="12.75">
      <c r="A5" s="95"/>
      <c r="B5" s="96" t="s">
        <v>7</v>
      </c>
      <c r="C5" s="97" t="s">
        <v>8</v>
      </c>
      <c r="D5" s="97" t="s">
        <v>13</v>
      </c>
      <c r="E5" s="97" t="s">
        <v>19</v>
      </c>
      <c r="F5" s="98" t="s">
        <v>13</v>
      </c>
      <c r="G5" s="99" t="s">
        <v>9</v>
      </c>
      <c r="H5" s="99" t="s">
        <v>11</v>
      </c>
      <c r="I5" s="100" t="s">
        <v>10</v>
      </c>
    </row>
    <row r="6" spans="1:9" ht="12.75">
      <c r="A6" s="101"/>
      <c r="B6" s="102"/>
      <c r="C6" s="103"/>
      <c r="D6" s="103"/>
      <c r="E6" s="103"/>
      <c r="F6" s="104"/>
      <c r="G6" s="104"/>
      <c r="H6" s="105" t="s">
        <v>13</v>
      </c>
      <c r="I6" s="106" t="s">
        <v>12</v>
      </c>
    </row>
    <row r="7" spans="1:9" ht="12.75">
      <c r="A7" s="126">
        <v>36526</v>
      </c>
      <c r="B7" s="268"/>
      <c r="C7" s="165">
        <v>200000000</v>
      </c>
      <c r="D7" s="165"/>
      <c r="E7" s="76"/>
      <c r="F7" s="165"/>
      <c r="G7" s="166"/>
      <c r="H7" s="166"/>
      <c r="I7" s="167"/>
    </row>
    <row r="8" spans="1:9" ht="12.75">
      <c r="A8" s="107">
        <v>36556</v>
      </c>
      <c r="B8" s="163">
        <f aca="true" t="shared" si="0" ref="B8:B43">A8-A7</f>
        <v>30</v>
      </c>
      <c r="C8" s="164">
        <f aca="true" t="shared" si="1" ref="C8:C42">C7-D8</f>
        <v>195000000</v>
      </c>
      <c r="D8" s="164">
        <v>5000000</v>
      </c>
      <c r="E8" s="76"/>
      <c r="F8" s="164"/>
      <c r="G8" s="174"/>
      <c r="H8" s="174"/>
      <c r="I8" s="175"/>
    </row>
    <row r="9" spans="1:9" ht="12.75">
      <c r="A9" s="107">
        <v>36584</v>
      </c>
      <c r="B9" s="163">
        <f t="shared" si="0"/>
        <v>28</v>
      </c>
      <c r="C9" s="164">
        <f t="shared" si="1"/>
        <v>190000000</v>
      </c>
      <c r="D9" s="164">
        <v>5000000</v>
      </c>
      <c r="E9" s="76"/>
      <c r="F9" s="164"/>
      <c r="G9" s="174"/>
      <c r="H9" s="174"/>
      <c r="I9" s="175"/>
    </row>
    <row r="10" spans="1:9" ht="12.75">
      <c r="A10" s="107">
        <v>36616</v>
      </c>
      <c r="B10" s="163">
        <f t="shared" si="0"/>
        <v>32</v>
      </c>
      <c r="C10" s="164">
        <f t="shared" si="1"/>
        <v>190000000</v>
      </c>
      <c r="D10" s="164"/>
      <c r="E10" s="76">
        <v>0.1362</v>
      </c>
      <c r="F10" s="164">
        <f>((C8+D8)*E10/365*B8)+((C9+D9)*E10/365*B9)+(C10*E10/365*B10)</f>
        <v>6545063.013698629</v>
      </c>
      <c r="G10" s="174"/>
      <c r="H10" s="174"/>
      <c r="I10" s="175"/>
    </row>
    <row r="11" spans="1:9" ht="12.75">
      <c r="A11" s="107">
        <v>36646</v>
      </c>
      <c r="B11" s="163">
        <f t="shared" si="0"/>
        <v>30</v>
      </c>
      <c r="C11" s="164">
        <f t="shared" si="1"/>
        <v>185000000</v>
      </c>
      <c r="D11" s="164">
        <v>5000000</v>
      </c>
      <c r="E11" s="76"/>
      <c r="F11" s="164"/>
      <c r="G11" s="174"/>
      <c r="H11" s="174"/>
      <c r="I11" s="175"/>
    </row>
    <row r="12" spans="1:9" ht="12.75">
      <c r="A12" s="107">
        <v>36677</v>
      </c>
      <c r="B12" s="163">
        <f t="shared" si="0"/>
        <v>31</v>
      </c>
      <c r="C12" s="164">
        <f t="shared" si="1"/>
        <v>180000000</v>
      </c>
      <c r="D12" s="164">
        <v>5000000</v>
      </c>
      <c r="E12" s="76"/>
      <c r="F12" s="164"/>
      <c r="G12" s="174"/>
      <c r="H12" s="174"/>
      <c r="I12" s="175"/>
    </row>
    <row r="13" spans="1:9" ht="12.75">
      <c r="A13" s="107">
        <v>36707</v>
      </c>
      <c r="B13" s="163">
        <f t="shared" si="0"/>
        <v>30</v>
      </c>
      <c r="C13" s="164">
        <f t="shared" si="1"/>
        <v>180000000</v>
      </c>
      <c r="D13" s="164"/>
      <c r="E13" s="76">
        <v>0.1105</v>
      </c>
      <c r="F13" s="164">
        <f>((C11+D11)*E13/365*B11)+((C12+D12)*E13/365*B12)+(C13*E13/365*B13)</f>
        <v>5096623.287671233</v>
      </c>
      <c r="G13" s="174"/>
      <c r="H13" s="174"/>
      <c r="I13" s="175"/>
    </row>
    <row r="14" spans="1:9" ht="12.75">
      <c r="A14" s="107">
        <v>36738</v>
      </c>
      <c r="B14" s="163">
        <f t="shared" si="0"/>
        <v>31</v>
      </c>
      <c r="C14" s="164">
        <f t="shared" si="1"/>
        <v>175000000</v>
      </c>
      <c r="D14" s="164">
        <v>5000000</v>
      </c>
      <c r="E14" s="76"/>
      <c r="F14" s="164"/>
      <c r="G14" s="174"/>
      <c r="H14" s="174"/>
      <c r="I14" s="175"/>
    </row>
    <row r="15" spans="1:9" ht="12.75">
      <c r="A15" s="107">
        <v>36769</v>
      </c>
      <c r="B15" s="163">
        <f t="shared" si="0"/>
        <v>31</v>
      </c>
      <c r="C15" s="164">
        <f t="shared" si="1"/>
        <v>170000000</v>
      </c>
      <c r="D15" s="164">
        <v>5000000</v>
      </c>
      <c r="E15" s="76"/>
      <c r="F15" s="164"/>
      <c r="G15" s="174"/>
      <c r="H15" s="174"/>
      <c r="I15" s="175"/>
    </row>
    <row r="16" spans="1:9" ht="12.75">
      <c r="A16" s="107">
        <v>36799</v>
      </c>
      <c r="B16" s="163">
        <f t="shared" si="0"/>
        <v>30</v>
      </c>
      <c r="C16" s="164">
        <f t="shared" si="1"/>
        <v>170000000</v>
      </c>
      <c r="D16" s="164"/>
      <c r="E16" s="76">
        <v>0.1116</v>
      </c>
      <c r="F16" s="164">
        <f>((C14+D14)*E16/365*B14)+((C15+D15)*E16/365*B15)+(C16*E16/365*B16)</f>
        <v>4924158.904109589</v>
      </c>
      <c r="G16" s="174"/>
      <c r="H16" s="174"/>
      <c r="I16" s="175"/>
    </row>
    <row r="17" spans="1:9" ht="12.75">
      <c r="A17" s="107">
        <v>36830</v>
      </c>
      <c r="B17" s="163">
        <f t="shared" si="0"/>
        <v>31</v>
      </c>
      <c r="C17" s="164">
        <f t="shared" si="1"/>
        <v>165000000</v>
      </c>
      <c r="D17" s="164">
        <v>5000000</v>
      </c>
      <c r="E17" s="76"/>
      <c r="F17" s="164"/>
      <c r="G17" s="174"/>
      <c r="H17" s="174"/>
      <c r="I17" s="175"/>
    </row>
    <row r="18" spans="1:9" ht="12.75">
      <c r="A18" s="107">
        <v>36860</v>
      </c>
      <c r="B18" s="163">
        <f t="shared" si="0"/>
        <v>30</v>
      </c>
      <c r="C18" s="164">
        <f t="shared" si="1"/>
        <v>160000000</v>
      </c>
      <c r="D18" s="164">
        <v>5000000</v>
      </c>
      <c r="E18" s="76"/>
      <c r="F18" s="164"/>
      <c r="G18" s="174"/>
      <c r="H18" s="174"/>
      <c r="I18" s="175"/>
    </row>
    <row r="19" spans="1:9" ht="12.75">
      <c r="A19" s="168">
        <v>36891</v>
      </c>
      <c r="B19" s="269">
        <f t="shared" si="0"/>
        <v>31</v>
      </c>
      <c r="C19" s="169">
        <f t="shared" si="1"/>
        <v>160000000</v>
      </c>
      <c r="D19" s="169"/>
      <c r="E19" s="123">
        <f>E16</f>
        <v>0.1116</v>
      </c>
      <c r="F19" s="170">
        <f>((C17+D17)*E19/365*B17)+((C18+D18)*E19/365*B18)+(C19*E19/365*B19)</f>
        <v>4641336.98630137</v>
      </c>
      <c r="G19" s="176">
        <f>SUM(F10:F19)</f>
        <v>21207182.19178082</v>
      </c>
      <c r="H19" s="176">
        <f>SUM(D8:D19)</f>
        <v>40000000</v>
      </c>
      <c r="I19" s="177">
        <f>SUM(G19:H19)</f>
        <v>61207182.19178082</v>
      </c>
    </row>
    <row r="20" spans="1:9" ht="12.75">
      <c r="A20" s="107">
        <v>36922</v>
      </c>
      <c r="B20" s="163">
        <f t="shared" si="0"/>
        <v>31</v>
      </c>
      <c r="C20" s="164">
        <f t="shared" si="1"/>
        <v>155000000</v>
      </c>
      <c r="D20" s="164">
        <v>5000000</v>
      </c>
      <c r="E20" s="76"/>
      <c r="F20" s="164"/>
      <c r="G20" s="174"/>
      <c r="H20" s="174"/>
      <c r="I20" s="175"/>
    </row>
    <row r="21" spans="1:9" ht="12.75">
      <c r="A21" s="107">
        <v>36950</v>
      </c>
      <c r="B21" s="163">
        <f t="shared" si="0"/>
        <v>28</v>
      </c>
      <c r="C21" s="164">
        <f t="shared" si="1"/>
        <v>150000000</v>
      </c>
      <c r="D21" s="164">
        <v>5000000</v>
      </c>
      <c r="E21" s="76"/>
      <c r="F21" s="164"/>
      <c r="G21" s="174"/>
      <c r="H21" s="174"/>
      <c r="I21" s="175"/>
    </row>
    <row r="22" spans="1:9" ht="12.75">
      <c r="A22" s="113">
        <v>36981</v>
      </c>
      <c r="B22" s="270">
        <f t="shared" si="0"/>
        <v>31</v>
      </c>
      <c r="C22" s="180">
        <f t="shared" si="1"/>
        <v>150000000</v>
      </c>
      <c r="D22" s="180"/>
      <c r="E22" s="76">
        <f>F22/(((C20+D20)*B20)+((C21+D21)*B21)+(C22*B22))*365</f>
        <v>0.12508128745519714</v>
      </c>
      <c r="F22" s="164">
        <v>4780504</v>
      </c>
      <c r="G22" s="181"/>
      <c r="H22" s="181"/>
      <c r="I22" s="182"/>
    </row>
    <row r="23" spans="1:9" ht="12.75">
      <c r="A23" s="113">
        <v>37011</v>
      </c>
      <c r="B23" s="270">
        <f t="shared" si="0"/>
        <v>30</v>
      </c>
      <c r="C23" s="180">
        <f t="shared" si="1"/>
        <v>145000000</v>
      </c>
      <c r="D23" s="180">
        <v>5000000</v>
      </c>
      <c r="E23" s="76"/>
      <c r="F23" s="180"/>
      <c r="G23" s="181"/>
      <c r="H23" s="181"/>
      <c r="I23" s="182"/>
    </row>
    <row r="24" spans="1:9" ht="12.75">
      <c r="A24" s="107">
        <v>37042</v>
      </c>
      <c r="B24" s="163">
        <f t="shared" si="0"/>
        <v>31</v>
      </c>
      <c r="C24" s="164">
        <f t="shared" si="1"/>
        <v>140000000</v>
      </c>
      <c r="D24" s="164">
        <v>5000000</v>
      </c>
      <c r="E24" s="76"/>
      <c r="F24" s="164"/>
      <c r="G24" s="174"/>
      <c r="H24" s="174"/>
      <c r="I24" s="175"/>
    </row>
    <row r="25" spans="1:9" ht="12.75">
      <c r="A25" s="113">
        <v>37072</v>
      </c>
      <c r="B25" s="270">
        <f t="shared" si="0"/>
        <v>30</v>
      </c>
      <c r="C25" s="180">
        <f t="shared" si="1"/>
        <v>140000000</v>
      </c>
      <c r="D25" s="180"/>
      <c r="E25" s="76">
        <f>F25/(((C23+D23)*B23)+((C24+D24)*B24)+(C25*B25))*365</f>
        <v>0.12392879992421371</v>
      </c>
      <c r="F25" s="164">
        <v>4480111</v>
      </c>
      <c r="G25" s="181"/>
      <c r="H25" s="181"/>
      <c r="I25" s="182"/>
    </row>
    <row r="26" spans="1:9" ht="12.75">
      <c r="A26" s="113">
        <v>37103</v>
      </c>
      <c r="B26" s="270">
        <f t="shared" si="0"/>
        <v>31</v>
      </c>
      <c r="C26" s="180">
        <f t="shared" si="1"/>
        <v>135000000</v>
      </c>
      <c r="D26" s="180">
        <v>5000000</v>
      </c>
      <c r="E26" s="271"/>
      <c r="F26" s="180"/>
      <c r="G26" s="181"/>
      <c r="H26" s="181"/>
      <c r="I26" s="182"/>
    </row>
    <row r="27" spans="1:9" ht="12.75">
      <c r="A27" s="107">
        <v>37134</v>
      </c>
      <c r="B27" s="163">
        <f t="shared" si="0"/>
        <v>31</v>
      </c>
      <c r="C27" s="164">
        <f t="shared" si="1"/>
        <v>130000000</v>
      </c>
      <c r="D27" s="164">
        <v>5000000</v>
      </c>
      <c r="E27" s="76"/>
      <c r="F27" s="164"/>
      <c r="G27" s="174"/>
      <c r="H27" s="174"/>
      <c r="I27" s="175"/>
    </row>
    <row r="28" spans="1:9" ht="12.75">
      <c r="A28" s="107">
        <v>37164</v>
      </c>
      <c r="B28" s="163">
        <f t="shared" si="0"/>
        <v>30</v>
      </c>
      <c r="C28" s="164">
        <f t="shared" si="1"/>
        <v>130000000</v>
      </c>
      <c r="D28" s="164"/>
      <c r="E28" s="76">
        <f>F28/(((C26+D26)*B26)+((C27+D27)*B27)+(C28*B28))*365</f>
        <v>0.11154079798792757</v>
      </c>
      <c r="F28" s="164">
        <v>3796971</v>
      </c>
      <c r="G28" s="174"/>
      <c r="H28" s="174"/>
      <c r="I28" s="175"/>
    </row>
    <row r="29" spans="1:9" ht="12.75">
      <c r="A29" s="107">
        <v>37195</v>
      </c>
      <c r="B29" s="163">
        <f t="shared" si="0"/>
        <v>31</v>
      </c>
      <c r="C29" s="164">
        <f t="shared" si="1"/>
        <v>125000000</v>
      </c>
      <c r="D29" s="164">
        <v>5000000</v>
      </c>
      <c r="E29" s="76"/>
      <c r="F29" s="164"/>
      <c r="G29" s="174"/>
      <c r="H29" s="174"/>
      <c r="I29" s="175"/>
    </row>
    <row r="30" spans="1:9" ht="12.75">
      <c r="A30" s="107">
        <v>37225</v>
      </c>
      <c r="B30" s="163">
        <f t="shared" si="0"/>
        <v>30</v>
      </c>
      <c r="C30" s="164">
        <f t="shared" si="1"/>
        <v>120000000</v>
      </c>
      <c r="D30" s="164">
        <v>5000000</v>
      </c>
      <c r="E30" s="76"/>
      <c r="F30" s="164"/>
      <c r="G30" s="174"/>
      <c r="H30" s="174"/>
      <c r="I30" s="175"/>
    </row>
    <row r="31" spans="1:9" ht="12.75">
      <c r="A31" s="168">
        <v>37253</v>
      </c>
      <c r="B31" s="269">
        <f t="shared" si="0"/>
        <v>28</v>
      </c>
      <c r="C31" s="169">
        <f t="shared" si="1"/>
        <v>120000000</v>
      </c>
      <c r="D31" s="169"/>
      <c r="E31" s="123">
        <f>F31/(((C29+D29)*B29)+((C30+D30)*B30)+(C31*B31))*365</f>
        <v>0.1163699618491921</v>
      </c>
      <c r="F31" s="170">
        <v>3551675</v>
      </c>
      <c r="G31" s="176">
        <f>SUM(F22:F31)</f>
        <v>16609261</v>
      </c>
      <c r="H31" s="176">
        <f>SUM(D20:D31)</f>
        <v>40000000</v>
      </c>
      <c r="I31" s="177">
        <f>SUM(G31:H31)</f>
        <v>56609261</v>
      </c>
    </row>
    <row r="32" spans="1:9" ht="12.75">
      <c r="A32" s="107">
        <v>37287</v>
      </c>
      <c r="B32" s="163">
        <f t="shared" si="0"/>
        <v>34</v>
      </c>
      <c r="C32" s="164">
        <f t="shared" si="1"/>
        <v>115000000</v>
      </c>
      <c r="D32" s="164">
        <v>5000000</v>
      </c>
      <c r="E32" s="76"/>
      <c r="F32" s="164"/>
      <c r="G32" s="174"/>
      <c r="H32" s="174"/>
      <c r="I32" s="175"/>
    </row>
    <row r="33" spans="1:9" ht="12.75">
      <c r="A33" s="107">
        <v>37315</v>
      </c>
      <c r="B33" s="163">
        <f t="shared" si="0"/>
        <v>28</v>
      </c>
      <c r="C33" s="164">
        <f t="shared" si="1"/>
        <v>110000000</v>
      </c>
      <c r="D33" s="164">
        <v>5000000</v>
      </c>
      <c r="E33" s="76"/>
      <c r="F33" s="164"/>
      <c r="G33" s="174"/>
      <c r="H33" s="174"/>
      <c r="I33" s="175"/>
    </row>
    <row r="34" spans="1:9" ht="12.75">
      <c r="A34" s="107">
        <v>37344</v>
      </c>
      <c r="B34" s="163">
        <f t="shared" si="0"/>
        <v>29</v>
      </c>
      <c r="C34" s="164">
        <f t="shared" si="1"/>
        <v>110000000</v>
      </c>
      <c r="D34" s="164"/>
      <c r="E34" s="76">
        <f>F34/(((C32+D32)*B32)+((C33+D33)*B33)+(C34*B34))*365</f>
        <v>0.09974106911344137</v>
      </c>
      <c r="F34" s="164">
        <v>2866531</v>
      </c>
      <c r="G34" s="174"/>
      <c r="H34" s="174"/>
      <c r="I34" s="175"/>
    </row>
    <row r="35" spans="1:9" ht="12.75">
      <c r="A35" s="107">
        <v>37376</v>
      </c>
      <c r="B35" s="163">
        <f t="shared" si="0"/>
        <v>32</v>
      </c>
      <c r="C35" s="164">
        <f t="shared" si="1"/>
        <v>105000000</v>
      </c>
      <c r="D35" s="164">
        <v>5000000</v>
      </c>
      <c r="E35" s="76"/>
      <c r="F35" s="164"/>
      <c r="G35" s="174"/>
      <c r="H35" s="174"/>
      <c r="I35" s="175"/>
    </row>
    <row r="36" spans="1:9" ht="12.75">
      <c r="A36" s="107">
        <v>37407</v>
      </c>
      <c r="B36" s="163">
        <f t="shared" si="0"/>
        <v>31</v>
      </c>
      <c r="C36" s="164">
        <f t="shared" si="1"/>
        <v>100000000</v>
      </c>
      <c r="D36" s="164">
        <v>5000000</v>
      </c>
      <c r="E36" s="76"/>
      <c r="F36" s="164"/>
      <c r="G36" s="174"/>
      <c r="H36" s="174"/>
      <c r="I36" s="175"/>
    </row>
    <row r="37" spans="1:9" ht="12.75">
      <c r="A37" s="107">
        <v>37437</v>
      </c>
      <c r="B37" s="163">
        <f t="shared" si="0"/>
        <v>30</v>
      </c>
      <c r="C37" s="164">
        <f t="shared" si="1"/>
        <v>100000000</v>
      </c>
      <c r="D37" s="164"/>
      <c r="E37" s="76">
        <v>0.086</v>
      </c>
      <c r="F37" s="164">
        <v>2315568</v>
      </c>
      <c r="G37" s="174"/>
      <c r="H37" s="174"/>
      <c r="I37" s="175"/>
    </row>
    <row r="38" spans="1:9" ht="12.75">
      <c r="A38" s="107">
        <v>37468</v>
      </c>
      <c r="B38" s="163">
        <f t="shared" si="0"/>
        <v>31</v>
      </c>
      <c r="C38" s="164">
        <f t="shared" si="1"/>
        <v>95000000</v>
      </c>
      <c r="D38" s="164">
        <v>5000000</v>
      </c>
      <c r="E38" s="76"/>
      <c r="F38" s="164"/>
      <c r="G38" s="174"/>
      <c r="H38" s="174"/>
      <c r="I38" s="175"/>
    </row>
    <row r="39" spans="1:9" ht="12.75">
      <c r="A39" s="107">
        <v>37499</v>
      </c>
      <c r="B39" s="163">
        <f t="shared" si="0"/>
        <v>31</v>
      </c>
      <c r="C39" s="164">
        <f t="shared" si="1"/>
        <v>90000000</v>
      </c>
      <c r="D39" s="164">
        <v>5000000</v>
      </c>
      <c r="E39" s="76"/>
      <c r="F39" s="164"/>
      <c r="G39" s="174"/>
      <c r="H39" s="174"/>
      <c r="I39" s="175"/>
    </row>
    <row r="40" spans="1:9" ht="12.75">
      <c r="A40" s="107">
        <v>37529</v>
      </c>
      <c r="B40" s="163">
        <f t="shared" si="0"/>
        <v>30</v>
      </c>
      <c r="C40" s="164">
        <f t="shared" si="1"/>
        <v>90000000</v>
      </c>
      <c r="D40" s="164"/>
      <c r="E40" s="76">
        <v>0.0931</v>
      </c>
      <c r="F40" s="164">
        <v>2309946</v>
      </c>
      <c r="G40" s="174"/>
      <c r="H40" s="174"/>
      <c r="I40" s="175"/>
    </row>
    <row r="41" spans="1:9" ht="12.75">
      <c r="A41" s="107">
        <v>37560</v>
      </c>
      <c r="B41" s="163">
        <f t="shared" si="0"/>
        <v>31</v>
      </c>
      <c r="C41" s="164">
        <f t="shared" si="1"/>
        <v>85000000</v>
      </c>
      <c r="D41" s="164">
        <v>5000000</v>
      </c>
      <c r="E41" s="76"/>
      <c r="F41" s="164"/>
      <c r="G41" s="174"/>
      <c r="H41" s="174"/>
      <c r="I41" s="175"/>
    </row>
    <row r="42" spans="1:9" ht="12.75">
      <c r="A42" s="107">
        <v>37590</v>
      </c>
      <c r="B42" s="163">
        <f t="shared" si="0"/>
        <v>30</v>
      </c>
      <c r="C42" s="164">
        <f t="shared" si="1"/>
        <v>80000000</v>
      </c>
      <c r="D42" s="164">
        <v>5000000</v>
      </c>
      <c r="E42" s="76"/>
      <c r="F42" s="164"/>
      <c r="G42" s="174"/>
      <c r="H42" s="174"/>
      <c r="I42" s="175"/>
    </row>
    <row r="43" spans="1:9" ht="12.75">
      <c r="A43" s="120">
        <v>37621</v>
      </c>
      <c r="B43" s="272">
        <f t="shared" si="0"/>
        <v>31</v>
      </c>
      <c r="C43" s="273">
        <v>80000000</v>
      </c>
      <c r="D43" s="122"/>
      <c r="E43" s="214">
        <v>0.099</v>
      </c>
      <c r="F43" s="122">
        <v>2151775</v>
      </c>
      <c r="G43" s="124">
        <f>SUM(F34:F43)</f>
        <v>9643820</v>
      </c>
      <c r="H43" s="171">
        <f>SUM(D32:D43)</f>
        <v>40000000</v>
      </c>
      <c r="I43" s="172">
        <f>SUM(G43:H43)</f>
        <v>49643820</v>
      </c>
    </row>
    <row r="44" spans="1:9" ht="12.75">
      <c r="A44" s="107">
        <v>37652</v>
      </c>
      <c r="B44" s="108">
        <v>31</v>
      </c>
      <c r="C44" s="109">
        <f aca="true" t="shared" si="2" ref="C44:C108">C43-D44</f>
        <v>78720000</v>
      </c>
      <c r="D44" s="109">
        <v>1280000</v>
      </c>
      <c r="E44" s="108"/>
      <c r="F44" s="108"/>
      <c r="G44" s="108"/>
      <c r="H44" s="108"/>
      <c r="I44" s="274"/>
    </row>
    <row r="45" spans="1:9" ht="12.75">
      <c r="A45" s="113">
        <v>37680</v>
      </c>
      <c r="B45" s="114">
        <f aca="true" t="shared" si="3" ref="B45:B108">A45-A44</f>
        <v>28</v>
      </c>
      <c r="C45" s="55">
        <f t="shared" si="2"/>
        <v>77080000</v>
      </c>
      <c r="D45" s="55">
        <v>1640000</v>
      </c>
      <c r="E45" s="114"/>
      <c r="F45" s="114"/>
      <c r="G45" s="114"/>
      <c r="H45" s="114"/>
      <c r="I45" s="265"/>
    </row>
    <row r="46" spans="1:9" ht="12.75">
      <c r="A46" s="113">
        <v>37711</v>
      </c>
      <c r="B46" s="114">
        <f t="shared" si="3"/>
        <v>31</v>
      </c>
      <c r="C46" s="55">
        <f t="shared" si="2"/>
        <v>77080000</v>
      </c>
      <c r="D46" s="55"/>
      <c r="E46" s="115">
        <v>0.0857</v>
      </c>
      <c r="F46" s="55">
        <v>1686875</v>
      </c>
      <c r="G46" s="114"/>
      <c r="H46" s="114"/>
      <c r="I46" s="265"/>
    </row>
    <row r="47" spans="1:9" ht="12.75">
      <c r="A47" s="113">
        <v>37741</v>
      </c>
      <c r="B47" s="114">
        <f t="shared" si="3"/>
        <v>30</v>
      </c>
      <c r="C47" s="55">
        <f t="shared" si="2"/>
        <v>75440000</v>
      </c>
      <c r="D47" s="55">
        <v>1640000</v>
      </c>
      <c r="E47" s="114"/>
      <c r="F47" s="114"/>
      <c r="G47" s="114"/>
      <c r="H47" s="114"/>
      <c r="I47" s="265"/>
    </row>
    <row r="48" spans="1:9" ht="12.75">
      <c r="A48" s="113">
        <v>37772</v>
      </c>
      <c r="B48" s="114">
        <f t="shared" si="3"/>
        <v>31</v>
      </c>
      <c r="C48" s="55">
        <f t="shared" si="2"/>
        <v>73800000</v>
      </c>
      <c r="D48" s="55">
        <v>1640000</v>
      </c>
      <c r="E48" s="114"/>
      <c r="F48" s="114"/>
      <c r="G48" s="114"/>
      <c r="H48" s="114"/>
      <c r="I48" s="265"/>
    </row>
    <row r="49" spans="1:9" ht="12.75">
      <c r="A49" s="113">
        <v>37802</v>
      </c>
      <c r="B49" s="114">
        <f t="shared" si="3"/>
        <v>30</v>
      </c>
      <c r="C49" s="55">
        <f t="shared" si="2"/>
        <v>73800000</v>
      </c>
      <c r="D49" s="55"/>
      <c r="E49" s="115">
        <v>0.0674</v>
      </c>
      <c r="F49" s="55">
        <v>1289820</v>
      </c>
      <c r="G49" s="114"/>
      <c r="H49" s="114"/>
      <c r="I49" s="265"/>
    </row>
    <row r="50" spans="1:9" ht="12.75">
      <c r="A50" s="113">
        <v>37833</v>
      </c>
      <c r="B50" s="114">
        <f t="shared" si="3"/>
        <v>31</v>
      </c>
      <c r="C50" s="55">
        <f t="shared" si="2"/>
        <v>72160000</v>
      </c>
      <c r="D50" s="55">
        <v>1640000</v>
      </c>
      <c r="E50" s="114"/>
      <c r="F50" s="114"/>
      <c r="G50" s="114"/>
      <c r="H50" s="114"/>
      <c r="I50" s="265"/>
    </row>
    <row r="51" spans="1:9" ht="12.75">
      <c r="A51" s="113">
        <v>37864</v>
      </c>
      <c r="B51" s="114">
        <f t="shared" si="3"/>
        <v>31</v>
      </c>
      <c r="C51" s="55">
        <f t="shared" si="2"/>
        <v>70520000</v>
      </c>
      <c r="D51" s="55">
        <v>1640000</v>
      </c>
      <c r="E51" s="114"/>
      <c r="F51" s="114"/>
      <c r="G51" s="114"/>
      <c r="H51" s="114"/>
      <c r="I51" s="265"/>
    </row>
    <row r="52" spans="1:9" ht="12.75">
      <c r="A52" s="113">
        <v>37894</v>
      </c>
      <c r="B52" s="114">
        <f t="shared" si="3"/>
        <v>30</v>
      </c>
      <c r="C52" s="55">
        <f t="shared" si="2"/>
        <v>70520000</v>
      </c>
      <c r="D52" s="55"/>
      <c r="E52" s="115">
        <v>0.0851</v>
      </c>
      <c r="F52" s="55">
        <v>1566466</v>
      </c>
      <c r="G52" s="114"/>
      <c r="H52" s="114"/>
      <c r="I52" s="265"/>
    </row>
    <row r="53" spans="1:9" ht="12.75">
      <c r="A53" s="113">
        <v>37925</v>
      </c>
      <c r="B53" s="114">
        <f t="shared" si="3"/>
        <v>31</v>
      </c>
      <c r="C53" s="55">
        <f t="shared" si="2"/>
        <v>68880000</v>
      </c>
      <c r="D53" s="55">
        <v>1640000</v>
      </c>
      <c r="E53" s="114"/>
      <c r="F53" s="114"/>
      <c r="G53" s="114"/>
      <c r="H53" s="114"/>
      <c r="I53" s="265"/>
    </row>
    <row r="54" spans="1:11" ht="12.75">
      <c r="A54" s="113">
        <v>37955</v>
      </c>
      <c r="B54" s="114">
        <f t="shared" si="3"/>
        <v>30</v>
      </c>
      <c r="C54" s="55">
        <f t="shared" si="2"/>
        <v>67240000</v>
      </c>
      <c r="D54" s="55">
        <v>1640000</v>
      </c>
      <c r="E54" s="114"/>
      <c r="F54" s="114"/>
      <c r="G54" s="114"/>
      <c r="H54" s="114"/>
      <c r="I54" s="265"/>
      <c r="K54" s="147"/>
    </row>
    <row r="55" spans="1:9" ht="12.75">
      <c r="A55" s="120">
        <v>37986</v>
      </c>
      <c r="B55" s="121">
        <f t="shared" si="3"/>
        <v>31</v>
      </c>
      <c r="C55" s="122">
        <f t="shared" si="2"/>
        <v>67240000</v>
      </c>
      <c r="D55" s="122"/>
      <c r="E55" s="123">
        <v>0.0955</v>
      </c>
      <c r="F55" s="122">
        <v>1679017</v>
      </c>
      <c r="G55" s="124">
        <f>SUM(F46:F55)</f>
        <v>6222178</v>
      </c>
      <c r="H55" s="124">
        <f>SUM(D44:D55)</f>
        <v>12760000</v>
      </c>
      <c r="I55" s="125">
        <f>SUM(G55:H55)</f>
        <v>18982178</v>
      </c>
    </row>
    <row r="56" spans="1:9" ht="12.75">
      <c r="A56" s="107">
        <v>38017</v>
      </c>
      <c r="B56" s="108">
        <f t="shared" si="3"/>
        <v>31</v>
      </c>
      <c r="C56" s="109">
        <f t="shared" si="2"/>
        <v>65600000</v>
      </c>
      <c r="D56" s="55">
        <v>1640000</v>
      </c>
      <c r="E56" s="108"/>
      <c r="F56" s="108"/>
      <c r="G56" s="108"/>
      <c r="H56" s="108"/>
      <c r="I56" s="274"/>
    </row>
    <row r="57" spans="1:9" ht="12.75">
      <c r="A57" s="113">
        <v>38045</v>
      </c>
      <c r="B57" s="114">
        <f t="shared" si="3"/>
        <v>28</v>
      </c>
      <c r="C57" s="55">
        <f t="shared" si="2"/>
        <v>63960000</v>
      </c>
      <c r="D57" s="55">
        <v>1640000</v>
      </c>
      <c r="E57" s="114"/>
      <c r="F57" s="114"/>
      <c r="G57" s="114"/>
      <c r="H57" s="114"/>
      <c r="I57" s="265"/>
    </row>
    <row r="58" spans="1:11" ht="12.75">
      <c r="A58" s="113">
        <v>38077</v>
      </c>
      <c r="B58" s="114">
        <f t="shared" si="3"/>
        <v>32</v>
      </c>
      <c r="C58" s="55">
        <f t="shared" si="2"/>
        <v>63960000</v>
      </c>
      <c r="D58" s="55"/>
      <c r="E58" s="115">
        <v>0.1222</v>
      </c>
      <c r="F58" s="55">
        <v>2020804</v>
      </c>
      <c r="G58" s="114"/>
      <c r="H58" s="114"/>
      <c r="I58" s="265"/>
      <c r="K58" s="147"/>
    </row>
    <row r="59" spans="1:9" ht="12.75">
      <c r="A59" s="113">
        <v>38107</v>
      </c>
      <c r="B59" s="114">
        <f t="shared" si="3"/>
        <v>30</v>
      </c>
      <c r="C59" s="55">
        <f t="shared" si="2"/>
        <v>62320000</v>
      </c>
      <c r="D59" s="55">
        <v>1640000</v>
      </c>
      <c r="E59" s="114"/>
      <c r="F59" s="114"/>
      <c r="G59" s="114"/>
      <c r="H59" s="114"/>
      <c r="I59" s="265"/>
    </row>
    <row r="60" spans="1:9" ht="12.75">
      <c r="A60" s="113">
        <v>38138</v>
      </c>
      <c r="B60" s="114">
        <f t="shared" si="3"/>
        <v>31</v>
      </c>
      <c r="C60" s="55">
        <f t="shared" si="2"/>
        <v>60680000</v>
      </c>
      <c r="D60" s="55">
        <v>1640000</v>
      </c>
      <c r="E60" s="114"/>
      <c r="F60" s="114"/>
      <c r="G60" s="114"/>
      <c r="H60" s="114"/>
      <c r="I60" s="265"/>
    </row>
    <row r="61" spans="1:11" ht="12.75">
      <c r="A61" s="113">
        <v>38168</v>
      </c>
      <c r="B61" s="114">
        <f t="shared" si="3"/>
        <v>30</v>
      </c>
      <c r="C61" s="55">
        <f t="shared" si="2"/>
        <v>60680000</v>
      </c>
      <c r="D61" s="55"/>
      <c r="E61" s="115">
        <f>E58</f>
        <v>0.1222</v>
      </c>
      <c r="F61" s="275">
        <v>1925587</v>
      </c>
      <c r="G61" s="114"/>
      <c r="H61" s="114"/>
      <c r="I61" s="265"/>
      <c r="K61" s="147"/>
    </row>
    <row r="62" spans="1:9" ht="12.75">
      <c r="A62" s="113">
        <v>38199</v>
      </c>
      <c r="B62" s="114">
        <f t="shared" si="3"/>
        <v>31</v>
      </c>
      <c r="C62" s="55">
        <f t="shared" si="2"/>
        <v>59040000</v>
      </c>
      <c r="D62" s="55">
        <v>1640000</v>
      </c>
      <c r="E62" s="114"/>
      <c r="F62" s="114"/>
      <c r="G62" s="114"/>
      <c r="H62" s="114"/>
      <c r="I62" s="265"/>
    </row>
    <row r="63" spans="1:9" ht="12.75">
      <c r="A63" s="113">
        <v>38230</v>
      </c>
      <c r="B63" s="114">
        <f t="shared" si="3"/>
        <v>31</v>
      </c>
      <c r="C63" s="55">
        <f t="shared" si="2"/>
        <v>57400000</v>
      </c>
      <c r="D63" s="55">
        <v>1640000</v>
      </c>
      <c r="E63" s="114"/>
      <c r="F63" s="114"/>
      <c r="G63" s="114"/>
      <c r="H63" s="114"/>
      <c r="I63" s="265"/>
    </row>
    <row r="64" spans="1:9" ht="12.75">
      <c r="A64" s="113">
        <v>38260</v>
      </c>
      <c r="B64" s="114">
        <f t="shared" si="3"/>
        <v>30</v>
      </c>
      <c r="C64" s="55">
        <f t="shared" si="2"/>
        <v>57400000</v>
      </c>
      <c r="D64" s="55"/>
      <c r="E64" s="115">
        <v>0.1177</v>
      </c>
      <c r="F64" s="55">
        <v>1778225</v>
      </c>
      <c r="G64" s="114"/>
      <c r="H64" s="114"/>
      <c r="I64" s="265"/>
    </row>
    <row r="65" spans="1:9" ht="12.75">
      <c r="A65" s="113">
        <v>38291</v>
      </c>
      <c r="B65" s="114">
        <f t="shared" si="3"/>
        <v>31</v>
      </c>
      <c r="C65" s="55">
        <f t="shared" si="2"/>
        <v>55760000</v>
      </c>
      <c r="D65" s="55">
        <v>1640000</v>
      </c>
      <c r="E65" s="114"/>
      <c r="F65" s="114"/>
      <c r="G65" s="114"/>
      <c r="H65" s="114"/>
      <c r="I65" s="265"/>
    </row>
    <row r="66" spans="1:9" ht="12.75">
      <c r="A66" s="113">
        <v>38321</v>
      </c>
      <c r="B66" s="114">
        <f t="shared" si="3"/>
        <v>30</v>
      </c>
      <c r="C66" s="55">
        <f t="shared" si="2"/>
        <v>54120000</v>
      </c>
      <c r="D66" s="55">
        <v>1640000</v>
      </c>
      <c r="E66" s="114"/>
      <c r="F66" s="114"/>
      <c r="G66" s="114"/>
      <c r="H66" s="114"/>
      <c r="I66" s="265"/>
    </row>
    <row r="67" spans="1:9" ht="12.75">
      <c r="A67" s="120">
        <v>38352</v>
      </c>
      <c r="B67" s="121">
        <f t="shared" si="3"/>
        <v>31</v>
      </c>
      <c r="C67" s="122">
        <f t="shared" si="2"/>
        <v>54120000</v>
      </c>
      <c r="D67" s="122"/>
      <c r="E67" s="123">
        <v>0.112</v>
      </c>
      <c r="F67" s="122">
        <v>1597904</v>
      </c>
      <c r="G67" s="124">
        <f>SUM(F58:F67)</f>
        <v>7322520</v>
      </c>
      <c r="H67" s="124">
        <f>SUM(D56:D67)</f>
        <v>13120000</v>
      </c>
      <c r="I67" s="125">
        <f>SUM(G67:H67)</f>
        <v>20442520</v>
      </c>
    </row>
    <row r="68" spans="1:9" ht="12.75">
      <c r="A68" s="107">
        <v>38383</v>
      </c>
      <c r="B68" s="108">
        <f t="shared" si="3"/>
        <v>31</v>
      </c>
      <c r="C68" s="109">
        <f t="shared" si="2"/>
        <v>52480000</v>
      </c>
      <c r="D68" s="55">
        <v>1640000</v>
      </c>
      <c r="E68" s="108"/>
      <c r="F68" s="108"/>
      <c r="G68" s="108"/>
      <c r="H68" s="108"/>
      <c r="I68" s="274"/>
    </row>
    <row r="69" spans="1:9" ht="12.75">
      <c r="A69" s="113">
        <v>38411</v>
      </c>
      <c r="B69" s="114">
        <f t="shared" si="3"/>
        <v>28</v>
      </c>
      <c r="C69" s="55">
        <f t="shared" si="2"/>
        <v>50840000</v>
      </c>
      <c r="D69" s="55">
        <v>1640000</v>
      </c>
      <c r="E69" s="114"/>
      <c r="F69" s="114"/>
      <c r="G69" s="114"/>
      <c r="H69" s="114"/>
      <c r="I69" s="265"/>
    </row>
    <row r="70" spans="1:9" ht="12.75">
      <c r="A70" s="113">
        <v>38442</v>
      </c>
      <c r="B70" s="114">
        <f t="shared" si="3"/>
        <v>31</v>
      </c>
      <c r="C70" s="55">
        <f t="shared" si="2"/>
        <v>50840000</v>
      </c>
      <c r="D70" s="55"/>
      <c r="E70" s="115">
        <v>0.0956</v>
      </c>
      <c r="F70" s="55">
        <v>1256737</v>
      </c>
      <c r="G70" s="114"/>
      <c r="H70" s="114"/>
      <c r="I70" s="265"/>
    </row>
    <row r="71" spans="1:9" ht="12.75">
      <c r="A71" s="113">
        <v>38474</v>
      </c>
      <c r="B71" s="114">
        <f t="shared" si="3"/>
        <v>32</v>
      </c>
      <c r="C71" s="55">
        <f t="shared" si="2"/>
        <v>49200000</v>
      </c>
      <c r="D71" s="55">
        <v>1640000</v>
      </c>
      <c r="E71" s="114"/>
      <c r="F71" s="114"/>
      <c r="G71" s="114"/>
      <c r="H71" s="114"/>
      <c r="I71" s="265"/>
    </row>
    <row r="72" spans="1:9" ht="12.75">
      <c r="A72" s="113">
        <v>38503</v>
      </c>
      <c r="B72" s="114">
        <f t="shared" si="3"/>
        <v>29</v>
      </c>
      <c r="C72" s="55">
        <f t="shared" si="2"/>
        <v>47560000</v>
      </c>
      <c r="D72" s="55">
        <v>1640000</v>
      </c>
      <c r="E72" s="114"/>
      <c r="F72" s="114"/>
      <c r="G72" s="114"/>
      <c r="H72" s="114"/>
      <c r="I72" s="265"/>
    </row>
    <row r="73" spans="1:9" ht="12.75">
      <c r="A73" s="113">
        <v>38533</v>
      </c>
      <c r="B73" s="114">
        <f t="shared" si="3"/>
        <v>30</v>
      </c>
      <c r="C73" s="55">
        <f t="shared" si="2"/>
        <v>47560000</v>
      </c>
      <c r="D73" s="55"/>
      <c r="E73" s="115">
        <v>0.0794</v>
      </c>
      <c r="F73" s="55">
        <v>990483</v>
      </c>
      <c r="G73" s="114"/>
      <c r="H73" s="114"/>
      <c r="I73" s="265"/>
    </row>
    <row r="74" spans="1:9" ht="12.75">
      <c r="A74" s="113">
        <v>38564</v>
      </c>
      <c r="B74" s="114">
        <f t="shared" si="3"/>
        <v>31</v>
      </c>
      <c r="C74" s="55">
        <f t="shared" si="2"/>
        <v>45920000</v>
      </c>
      <c r="D74" s="55">
        <v>1640000</v>
      </c>
      <c r="E74" s="114"/>
      <c r="F74" s="114"/>
      <c r="G74" s="114"/>
      <c r="H74" s="114"/>
      <c r="I74" s="265"/>
    </row>
    <row r="75" spans="1:9" ht="12.75">
      <c r="A75" s="113">
        <v>38595</v>
      </c>
      <c r="B75" s="114">
        <f t="shared" si="3"/>
        <v>31</v>
      </c>
      <c r="C75" s="55">
        <f t="shared" si="2"/>
        <v>44280000</v>
      </c>
      <c r="D75" s="55">
        <v>1640000</v>
      </c>
      <c r="E75" s="114"/>
      <c r="F75" s="114"/>
      <c r="G75" s="114"/>
      <c r="H75" s="114"/>
      <c r="I75" s="265"/>
    </row>
    <row r="76" spans="1:9" ht="12.75">
      <c r="A76" s="113">
        <v>38625</v>
      </c>
      <c r="B76" s="114">
        <f t="shared" si="3"/>
        <v>30</v>
      </c>
      <c r="C76" s="55">
        <f t="shared" si="2"/>
        <v>44280000</v>
      </c>
      <c r="D76" s="55"/>
      <c r="E76" s="115">
        <v>0.0712</v>
      </c>
      <c r="F76" s="55">
        <v>837272</v>
      </c>
      <c r="G76" s="114"/>
      <c r="H76" s="114"/>
      <c r="I76" s="265"/>
    </row>
    <row r="77" spans="1:9" ht="12.75">
      <c r="A77" s="113">
        <v>38656</v>
      </c>
      <c r="B77" s="114">
        <f t="shared" si="3"/>
        <v>31</v>
      </c>
      <c r="C77" s="55">
        <f t="shared" si="2"/>
        <v>42640000</v>
      </c>
      <c r="D77" s="55">
        <v>1640000</v>
      </c>
      <c r="E77" s="114"/>
      <c r="F77" s="114"/>
      <c r="G77" s="114"/>
      <c r="H77" s="114"/>
      <c r="I77" s="265"/>
    </row>
    <row r="78" spans="1:9" ht="12.75">
      <c r="A78" s="113">
        <v>38686</v>
      </c>
      <c r="B78" s="114">
        <f t="shared" si="3"/>
        <v>30</v>
      </c>
      <c r="C78" s="55">
        <f t="shared" si="2"/>
        <v>41000000</v>
      </c>
      <c r="D78" s="55">
        <v>1640000</v>
      </c>
      <c r="E78" s="114"/>
      <c r="F78" s="114"/>
      <c r="G78" s="114"/>
      <c r="H78" s="114"/>
      <c r="I78" s="265"/>
    </row>
    <row r="79" spans="1:9" ht="12.75">
      <c r="A79" s="120">
        <v>38717</v>
      </c>
      <c r="B79" s="121">
        <f t="shared" si="3"/>
        <v>31</v>
      </c>
      <c r="C79" s="122">
        <f t="shared" si="2"/>
        <v>41000000</v>
      </c>
      <c r="D79" s="122"/>
      <c r="E79" s="123">
        <v>0.062</v>
      </c>
      <c r="F79" s="122">
        <f>((C77+D77)*E79/360*B77)+((C78+D78)*E79/360*B78)+(C79*E79/360*B79)</f>
        <v>675607.111111111</v>
      </c>
      <c r="G79" s="124">
        <f>SUM(F70:F79)</f>
        <v>3760099.111111111</v>
      </c>
      <c r="H79" s="124">
        <f>SUM(D68:D79)</f>
        <v>13120000</v>
      </c>
      <c r="I79" s="125">
        <f>SUM(G79:H79)</f>
        <v>16880099.111111112</v>
      </c>
    </row>
    <row r="80" spans="1:9" ht="12.75">
      <c r="A80" s="107">
        <v>38748</v>
      </c>
      <c r="B80" s="108">
        <f t="shared" si="3"/>
        <v>31</v>
      </c>
      <c r="C80" s="109">
        <f t="shared" si="2"/>
        <v>39360000</v>
      </c>
      <c r="D80" s="55">
        <v>1640000</v>
      </c>
      <c r="E80" s="108"/>
      <c r="F80" s="108"/>
      <c r="G80" s="108"/>
      <c r="H80" s="108"/>
      <c r="I80" s="274"/>
    </row>
    <row r="81" spans="1:9" ht="12.75">
      <c r="A81" s="113">
        <v>38776</v>
      </c>
      <c r="B81" s="114">
        <f t="shared" si="3"/>
        <v>28</v>
      </c>
      <c r="C81" s="55">
        <f t="shared" si="2"/>
        <v>37720000</v>
      </c>
      <c r="D81" s="55">
        <v>1640000</v>
      </c>
      <c r="E81" s="114"/>
      <c r="F81" s="114"/>
      <c r="G81" s="114"/>
      <c r="H81" s="114"/>
      <c r="I81" s="265"/>
    </row>
    <row r="82" spans="1:9" ht="12.75">
      <c r="A82" s="113">
        <v>38807</v>
      </c>
      <c r="B82" s="114">
        <f t="shared" si="3"/>
        <v>31</v>
      </c>
      <c r="C82" s="55">
        <f t="shared" si="2"/>
        <v>37720000</v>
      </c>
      <c r="D82" s="55"/>
      <c r="E82" s="115">
        <f>E79</f>
        <v>0.062</v>
      </c>
      <c r="F82" s="55">
        <f>((C80+D80)*E82/360*B80)+((C81+D81)*E82/360*B81)+(C82*E82/360*B82)</f>
        <v>610080</v>
      </c>
      <c r="G82" s="114"/>
      <c r="H82" s="114"/>
      <c r="I82" s="265"/>
    </row>
    <row r="83" spans="1:9" ht="12.75">
      <c r="A83" s="113">
        <v>38837</v>
      </c>
      <c r="B83" s="114">
        <f t="shared" si="3"/>
        <v>30</v>
      </c>
      <c r="C83" s="55">
        <f t="shared" si="2"/>
        <v>36080000</v>
      </c>
      <c r="D83" s="55">
        <v>1640000</v>
      </c>
      <c r="E83" s="114"/>
      <c r="F83" s="114"/>
      <c r="G83" s="114"/>
      <c r="H83" s="114"/>
      <c r="I83" s="265"/>
    </row>
    <row r="84" spans="1:9" ht="12.75">
      <c r="A84" s="113">
        <v>38868</v>
      </c>
      <c r="B84" s="114">
        <f t="shared" si="3"/>
        <v>31</v>
      </c>
      <c r="C84" s="55">
        <f t="shared" si="2"/>
        <v>34440000</v>
      </c>
      <c r="D84" s="55">
        <v>1640000</v>
      </c>
      <c r="E84" s="114"/>
      <c r="F84" s="114"/>
      <c r="G84" s="114"/>
      <c r="H84" s="114"/>
      <c r="I84" s="265"/>
    </row>
    <row r="85" spans="1:9" ht="12.75">
      <c r="A85" s="113">
        <v>38898</v>
      </c>
      <c r="B85" s="114">
        <f t="shared" si="3"/>
        <v>30</v>
      </c>
      <c r="C85" s="55">
        <f t="shared" si="2"/>
        <v>34440000</v>
      </c>
      <c r="D85" s="55"/>
      <c r="E85" s="115">
        <f>E82</f>
        <v>0.062</v>
      </c>
      <c r="F85" s="55">
        <f>((C83+D83)*E85/360*B83)+((C84+D84)*E85/360*B84)+(C85*E85/360*B85)</f>
        <v>565453.7777777778</v>
      </c>
      <c r="G85" s="114"/>
      <c r="H85" s="114"/>
      <c r="I85" s="265"/>
    </row>
    <row r="86" spans="1:9" ht="12.75">
      <c r="A86" s="113">
        <v>38929</v>
      </c>
      <c r="B86" s="114">
        <f t="shared" si="3"/>
        <v>31</v>
      </c>
      <c r="C86" s="55">
        <f t="shared" si="2"/>
        <v>32800000</v>
      </c>
      <c r="D86" s="55">
        <v>1640000</v>
      </c>
      <c r="E86" s="114"/>
      <c r="F86" s="114"/>
      <c r="G86" s="114"/>
      <c r="H86" s="114"/>
      <c r="I86" s="265"/>
    </row>
    <row r="87" spans="1:9" ht="12.75">
      <c r="A87" s="113">
        <v>38960</v>
      </c>
      <c r="B87" s="114">
        <f t="shared" si="3"/>
        <v>31</v>
      </c>
      <c r="C87" s="55">
        <f t="shared" si="2"/>
        <v>31160000</v>
      </c>
      <c r="D87" s="55">
        <v>1640000</v>
      </c>
      <c r="E87" s="114"/>
      <c r="F87" s="114"/>
      <c r="G87" s="114"/>
      <c r="H87" s="114"/>
      <c r="I87" s="265"/>
    </row>
    <row r="88" spans="1:9" ht="12.75">
      <c r="A88" s="113">
        <v>38990</v>
      </c>
      <c r="B88" s="114">
        <f t="shared" si="3"/>
        <v>30</v>
      </c>
      <c r="C88" s="55">
        <f t="shared" si="2"/>
        <v>31160000</v>
      </c>
      <c r="D88" s="55"/>
      <c r="E88" s="115">
        <f>E85</f>
        <v>0.062</v>
      </c>
      <c r="F88" s="55">
        <f>((C86+D86)*E88/360*B86)+((C87+D87)*E88/360*B87)+(C88*E88/360*B88)</f>
        <v>519980.22222222225</v>
      </c>
      <c r="G88" s="114"/>
      <c r="H88" s="114"/>
      <c r="I88" s="265"/>
    </row>
    <row r="89" spans="1:9" ht="12.75">
      <c r="A89" s="113">
        <v>39021</v>
      </c>
      <c r="B89" s="114">
        <f t="shared" si="3"/>
        <v>31</v>
      </c>
      <c r="C89" s="55">
        <f t="shared" si="2"/>
        <v>29520000</v>
      </c>
      <c r="D89" s="55">
        <v>1640000</v>
      </c>
      <c r="E89" s="114"/>
      <c r="F89" s="114"/>
      <c r="G89" s="114"/>
      <c r="H89" s="114"/>
      <c r="I89" s="265"/>
    </row>
    <row r="90" spans="1:12" ht="12.75">
      <c r="A90" s="113">
        <v>39051</v>
      </c>
      <c r="B90" s="114">
        <f t="shared" si="3"/>
        <v>30</v>
      </c>
      <c r="C90" s="55">
        <f t="shared" si="2"/>
        <v>27880000</v>
      </c>
      <c r="D90" s="55">
        <v>1640000</v>
      </c>
      <c r="E90" s="114"/>
      <c r="F90" s="114"/>
      <c r="G90" s="114"/>
      <c r="H90" s="114"/>
      <c r="I90" s="265"/>
      <c r="J90" s="79"/>
      <c r="K90" s="79"/>
      <c r="L90" s="79"/>
    </row>
    <row r="91" spans="1:12" ht="12.75">
      <c r="A91" s="120">
        <v>39082</v>
      </c>
      <c r="B91" s="121">
        <f t="shared" si="3"/>
        <v>31</v>
      </c>
      <c r="C91" s="122">
        <f t="shared" si="2"/>
        <v>27880000</v>
      </c>
      <c r="D91" s="122"/>
      <c r="E91" s="123">
        <f>E88</f>
        <v>0.062</v>
      </c>
      <c r="F91" s="122">
        <f>((C89+D89)*E91/360*B89)+((C90+D90)*E91/360*B90)+(C91*E91/360*B91)</f>
        <v>467728</v>
      </c>
      <c r="G91" s="124">
        <f>SUM(F82:F91)</f>
        <v>2163242</v>
      </c>
      <c r="H91" s="124">
        <f>SUM(D80:D91)</f>
        <v>13120000</v>
      </c>
      <c r="I91" s="125">
        <f>SUM(G91:H91)</f>
        <v>15283242</v>
      </c>
      <c r="J91" s="79"/>
      <c r="K91" s="79"/>
      <c r="L91" s="79"/>
    </row>
    <row r="92" spans="1:12" ht="12.75">
      <c r="A92" s="107">
        <v>39113</v>
      </c>
      <c r="B92" s="108">
        <f t="shared" si="3"/>
        <v>31</v>
      </c>
      <c r="C92" s="109">
        <f t="shared" si="2"/>
        <v>26240000</v>
      </c>
      <c r="D92" s="55">
        <v>1640000</v>
      </c>
      <c r="E92" s="108"/>
      <c r="F92" s="108"/>
      <c r="G92" s="108"/>
      <c r="H92" s="108"/>
      <c r="I92" s="274"/>
      <c r="J92" s="79"/>
      <c r="K92" s="79"/>
      <c r="L92" s="79"/>
    </row>
    <row r="93" spans="1:12" ht="12.75">
      <c r="A93" s="113">
        <v>39141</v>
      </c>
      <c r="B93" s="114">
        <f t="shared" si="3"/>
        <v>28</v>
      </c>
      <c r="C93" s="55">
        <f t="shared" si="2"/>
        <v>24600000</v>
      </c>
      <c r="D93" s="55">
        <v>1640000</v>
      </c>
      <c r="E93" s="114"/>
      <c r="F93" s="114"/>
      <c r="G93" s="114"/>
      <c r="H93" s="114"/>
      <c r="I93" s="265"/>
      <c r="J93" s="79"/>
      <c r="K93" s="79"/>
      <c r="L93" s="79"/>
    </row>
    <row r="94" spans="1:12" ht="12.75">
      <c r="A94" s="113">
        <v>39172</v>
      </c>
      <c r="B94" s="114">
        <f t="shared" si="3"/>
        <v>31</v>
      </c>
      <c r="C94" s="55">
        <f t="shared" si="2"/>
        <v>24600000</v>
      </c>
      <c r="D94" s="55"/>
      <c r="E94" s="115">
        <f>E91</f>
        <v>0.062</v>
      </c>
      <c r="F94" s="55">
        <f>((C92+D92)*E94/360*B92)+((C93+D93)*E94/360*B93)+(C94*E94/360*B94)</f>
        <v>406720.00000000006</v>
      </c>
      <c r="G94" s="114"/>
      <c r="H94" s="114"/>
      <c r="I94" s="265"/>
      <c r="J94" s="79"/>
      <c r="K94" s="79"/>
      <c r="L94" s="79"/>
    </row>
    <row r="95" spans="1:9" ht="12.75">
      <c r="A95" s="113">
        <v>39202</v>
      </c>
      <c r="B95" s="114">
        <f t="shared" si="3"/>
        <v>30</v>
      </c>
      <c r="C95" s="55">
        <f t="shared" si="2"/>
        <v>22960000</v>
      </c>
      <c r="D95" s="55">
        <v>1640000</v>
      </c>
      <c r="E95" s="114"/>
      <c r="F95" s="114"/>
      <c r="G95" s="114"/>
      <c r="H95" s="114"/>
      <c r="I95" s="265"/>
    </row>
    <row r="96" spans="1:9" ht="12.75">
      <c r="A96" s="113">
        <v>39233</v>
      </c>
      <c r="B96" s="114">
        <f t="shared" si="3"/>
        <v>31</v>
      </c>
      <c r="C96" s="55">
        <f t="shared" si="2"/>
        <v>21320000</v>
      </c>
      <c r="D96" s="55">
        <v>1640000</v>
      </c>
      <c r="E96" s="114"/>
      <c r="F96" s="114"/>
      <c r="G96" s="114"/>
      <c r="H96" s="114"/>
      <c r="I96" s="265"/>
    </row>
    <row r="97" spans="1:9" ht="12.75">
      <c r="A97" s="113">
        <v>39263</v>
      </c>
      <c r="B97" s="114">
        <f t="shared" si="3"/>
        <v>30</v>
      </c>
      <c r="C97" s="55">
        <f t="shared" si="2"/>
        <v>21320000</v>
      </c>
      <c r="D97" s="55"/>
      <c r="E97" s="115">
        <f>E94</f>
        <v>0.062</v>
      </c>
      <c r="F97" s="55">
        <f>((C95+D95)*E97/360*B95)+((C96+D96)*E97/360*B96)+(C97*E97/360*B97)</f>
        <v>359834.22222222225</v>
      </c>
      <c r="G97" s="114"/>
      <c r="H97" s="114"/>
      <c r="I97" s="265"/>
    </row>
    <row r="98" spans="1:9" ht="12.75">
      <c r="A98" s="113">
        <v>39294</v>
      </c>
      <c r="B98" s="114">
        <f t="shared" si="3"/>
        <v>31</v>
      </c>
      <c r="C98" s="55">
        <f t="shared" si="2"/>
        <v>19680000</v>
      </c>
      <c r="D98" s="55">
        <v>1640000</v>
      </c>
      <c r="E98" s="114"/>
      <c r="F98" s="114"/>
      <c r="G98" s="114"/>
      <c r="H98" s="114"/>
      <c r="I98" s="265"/>
    </row>
    <row r="99" spans="1:9" ht="12.75">
      <c r="A99" s="113">
        <v>39325</v>
      </c>
      <c r="B99" s="114">
        <f t="shared" si="3"/>
        <v>31</v>
      </c>
      <c r="C99" s="55">
        <f t="shared" si="2"/>
        <v>18040000</v>
      </c>
      <c r="D99" s="55">
        <v>1640000</v>
      </c>
      <c r="E99" s="114"/>
      <c r="F99" s="114"/>
      <c r="G99" s="114"/>
      <c r="H99" s="114"/>
      <c r="I99" s="265"/>
    </row>
    <row r="100" spans="1:10" ht="12.75">
      <c r="A100" s="113">
        <v>39355</v>
      </c>
      <c r="B100" s="114">
        <f t="shared" si="3"/>
        <v>30</v>
      </c>
      <c r="C100" s="55">
        <f t="shared" si="2"/>
        <v>18040000</v>
      </c>
      <c r="D100" s="55"/>
      <c r="E100" s="115">
        <f>E97</f>
        <v>0.062</v>
      </c>
      <c r="F100" s="55">
        <f>((C98+D98)*E100/360*B98)+((C99+D99)*E100/360*B99)+(C100*E100/360*B100)</f>
        <v>312101.1111111111</v>
      </c>
      <c r="G100" s="114"/>
      <c r="H100" s="114"/>
      <c r="I100" s="265"/>
      <c r="J100" s="79"/>
    </row>
    <row r="101" spans="1:10" ht="12.75">
      <c r="A101" s="113">
        <v>39386</v>
      </c>
      <c r="B101" s="114">
        <f t="shared" si="3"/>
        <v>31</v>
      </c>
      <c r="C101" s="55">
        <f t="shared" si="2"/>
        <v>16400000</v>
      </c>
      <c r="D101" s="55">
        <v>1640000</v>
      </c>
      <c r="E101" s="114"/>
      <c r="F101" s="114"/>
      <c r="G101" s="114"/>
      <c r="H101" s="114"/>
      <c r="I101" s="265"/>
      <c r="J101" s="79"/>
    </row>
    <row r="102" spans="1:10" ht="12.75">
      <c r="A102" s="113">
        <v>39416</v>
      </c>
      <c r="B102" s="114">
        <f t="shared" si="3"/>
        <v>30</v>
      </c>
      <c r="C102" s="55">
        <f t="shared" si="2"/>
        <v>14760000</v>
      </c>
      <c r="D102" s="55">
        <v>1640000</v>
      </c>
      <c r="E102" s="114"/>
      <c r="F102" s="114"/>
      <c r="G102" s="114"/>
      <c r="H102" s="114"/>
      <c r="I102" s="265"/>
      <c r="J102" s="79"/>
    </row>
    <row r="103" spans="1:10" ht="12.75">
      <c r="A103" s="120">
        <v>39447</v>
      </c>
      <c r="B103" s="121">
        <f t="shared" si="3"/>
        <v>31</v>
      </c>
      <c r="C103" s="122">
        <f t="shared" si="2"/>
        <v>14760000</v>
      </c>
      <c r="D103" s="122"/>
      <c r="E103" s="123">
        <f>E100</f>
        <v>0.062</v>
      </c>
      <c r="F103" s="55">
        <f>((C101+D101)*E103/360*B101)+((C102+D102)*E103/360*B102)+(C103*E103/360*B103)</f>
        <v>259848.88888888888</v>
      </c>
      <c r="G103" s="124">
        <f>SUM(F94:F103)</f>
        <v>1338504.2222222225</v>
      </c>
      <c r="H103" s="124">
        <f>SUM(D92:D103)</f>
        <v>13120000</v>
      </c>
      <c r="I103" s="125">
        <f>SUM(G103:H103)</f>
        <v>14458504.222222222</v>
      </c>
      <c r="J103" s="79"/>
    </row>
    <row r="104" spans="1:10" ht="12.75">
      <c r="A104" s="126">
        <v>39478</v>
      </c>
      <c r="B104" s="127">
        <f t="shared" si="3"/>
        <v>31</v>
      </c>
      <c r="C104" s="56">
        <f t="shared" si="2"/>
        <v>13120000</v>
      </c>
      <c r="D104" s="56">
        <v>1640000</v>
      </c>
      <c r="E104" s="127"/>
      <c r="F104" s="127"/>
      <c r="G104" s="127"/>
      <c r="H104" s="127"/>
      <c r="I104" s="276"/>
      <c r="J104" s="79"/>
    </row>
    <row r="105" spans="1:10" ht="12.75">
      <c r="A105" s="113">
        <v>39506</v>
      </c>
      <c r="B105" s="114">
        <f t="shared" si="3"/>
        <v>28</v>
      </c>
      <c r="C105" s="55">
        <f t="shared" si="2"/>
        <v>11480000</v>
      </c>
      <c r="D105" s="55">
        <v>1640000</v>
      </c>
      <c r="E105" s="114"/>
      <c r="F105" s="114"/>
      <c r="G105" s="114"/>
      <c r="H105" s="114"/>
      <c r="I105" s="265"/>
      <c r="J105" s="79"/>
    </row>
    <row r="106" spans="1:9" ht="12.75">
      <c r="A106" s="113">
        <v>39538</v>
      </c>
      <c r="B106" s="114">
        <f t="shared" si="3"/>
        <v>32</v>
      </c>
      <c r="C106" s="55">
        <f t="shared" si="2"/>
        <v>11480000</v>
      </c>
      <c r="D106" s="55"/>
      <c r="E106" s="115">
        <f>E103</f>
        <v>0.062</v>
      </c>
      <c r="F106" s="55">
        <f>((C104+D104)*E106/360*B104)+((C105+D105)*E106/360*B105)+(C106*E106/360*B106)</f>
        <v>205337.11111111112</v>
      </c>
      <c r="G106" s="114"/>
      <c r="H106" s="114"/>
      <c r="I106" s="265"/>
    </row>
    <row r="107" spans="1:9" ht="12.75">
      <c r="A107" s="113">
        <v>39568</v>
      </c>
      <c r="B107" s="114">
        <f t="shared" si="3"/>
        <v>30</v>
      </c>
      <c r="C107" s="55">
        <f t="shared" si="2"/>
        <v>9840000</v>
      </c>
      <c r="D107" s="55">
        <v>1640000</v>
      </c>
      <c r="E107" s="114"/>
      <c r="F107" s="114"/>
      <c r="G107" s="114"/>
      <c r="H107" s="114"/>
      <c r="I107" s="265"/>
    </row>
    <row r="108" spans="1:9" ht="12.75">
      <c r="A108" s="113">
        <v>39599</v>
      </c>
      <c r="B108" s="114">
        <f t="shared" si="3"/>
        <v>31</v>
      </c>
      <c r="C108" s="55">
        <f t="shared" si="2"/>
        <v>8200000</v>
      </c>
      <c r="D108" s="55">
        <v>1640000</v>
      </c>
      <c r="E108" s="114"/>
      <c r="F108" s="114"/>
      <c r="G108" s="114"/>
      <c r="H108" s="114"/>
      <c r="I108" s="265"/>
    </row>
    <row r="109" spans="1:9" ht="12.75">
      <c r="A109" s="113">
        <v>39629</v>
      </c>
      <c r="B109" s="114">
        <f aca="true" t="shared" si="4" ref="B109:B115">A109-A108</f>
        <v>30</v>
      </c>
      <c r="C109" s="55">
        <f aca="true" t="shared" si="5" ref="C109:C115">C108-D109</f>
        <v>8200000</v>
      </c>
      <c r="D109" s="55"/>
      <c r="E109" s="115">
        <f>E106</f>
        <v>0.062</v>
      </c>
      <c r="F109" s="55">
        <f>((C107+D107)*E109/360*B107)+((C108+D108)*E109/360*B108)+(C109*E109/360*B109)</f>
        <v>154214.66666666666</v>
      </c>
      <c r="G109" s="114"/>
      <c r="H109" s="114"/>
      <c r="I109" s="265"/>
    </row>
    <row r="110" spans="1:9" ht="12.75">
      <c r="A110" s="113">
        <v>39660</v>
      </c>
      <c r="B110" s="114">
        <f t="shared" si="4"/>
        <v>31</v>
      </c>
      <c r="C110" s="55">
        <f t="shared" si="5"/>
        <v>6560000</v>
      </c>
      <c r="D110" s="55">
        <v>1640000</v>
      </c>
      <c r="E110" s="114"/>
      <c r="F110" s="114"/>
      <c r="G110" s="114"/>
      <c r="H110" s="114"/>
      <c r="I110" s="265"/>
    </row>
    <row r="111" spans="1:9" ht="12.75">
      <c r="A111" s="113">
        <v>39691</v>
      </c>
      <c r="B111" s="114">
        <f t="shared" si="4"/>
        <v>31</v>
      </c>
      <c r="C111" s="55">
        <f t="shared" si="5"/>
        <v>4920000</v>
      </c>
      <c r="D111" s="55">
        <v>1640000</v>
      </c>
      <c r="E111" s="114"/>
      <c r="F111" s="114"/>
      <c r="G111" s="114"/>
      <c r="H111" s="114"/>
      <c r="I111" s="265"/>
    </row>
    <row r="112" spans="1:10" ht="12.75">
      <c r="A112" s="113">
        <v>39721</v>
      </c>
      <c r="B112" s="114">
        <f t="shared" si="4"/>
        <v>30</v>
      </c>
      <c r="C112" s="55">
        <f t="shared" si="5"/>
        <v>4920000</v>
      </c>
      <c r="D112" s="55"/>
      <c r="E112" s="115">
        <f>E109</f>
        <v>0.062</v>
      </c>
      <c r="F112" s="55">
        <f>((C110+D110)*E112/360*B110)+((C111+D111)*E112/360*B111)+(C112*E112/360*B112)</f>
        <v>104222</v>
      </c>
      <c r="G112" s="114"/>
      <c r="H112" s="114"/>
      <c r="I112" s="265"/>
      <c r="J112" s="79"/>
    </row>
    <row r="113" spans="1:10" ht="12.75">
      <c r="A113" s="113">
        <v>39752</v>
      </c>
      <c r="B113" s="114">
        <f t="shared" si="4"/>
        <v>31</v>
      </c>
      <c r="C113" s="55">
        <f t="shared" si="5"/>
        <v>3280000</v>
      </c>
      <c r="D113" s="55">
        <v>1640000</v>
      </c>
      <c r="E113" s="114"/>
      <c r="F113" s="114"/>
      <c r="G113" s="114"/>
      <c r="H113" s="114"/>
      <c r="I113" s="265"/>
      <c r="J113" s="79"/>
    </row>
    <row r="114" spans="1:10" ht="12.75">
      <c r="A114" s="277">
        <v>39782</v>
      </c>
      <c r="B114" s="114">
        <f t="shared" si="4"/>
        <v>30</v>
      </c>
      <c r="C114" s="130">
        <f t="shared" si="5"/>
        <v>1640000</v>
      </c>
      <c r="D114" s="55">
        <v>1640000</v>
      </c>
      <c r="E114" s="114"/>
      <c r="F114" s="114"/>
      <c r="G114" s="114"/>
      <c r="H114" s="114"/>
      <c r="I114" s="265"/>
      <c r="J114" s="79"/>
    </row>
    <row r="115" spans="1:10" ht="13.5" thickBot="1">
      <c r="A115" s="137">
        <v>39812</v>
      </c>
      <c r="B115" s="114">
        <f t="shared" si="4"/>
        <v>30</v>
      </c>
      <c r="C115" s="130">
        <f t="shared" si="5"/>
        <v>0</v>
      </c>
      <c r="D115" s="55">
        <v>1640000</v>
      </c>
      <c r="E115" s="278">
        <f>E112</f>
        <v>0.062</v>
      </c>
      <c r="F115" s="55">
        <f>((C113+D113)*E115/360*B113)+((C114+D114)*E115/360*B114)+(D115*E115/360*B115)</f>
        <v>51687.333333333336</v>
      </c>
      <c r="G115" s="279">
        <f>SUM(F105:F115)</f>
        <v>515461.11111111107</v>
      </c>
      <c r="H115" s="279">
        <f>SUM(D103:D115)</f>
        <v>14760000</v>
      </c>
      <c r="I115" s="280">
        <f>SUM(G115:H115)</f>
        <v>15275461.111111112</v>
      </c>
      <c r="J115" s="79"/>
    </row>
    <row r="116" spans="1:10" ht="13.5" thickTop="1">
      <c r="A116" s="422" t="s">
        <v>14</v>
      </c>
      <c r="B116" s="423"/>
      <c r="C116" s="424"/>
      <c r="D116" s="281">
        <f>SUM(D8:D115)</f>
        <v>200000000</v>
      </c>
      <c r="E116" s="282"/>
      <c r="F116" s="143">
        <f>SUM(F10:F115)</f>
        <v>68782267.63622527</v>
      </c>
      <c r="G116" s="143">
        <f>SUM(G19:G115)</f>
        <v>68782267.63622525</v>
      </c>
      <c r="H116" s="143">
        <f>SUM(H19:H115)</f>
        <v>200000000</v>
      </c>
      <c r="I116" s="283">
        <f>SUM(I19:I115)</f>
        <v>268782267.6362252</v>
      </c>
      <c r="J116" s="79"/>
    </row>
    <row r="117" ht="12.75">
      <c r="J117" s="79"/>
    </row>
    <row r="119" ht="12.75">
      <c r="F119" s="147"/>
    </row>
    <row r="120" ht="12.75">
      <c r="F120" s="147"/>
    </row>
    <row r="123" ht="12.75">
      <c r="F123" s="147"/>
    </row>
  </sheetData>
  <mergeCells count="1">
    <mergeCell ref="A116:C116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CE,Félkövér"&amp;12Adósságszolgálat számítása az OTP tájékoztatása alapján&amp;"Times New Roman CE,Félkövér dőlt"
1998. évben felvett 200 MFt célhitel</oddHeader>
    <oddFooter>&amp;L&amp;9Nyomtatás dátuma: &amp;D
C:\Andi\adósságszolgálat\&amp;F\&amp;A&amp;R&amp;P/&amp;N</oddFooter>
  </headerFooter>
  <rowBreaks count="2" manualBreakCount="2">
    <brk id="55" max="255" man="1"/>
    <brk id="1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workbookViewId="0" topLeftCell="A1">
      <pane ySplit="6" topLeftCell="BM8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875" style="81" customWidth="1"/>
    <col min="2" max="2" width="6.875" style="81" customWidth="1"/>
    <col min="3" max="3" width="12.375" style="147" bestFit="1" customWidth="1"/>
    <col min="4" max="4" width="12.625" style="147" bestFit="1" customWidth="1"/>
    <col min="5" max="5" width="9.00390625" style="148" customWidth="1"/>
    <col min="6" max="6" width="11.375" style="81" customWidth="1"/>
    <col min="7" max="7" width="12.625" style="81" bestFit="1" customWidth="1"/>
    <col min="8" max="9" width="12.375" style="81" customWidth="1"/>
    <col min="10" max="10" width="10.125" style="81" bestFit="1" customWidth="1"/>
    <col min="11" max="16384" width="9.375" style="81" customWidth="1"/>
  </cols>
  <sheetData>
    <row r="1" spans="1:9" ht="12.75">
      <c r="A1" s="189" t="s">
        <v>98</v>
      </c>
      <c r="B1" s="188"/>
      <c r="C1" s="189"/>
      <c r="D1" s="189"/>
      <c r="E1" s="190"/>
      <c r="G1" s="189"/>
      <c r="H1" s="189"/>
      <c r="I1" s="189"/>
    </row>
    <row r="2" spans="1:9" ht="12.75">
      <c r="A2" s="161" t="s">
        <v>1</v>
      </c>
      <c r="B2" s="159"/>
      <c r="C2" s="158"/>
      <c r="D2" s="158"/>
      <c r="E2" s="191"/>
      <c r="F2" s="158"/>
      <c r="G2" s="158"/>
      <c r="H2" s="158"/>
      <c r="I2" s="158"/>
    </row>
    <row r="3" spans="1:9" ht="12.75">
      <c r="A3" s="160" t="s">
        <v>72</v>
      </c>
      <c r="B3" s="159"/>
      <c r="C3" s="158"/>
      <c r="D3" s="158"/>
      <c r="E3" s="191"/>
      <c r="F3" s="158"/>
      <c r="G3" s="158"/>
      <c r="H3" s="158"/>
      <c r="I3" s="159" t="s">
        <v>2</v>
      </c>
    </row>
    <row r="4" spans="1:9" ht="12.75">
      <c r="A4" s="89" t="s">
        <v>3</v>
      </c>
      <c r="B4" s="90" t="s">
        <v>4</v>
      </c>
      <c r="C4" s="91" t="s">
        <v>5</v>
      </c>
      <c r="D4" s="91" t="s">
        <v>21</v>
      </c>
      <c r="E4" s="91" t="s">
        <v>18</v>
      </c>
      <c r="F4" s="92" t="s">
        <v>20</v>
      </c>
      <c r="G4" s="93" t="s">
        <v>6</v>
      </c>
      <c r="H4" s="93" t="s">
        <v>6</v>
      </c>
      <c r="I4" s="94" t="s">
        <v>6</v>
      </c>
    </row>
    <row r="5" spans="1:9" ht="12.75">
      <c r="A5" s="95"/>
      <c r="B5" s="96" t="s">
        <v>7</v>
      </c>
      <c r="C5" s="97" t="s">
        <v>8</v>
      </c>
      <c r="D5" s="97" t="s">
        <v>13</v>
      </c>
      <c r="E5" s="97" t="s">
        <v>19</v>
      </c>
      <c r="F5" s="98" t="s">
        <v>13</v>
      </c>
      <c r="G5" s="99" t="s">
        <v>9</v>
      </c>
      <c r="H5" s="99" t="s">
        <v>11</v>
      </c>
      <c r="I5" s="100" t="s">
        <v>10</v>
      </c>
    </row>
    <row r="6" spans="1:9" ht="12.75">
      <c r="A6" s="101"/>
      <c r="B6" s="102"/>
      <c r="C6" s="103"/>
      <c r="D6" s="103"/>
      <c r="E6" s="103"/>
      <c r="F6" s="104"/>
      <c r="G6" s="104"/>
      <c r="H6" s="105" t="s">
        <v>13</v>
      </c>
      <c r="I6" s="106" t="s">
        <v>12</v>
      </c>
    </row>
    <row r="7" spans="1:9" ht="12.75">
      <c r="A7" s="107">
        <v>36526</v>
      </c>
      <c r="B7" s="163"/>
      <c r="C7" s="164">
        <v>200000000</v>
      </c>
      <c r="D7" s="164"/>
      <c r="E7" s="164"/>
      <c r="F7" s="164"/>
      <c r="G7" s="174"/>
      <c r="H7" s="174"/>
      <c r="I7" s="175"/>
    </row>
    <row r="8" spans="1:9" ht="12.75">
      <c r="A8" s="107">
        <v>36616</v>
      </c>
      <c r="B8" s="163">
        <f aca="true" t="shared" si="0" ref="B8:B50">A8-A7</f>
        <v>90</v>
      </c>
      <c r="C8" s="164">
        <v>200000000</v>
      </c>
      <c r="D8" s="163"/>
      <c r="E8" s="76">
        <v>0.1413</v>
      </c>
      <c r="F8" s="164">
        <f>C8*E8/365*B8</f>
        <v>6968219.178082192</v>
      </c>
      <c r="G8" s="174"/>
      <c r="H8" s="174"/>
      <c r="I8" s="175"/>
    </row>
    <row r="9" spans="1:9" ht="12.75">
      <c r="A9" s="107">
        <v>36705</v>
      </c>
      <c r="B9" s="163">
        <f t="shared" si="0"/>
        <v>89</v>
      </c>
      <c r="C9" s="164">
        <f aca="true" t="shared" si="1" ref="C9:C49">C8-D9</f>
        <v>196667000</v>
      </c>
      <c r="D9" s="164">
        <v>3333000</v>
      </c>
      <c r="E9" s="76"/>
      <c r="F9" s="164"/>
      <c r="G9" s="174"/>
      <c r="H9" s="174"/>
      <c r="I9" s="175"/>
    </row>
    <row r="10" spans="1:9" ht="12.75">
      <c r="A10" s="107">
        <v>36707</v>
      </c>
      <c r="B10" s="163">
        <f t="shared" si="0"/>
        <v>2</v>
      </c>
      <c r="C10" s="164">
        <f t="shared" si="1"/>
        <v>196667000</v>
      </c>
      <c r="D10" s="164"/>
      <c r="E10" s="76">
        <v>0.109</v>
      </c>
      <c r="F10" s="164">
        <f>((C9+D9)*E10/365*B9)+(C10*E10/365*B10)</f>
        <v>5433077.824657533</v>
      </c>
      <c r="G10" s="174"/>
      <c r="H10" s="174"/>
      <c r="I10" s="175"/>
    </row>
    <row r="11" spans="1:9" ht="12.75">
      <c r="A11" s="107">
        <v>36735</v>
      </c>
      <c r="B11" s="163">
        <f t="shared" si="0"/>
        <v>28</v>
      </c>
      <c r="C11" s="164">
        <f t="shared" si="1"/>
        <v>193334000</v>
      </c>
      <c r="D11" s="164">
        <v>3333000</v>
      </c>
      <c r="E11" s="76"/>
      <c r="F11" s="164"/>
      <c r="G11" s="174"/>
      <c r="H11" s="174"/>
      <c r="I11" s="175"/>
    </row>
    <row r="12" spans="1:9" ht="12.75">
      <c r="A12" s="107">
        <v>36766</v>
      </c>
      <c r="B12" s="163">
        <f t="shared" si="0"/>
        <v>31</v>
      </c>
      <c r="C12" s="164">
        <f t="shared" si="1"/>
        <v>190001000</v>
      </c>
      <c r="D12" s="164">
        <v>3333000</v>
      </c>
      <c r="E12" s="76"/>
      <c r="F12" s="164"/>
      <c r="G12" s="174"/>
      <c r="H12" s="174"/>
      <c r="I12" s="175"/>
    </row>
    <row r="13" spans="1:9" ht="12.75">
      <c r="A13" s="107">
        <v>36797</v>
      </c>
      <c r="B13" s="163">
        <f t="shared" si="0"/>
        <v>31</v>
      </c>
      <c r="C13" s="164">
        <f t="shared" si="1"/>
        <v>186668000</v>
      </c>
      <c r="D13" s="164">
        <v>3333000</v>
      </c>
      <c r="E13" s="76"/>
      <c r="F13" s="164"/>
      <c r="G13" s="174"/>
      <c r="H13" s="174"/>
      <c r="I13" s="175"/>
    </row>
    <row r="14" spans="1:9" ht="12.75">
      <c r="A14" s="107">
        <v>36799</v>
      </c>
      <c r="B14" s="163">
        <f t="shared" si="0"/>
        <v>2</v>
      </c>
      <c r="C14" s="164">
        <f t="shared" si="1"/>
        <v>186668000</v>
      </c>
      <c r="D14" s="164"/>
      <c r="E14" s="76">
        <v>0.1111</v>
      </c>
      <c r="F14" s="164">
        <f>((C11+D11)*E14/365*B11)+((C12+D12)*E14/365*B12)+((C13+D13)*E14/365*B13)+C14*E14/365*B14</f>
        <v>5406886.045753424</v>
      </c>
      <c r="G14" s="174"/>
      <c r="H14" s="174"/>
      <c r="I14" s="175"/>
    </row>
    <row r="15" spans="1:9" ht="12.75">
      <c r="A15" s="107">
        <v>36827</v>
      </c>
      <c r="B15" s="163">
        <f t="shared" si="0"/>
        <v>28</v>
      </c>
      <c r="C15" s="164">
        <f t="shared" si="1"/>
        <v>183335000</v>
      </c>
      <c r="D15" s="164">
        <v>3333000</v>
      </c>
      <c r="E15" s="76"/>
      <c r="F15" s="164"/>
      <c r="G15" s="174"/>
      <c r="H15" s="174"/>
      <c r="I15" s="175"/>
    </row>
    <row r="16" spans="1:9" ht="12.75">
      <c r="A16" s="107">
        <v>36858</v>
      </c>
      <c r="B16" s="163">
        <f t="shared" si="0"/>
        <v>31</v>
      </c>
      <c r="C16" s="164">
        <f t="shared" si="1"/>
        <v>180002000</v>
      </c>
      <c r="D16" s="164">
        <v>3333000</v>
      </c>
      <c r="E16" s="76"/>
      <c r="F16" s="164"/>
      <c r="G16" s="174"/>
      <c r="H16" s="174"/>
      <c r="I16" s="175"/>
    </row>
    <row r="17" spans="1:9" ht="12.75">
      <c r="A17" s="107">
        <v>36888</v>
      </c>
      <c r="B17" s="163">
        <f t="shared" si="0"/>
        <v>30</v>
      </c>
      <c r="C17" s="164">
        <f t="shared" si="1"/>
        <v>176669000</v>
      </c>
      <c r="D17" s="164">
        <v>3333000</v>
      </c>
      <c r="E17" s="76"/>
      <c r="F17" s="164"/>
      <c r="G17" s="174"/>
      <c r="H17" s="174"/>
      <c r="I17" s="175"/>
    </row>
    <row r="18" spans="1:9" ht="12.75">
      <c r="A18" s="168">
        <v>36891</v>
      </c>
      <c r="B18" s="269">
        <f t="shared" si="0"/>
        <v>3</v>
      </c>
      <c r="C18" s="169">
        <f t="shared" si="1"/>
        <v>176669000</v>
      </c>
      <c r="D18" s="169"/>
      <c r="E18" s="123">
        <f>E14</f>
        <v>0.1111</v>
      </c>
      <c r="F18" s="170">
        <f>((C15+D15)*E18/365*B15)+((C16+D16)*E18/365*B16)+((C17+D17)*E18/365*B17)+C18*E18/365*B18</f>
        <v>5125866.661917808</v>
      </c>
      <c r="G18" s="176">
        <f>SUM(F8:F18)</f>
        <v>22934049.71041096</v>
      </c>
      <c r="H18" s="176">
        <f>SUM(D9:D18)</f>
        <v>23331000</v>
      </c>
      <c r="I18" s="177">
        <f>SUM(G18:H18)</f>
        <v>46265049.71041096</v>
      </c>
    </row>
    <row r="19" spans="1:9" ht="12.75">
      <c r="A19" s="107">
        <v>36919</v>
      </c>
      <c r="B19" s="163">
        <f t="shared" si="0"/>
        <v>28</v>
      </c>
      <c r="C19" s="164">
        <f t="shared" si="1"/>
        <v>173336000</v>
      </c>
      <c r="D19" s="164">
        <v>3333000</v>
      </c>
      <c r="E19" s="76"/>
      <c r="F19" s="164"/>
      <c r="G19" s="174"/>
      <c r="H19" s="174"/>
      <c r="I19" s="175"/>
    </row>
    <row r="20" spans="1:9" ht="12.75">
      <c r="A20" s="107">
        <v>36950</v>
      </c>
      <c r="B20" s="163">
        <f t="shared" si="0"/>
        <v>31</v>
      </c>
      <c r="C20" s="164">
        <f t="shared" si="1"/>
        <v>170003000</v>
      </c>
      <c r="D20" s="164">
        <v>3333000</v>
      </c>
      <c r="E20" s="76"/>
      <c r="F20" s="164"/>
      <c r="G20" s="174"/>
      <c r="H20" s="174"/>
      <c r="I20" s="175"/>
    </row>
    <row r="21" spans="1:9" ht="12.75">
      <c r="A21" s="107">
        <v>36978</v>
      </c>
      <c r="B21" s="163">
        <f t="shared" si="0"/>
        <v>28</v>
      </c>
      <c r="C21" s="164">
        <f t="shared" si="1"/>
        <v>166670000</v>
      </c>
      <c r="D21" s="164">
        <v>3333000</v>
      </c>
      <c r="E21" s="76"/>
      <c r="F21" s="164"/>
      <c r="G21" s="174"/>
      <c r="H21" s="174"/>
      <c r="I21" s="175"/>
    </row>
    <row r="22" spans="1:9" ht="12.75">
      <c r="A22" s="113">
        <v>36981</v>
      </c>
      <c r="B22" s="270">
        <f t="shared" si="0"/>
        <v>3</v>
      </c>
      <c r="C22" s="180">
        <f t="shared" si="1"/>
        <v>166670000</v>
      </c>
      <c r="D22" s="180"/>
      <c r="E22" s="76">
        <f>F22/(((C19+D19)*B19)+((C20+D20)*B20)+((C21+D21)*B21)+(C22*B22))*365</f>
        <v>0.12369512617326484</v>
      </c>
      <c r="F22" s="164">
        <v>5280000</v>
      </c>
      <c r="G22" s="181"/>
      <c r="H22" s="181"/>
      <c r="I22" s="182"/>
    </row>
    <row r="23" spans="1:9" ht="12.75">
      <c r="A23" s="113">
        <v>37009</v>
      </c>
      <c r="B23" s="270">
        <f t="shared" si="0"/>
        <v>28</v>
      </c>
      <c r="C23" s="180">
        <f t="shared" si="1"/>
        <v>163337000</v>
      </c>
      <c r="D23" s="180">
        <v>3333000</v>
      </c>
      <c r="E23" s="76"/>
      <c r="F23" s="180"/>
      <c r="G23" s="181"/>
      <c r="H23" s="181"/>
      <c r="I23" s="182"/>
    </row>
    <row r="24" spans="1:9" ht="12.75">
      <c r="A24" s="107">
        <v>37039</v>
      </c>
      <c r="B24" s="163">
        <f t="shared" si="0"/>
        <v>30</v>
      </c>
      <c r="C24" s="164">
        <f t="shared" si="1"/>
        <v>160004000</v>
      </c>
      <c r="D24" s="164">
        <v>3333000</v>
      </c>
      <c r="E24" s="76"/>
      <c r="F24" s="164"/>
      <c r="G24" s="174"/>
      <c r="H24" s="174"/>
      <c r="I24" s="175"/>
    </row>
    <row r="25" spans="1:9" ht="12.75">
      <c r="A25" s="107">
        <v>37070</v>
      </c>
      <c r="B25" s="163">
        <f t="shared" si="0"/>
        <v>31</v>
      </c>
      <c r="C25" s="164">
        <f t="shared" si="1"/>
        <v>156671000</v>
      </c>
      <c r="D25" s="164">
        <v>3333000</v>
      </c>
      <c r="E25" s="76"/>
      <c r="F25" s="164"/>
      <c r="G25" s="174"/>
      <c r="H25" s="174"/>
      <c r="I25" s="175"/>
    </row>
    <row r="26" spans="1:9" ht="12.75">
      <c r="A26" s="113">
        <v>37072</v>
      </c>
      <c r="B26" s="270">
        <f t="shared" si="0"/>
        <v>2</v>
      </c>
      <c r="C26" s="180">
        <f t="shared" si="1"/>
        <v>156671000</v>
      </c>
      <c r="D26" s="180"/>
      <c r="E26" s="76">
        <f>F26/(((C23+D23)*B23)+((C24+D24)*B24)+((C25+D25)*B25)+(C26*B26))*365</f>
        <v>0.11492800264091056</v>
      </c>
      <c r="F26" s="164">
        <v>4672795</v>
      </c>
      <c r="G26" s="181"/>
      <c r="H26" s="181"/>
      <c r="I26" s="182"/>
    </row>
    <row r="27" spans="1:9" ht="12.75">
      <c r="A27" s="113">
        <v>37100</v>
      </c>
      <c r="B27" s="270">
        <f t="shared" si="0"/>
        <v>28</v>
      </c>
      <c r="C27" s="180">
        <f t="shared" si="1"/>
        <v>153338000</v>
      </c>
      <c r="D27" s="180">
        <v>3333000</v>
      </c>
      <c r="E27" s="271"/>
      <c r="F27" s="180"/>
      <c r="G27" s="181"/>
      <c r="H27" s="181"/>
      <c r="I27" s="182"/>
    </row>
    <row r="28" spans="1:9" ht="12.75">
      <c r="A28" s="107">
        <v>37131</v>
      </c>
      <c r="B28" s="163">
        <f t="shared" si="0"/>
        <v>31</v>
      </c>
      <c r="C28" s="164">
        <f t="shared" si="1"/>
        <v>150005000</v>
      </c>
      <c r="D28" s="164">
        <v>3333000</v>
      </c>
      <c r="E28" s="76"/>
      <c r="F28" s="164"/>
      <c r="G28" s="174"/>
      <c r="H28" s="174"/>
      <c r="I28" s="175"/>
    </row>
    <row r="29" spans="1:9" ht="12.75">
      <c r="A29" s="107">
        <v>37162</v>
      </c>
      <c r="B29" s="163">
        <f t="shared" si="0"/>
        <v>31</v>
      </c>
      <c r="C29" s="164">
        <f t="shared" si="1"/>
        <v>146672000</v>
      </c>
      <c r="D29" s="164">
        <v>3333000</v>
      </c>
      <c r="E29" s="76"/>
      <c r="F29" s="164"/>
      <c r="G29" s="174"/>
      <c r="H29" s="174"/>
      <c r="I29" s="175"/>
    </row>
    <row r="30" spans="1:9" ht="12.75">
      <c r="A30" s="107">
        <v>37164</v>
      </c>
      <c r="B30" s="163">
        <f t="shared" si="0"/>
        <v>2</v>
      </c>
      <c r="C30" s="164">
        <f t="shared" si="1"/>
        <v>146672000</v>
      </c>
      <c r="D30" s="164"/>
      <c r="E30" s="76">
        <f>F30/(((C27+D27)*B27)+((C28+D28)*B28)+((C29+D29)*B29)+(C30*B30))*365</f>
        <v>0.11060316896795708</v>
      </c>
      <c r="F30" s="164">
        <v>4267696</v>
      </c>
      <c r="G30" s="174"/>
      <c r="H30" s="174"/>
      <c r="I30" s="175"/>
    </row>
    <row r="31" spans="1:9" ht="12.75">
      <c r="A31" s="107">
        <v>37192</v>
      </c>
      <c r="B31" s="163">
        <f t="shared" si="0"/>
        <v>28</v>
      </c>
      <c r="C31" s="164">
        <f t="shared" si="1"/>
        <v>143339000</v>
      </c>
      <c r="D31" s="164">
        <v>3333000</v>
      </c>
      <c r="E31" s="76"/>
      <c r="F31" s="164"/>
      <c r="G31" s="174"/>
      <c r="H31" s="174"/>
      <c r="I31" s="175"/>
    </row>
    <row r="32" spans="1:9" ht="12.75">
      <c r="A32" s="107">
        <v>37223</v>
      </c>
      <c r="B32" s="163">
        <f t="shared" si="0"/>
        <v>31</v>
      </c>
      <c r="C32" s="164">
        <f t="shared" si="1"/>
        <v>140006000</v>
      </c>
      <c r="D32" s="164">
        <v>3333000</v>
      </c>
      <c r="E32" s="76"/>
      <c r="F32" s="164"/>
      <c r="G32" s="174"/>
      <c r="H32" s="174"/>
      <c r="I32" s="175"/>
    </row>
    <row r="33" spans="1:9" ht="12.75">
      <c r="A33" s="107">
        <v>37253</v>
      </c>
      <c r="B33" s="163">
        <f t="shared" si="0"/>
        <v>30</v>
      </c>
      <c r="C33" s="164">
        <f t="shared" si="1"/>
        <v>136673000</v>
      </c>
      <c r="D33" s="164">
        <v>3333000</v>
      </c>
      <c r="E33" s="76"/>
      <c r="F33" s="164"/>
      <c r="G33" s="174"/>
      <c r="H33" s="174"/>
      <c r="I33" s="175"/>
    </row>
    <row r="34" spans="1:9" ht="12.75">
      <c r="A34" s="168">
        <v>37253</v>
      </c>
      <c r="B34" s="269">
        <f t="shared" si="0"/>
        <v>0</v>
      </c>
      <c r="C34" s="169">
        <f t="shared" si="1"/>
        <v>136673000</v>
      </c>
      <c r="D34" s="169"/>
      <c r="E34" s="123">
        <f>F34/(((C31+D31)*B31)+((C32+D32)*B32)+((C33+D33)*B33)+(C34*B34))*365</f>
        <v>0.11486524455305887</v>
      </c>
      <c r="F34" s="170">
        <v>4012575</v>
      </c>
      <c r="G34" s="176">
        <f>SUM(F22:F34)</f>
        <v>18233066</v>
      </c>
      <c r="H34" s="176">
        <f>SUM(D19:D34)</f>
        <v>39996000</v>
      </c>
      <c r="I34" s="177">
        <f>SUM(G34:H34)</f>
        <v>58229066</v>
      </c>
    </row>
    <row r="35" spans="1:9" ht="12.75">
      <c r="A35" s="107">
        <v>37284</v>
      </c>
      <c r="B35" s="163">
        <f t="shared" si="0"/>
        <v>31</v>
      </c>
      <c r="C35" s="164">
        <f t="shared" si="1"/>
        <v>133340000</v>
      </c>
      <c r="D35" s="164">
        <v>3333000</v>
      </c>
      <c r="E35" s="76"/>
      <c r="F35" s="164"/>
      <c r="G35" s="174"/>
      <c r="H35" s="174"/>
      <c r="I35" s="175"/>
    </row>
    <row r="36" spans="1:9" ht="12.75">
      <c r="A36" s="107">
        <v>37315</v>
      </c>
      <c r="B36" s="163">
        <f t="shared" si="0"/>
        <v>31</v>
      </c>
      <c r="C36" s="164">
        <f t="shared" si="1"/>
        <v>130007000</v>
      </c>
      <c r="D36" s="164">
        <v>3333000</v>
      </c>
      <c r="E36" s="76"/>
      <c r="F36" s="164"/>
      <c r="G36" s="174"/>
      <c r="H36" s="174"/>
      <c r="I36" s="175"/>
    </row>
    <row r="37" spans="1:9" ht="12.75">
      <c r="A37" s="107">
        <v>37343</v>
      </c>
      <c r="B37" s="163">
        <f t="shared" si="0"/>
        <v>28</v>
      </c>
      <c r="C37" s="164">
        <f t="shared" si="1"/>
        <v>126674000</v>
      </c>
      <c r="D37" s="164">
        <v>3333000</v>
      </c>
      <c r="E37" s="76"/>
      <c r="F37" s="164"/>
      <c r="G37" s="174"/>
      <c r="H37" s="174"/>
      <c r="I37" s="175"/>
    </row>
    <row r="38" spans="1:9" ht="12.75">
      <c r="A38" s="107">
        <v>37344</v>
      </c>
      <c r="B38" s="163">
        <f t="shared" si="0"/>
        <v>1</v>
      </c>
      <c r="C38" s="164">
        <f t="shared" si="1"/>
        <v>126674000</v>
      </c>
      <c r="D38" s="164"/>
      <c r="E38" s="76">
        <f>F38/(((C35+D35)*B35)+((C36+D36)*B36)+((C37+D37)*B37)+(C38*B38))*365</f>
        <v>0.09924336380997609</v>
      </c>
      <c r="F38" s="164">
        <v>3300120</v>
      </c>
      <c r="G38" s="174"/>
      <c r="H38" s="174"/>
      <c r="I38" s="175"/>
    </row>
    <row r="39" spans="1:9" ht="12.75">
      <c r="A39" s="107">
        <v>37374</v>
      </c>
      <c r="B39" s="163">
        <f t="shared" si="0"/>
        <v>30</v>
      </c>
      <c r="C39" s="164">
        <f t="shared" si="1"/>
        <v>123341000</v>
      </c>
      <c r="D39" s="164">
        <v>3333000</v>
      </c>
      <c r="E39" s="76"/>
      <c r="F39" s="164"/>
      <c r="G39" s="174"/>
      <c r="H39" s="174"/>
      <c r="I39" s="175"/>
    </row>
    <row r="40" spans="1:9" ht="12.75">
      <c r="A40" s="107">
        <v>37404</v>
      </c>
      <c r="B40" s="163">
        <f t="shared" si="0"/>
        <v>30</v>
      </c>
      <c r="C40" s="164">
        <f t="shared" si="1"/>
        <v>120008000</v>
      </c>
      <c r="D40" s="164">
        <v>3333000</v>
      </c>
      <c r="E40" s="76"/>
      <c r="F40" s="164"/>
      <c r="G40" s="174"/>
      <c r="H40" s="174"/>
      <c r="I40" s="175"/>
    </row>
    <row r="41" spans="1:9" ht="12.75">
      <c r="A41" s="107">
        <v>37435</v>
      </c>
      <c r="B41" s="163">
        <f t="shared" si="0"/>
        <v>31</v>
      </c>
      <c r="C41" s="164">
        <f t="shared" si="1"/>
        <v>116675000</v>
      </c>
      <c r="D41" s="164">
        <v>3333000</v>
      </c>
      <c r="E41" s="76"/>
      <c r="F41" s="164"/>
      <c r="G41" s="174"/>
      <c r="H41" s="174"/>
      <c r="I41" s="175"/>
    </row>
    <row r="42" spans="1:9" ht="12.75">
      <c r="A42" s="107">
        <v>37437</v>
      </c>
      <c r="B42" s="163">
        <f t="shared" si="0"/>
        <v>2</v>
      </c>
      <c r="C42" s="164">
        <f t="shared" si="1"/>
        <v>116675000</v>
      </c>
      <c r="D42" s="164"/>
      <c r="E42" s="76">
        <v>0.0845</v>
      </c>
      <c r="F42" s="164">
        <v>2648358</v>
      </c>
      <c r="G42" s="174"/>
      <c r="H42" s="174"/>
      <c r="I42" s="175"/>
    </row>
    <row r="43" spans="1:9" ht="12.75">
      <c r="A43" s="107">
        <v>37465</v>
      </c>
      <c r="B43" s="163">
        <f t="shared" si="0"/>
        <v>28</v>
      </c>
      <c r="C43" s="164">
        <f t="shared" si="1"/>
        <v>113342000</v>
      </c>
      <c r="D43" s="164">
        <v>3333000</v>
      </c>
      <c r="E43" s="76"/>
      <c r="F43" s="164"/>
      <c r="G43" s="174"/>
      <c r="H43" s="174"/>
      <c r="I43" s="175"/>
    </row>
    <row r="44" spans="1:9" ht="12.75">
      <c r="A44" s="107">
        <v>37496</v>
      </c>
      <c r="B44" s="163">
        <f t="shared" si="0"/>
        <v>31</v>
      </c>
      <c r="C44" s="164">
        <f t="shared" si="1"/>
        <v>110009000</v>
      </c>
      <c r="D44" s="164">
        <v>3333000</v>
      </c>
      <c r="E44" s="76"/>
      <c r="F44" s="164"/>
      <c r="G44" s="174"/>
      <c r="H44" s="174"/>
      <c r="I44" s="175"/>
    </row>
    <row r="45" spans="1:9" ht="12.75">
      <c r="A45" s="107">
        <v>37527</v>
      </c>
      <c r="B45" s="163">
        <f t="shared" si="0"/>
        <v>31</v>
      </c>
      <c r="C45" s="164">
        <f t="shared" si="1"/>
        <v>106676000</v>
      </c>
      <c r="D45" s="164">
        <v>3333000</v>
      </c>
      <c r="E45" s="76"/>
      <c r="F45" s="164"/>
      <c r="G45" s="174"/>
      <c r="H45" s="174"/>
      <c r="I45" s="175"/>
    </row>
    <row r="46" spans="1:9" ht="12.75">
      <c r="A46" s="107">
        <v>37529</v>
      </c>
      <c r="B46" s="163">
        <f t="shared" si="0"/>
        <v>2</v>
      </c>
      <c r="C46" s="164">
        <f t="shared" si="1"/>
        <v>106676000</v>
      </c>
      <c r="D46" s="164"/>
      <c r="E46" s="76">
        <v>0.0926</v>
      </c>
      <c r="F46" s="164">
        <v>2730893</v>
      </c>
      <c r="G46" s="174"/>
      <c r="H46" s="174"/>
      <c r="I46" s="175"/>
    </row>
    <row r="47" spans="1:9" ht="12.75">
      <c r="A47" s="107">
        <v>37557</v>
      </c>
      <c r="B47" s="163">
        <f t="shared" si="0"/>
        <v>28</v>
      </c>
      <c r="C47" s="164">
        <f t="shared" si="1"/>
        <v>103343000</v>
      </c>
      <c r="D47" s="164">
        <v>3333000</v>
      </c>
      <c r="E47" s="76"/>
      <c r="F47" s="164"/>
      <c r="G47" s="174"/>
      <c r="H47" s="174"/>
      <c r="I47" s="175"/>
    </row>
    <row r="48" spans="1:9" ht="12.75">
      <c r="A48" s="107">
        <v>37588</v>
      </c>
      <c r="B48" s="163">
        <f t="shared" si="0"/>
        <v>31</v>
      </c>
      <c r="C48" s="164">
        <f t="shared" si="1"/>
        <v>100010000</v>
      </c>
      <c r="D48" s="164">
        <v>3333000</v>
      </c>
      <c r="E48" s="76"/>
      <c r="F48" s="164"/>
      <c r="G48" s="174"/>
      <c r="H48" s="174"/>
      <c r="I48" s="175"/>
    </row>
    <row r="49" spans="1:9" ht="12.75">
      <c r="A49" s="113">
        <v>37618</v>
      </c>
      <c r="B49" s="114">
        <f t="shared" si="0"/>
        <v>30</v>
      </c>
      <c r="C49" s="55">
        <f t="shared" si="1"/>
        <v>96677000</v>
      </c>
      <c r="D49" s="55">
        <v>3333000</v>
      </c>
      <c r="E49" s="115"/>
      <c r="F49" s="55"/>
      <c r="G49" s="116"/>
      <c r="H49" s="116"/>
      <c r="I49" s="175"/>
    </row>
    <row r="50" spans="1:9" ht="12.75">
      <c r="A50" s="120">
        <v>37621</v>
      </c>
      <c r="B50" s="121">
        <f t="shared" si="0"/>
        <v>3</v>
      </c>
      <c r="C50" s="273">
        <v>96677000</v>
      </c>
      <c r="D50" s="122"/>
      <c r="E50" s="214">
        <v>0.0975</v>
      </c>
      <c r="F50" s="122">
        <v>2566289</v>
      </c>
      <c r="G50" s="124">
        <f>SUM(F38:F50)</f>
        <v>11245660</v>
      </c>
      <c r="H50" s="124">
        <f>SUM(D35:D50)</f>
        <v>39996000</v>
      </c>
      <c r="I50" s="172">
        <f>SUM(G50:H50)</f>
        <v>51241660</v>
      </c>
    </row>
    <row r="51" spans="1:9" ht="12.75">
      <c r="A51" s="126">
        <v>37649</v>
      </c>
      <c r="B51" s="127">
        <f aca="true" t="shared" si="2" ref="B51:B114">A51-A50</f>
        <v>28</v>
      </c>
      <c r="C51" s="56">
        <f aca="true" t="shared" si="3" ref="C51:C114">C50-D51</f>
        <v>95850000</v>
      </c>
      <c r="D51" s="56">
        <v>827000</v>
      </c>
      <c r="E51" s="128"/>
      <c r="F51" s="127"/>
      <c r="G51" s="127"/>
      <c r="H51" s="127"/>
      <c r="I51" s="276"/>
    </row>
    <row r="52" spans="1:9" ht="12.75">
      <c r="A52" s="113">
        <v>37680</v>
      </c>
      <c r="B52" s="114">
        <f t="shared" si="2"/>
        <v>31</v>
      </c>
      <c r="C52" s="55">
        <f t="shared" si="3"/>
        <v>94500000</v>
      </c>
      <c r="D52" s="55">
        <v>1350000</v>
      </c>
      <c r="E52" s="118"/>
      <c r="F52" s="114"/>
      <c r="G52" s="114"/>
      <c r="H52" s="114"/>
      <c r="I52" s="265"/>
    </row>
    <row r="53" spans="1:9" ht="12.75">
      <c r="A53" s="113">
        <v>37708</v>
      </c>
      <c r="B53" s="114">
        <f t="shared" si="2"/>
        <v>28</v>
      </c>
      <c r="C53" s="55">
        <f t="shared" si="3"/>
        <v>93150000</v>
      </c>
      <c r="D53" s="55">
        <v>1350000</v>
      </c>
      <c r="E53" s="118"/>
      <c r="F53" s="114"/>
      <c r="G53" s="114"/>
      <c r="H53" s="114"/>
      <c r="I53" s="265"/>
    </row>
    <row r="54" spans="1:9" ht="12.75">
      <c r="A54" s="113">
        <v>37711</v>
      </c>
      <c r="B54" s="114">
        <f t="shared" si="2"/>
        <v>3</v>
      </c>
      <c r="C54" s="55">
        <f t="shared" si="3"/>
        <v>93150000</v>
      </c>
      <c r="D54" s="55"/>
      <c r="E54" s="115">
        <v>0.0842</v>
      </c>
      <c r="F54" s="55">
        <v>2015895</v>
      </c>
      <c r="G54" s="114"/>
      <c r="H54" s="114"/>
      <c r="I54" s="265"/>
    </row>
    <row r="55" spans="1:9" ht="12.75">
      <c r="A55" s="120">
        <v>37739</v>
      </c>
      <c r="B55" s="121">
        <f t="shared" si="2"/>
        <v>28</v>
      </c>
      <c r="C55" s="122">
        <f t="shared" si="3"/>
        <v>91800000</v>
      </c>
      <c r="D55" s="122">
        <v>1350000</v>
      </c>
      <c r="E55" s="214"/>
      <c r="F55" s="121"/>
      <c r="G55" s="121"/>
      <c r="H55" s="121"/>
      <c r="I55" s="284"/>
    </row>
    <row r="56" spans="1:9" ht="12.75">
      <c r="A56" s="126">
        <v>37769</v>
      </c>
      <c r="B56" s="127">
        <f t="shared" si="2"/>
        <v>30</v>
      </c>
      <c r="C56" s="56">
        <f t="shared" si="3"/>
        <v>90450000</v>
      </c>
      <c r="D56" s="109">
        <v>1350000</v>
      </c>
      <c r="E56" s="128"/>
      <c r="F56" s="127"/>
      <c r="G56" s="127"/>
      <c r="H56" s="127"/>
      <c r="I56" s="276"/>
    </row>
    <row r="57" spans="1:9" ht="12.75">
      <c r="A57" s="113">
        <v>37800</v>
      </c>
      <c r="B57" s="114">
        <f t="shared" si="2"/>
        <v>31</v>
      </c>
      <c r="C57" s="55">
        <f t="shared" si="3"/>
        <v>89100000</v>
      </c>
      <c r="D57" s="55">
        <v>1350000</v>
      </c>
      <c r="E57" s="118"/>
      <c r="F57" s="114"/>
      <c r="G57" s="114"/>
      <c r="H57" s="114"/>
      <c r="I57" s="265"/>
    </row>
    <row r="58" spans="1:10" ht="12.75">
      <c r="A58" s="113">
        <v>37802</v>
      </c>
      <c r="B58" s="114">
        <f t="shared" si="2"/>
        <v>2</v>
      </c>
      <c r="C58" s="55">
        <f t="shared" si="3"/>
        <v>89100000</v>
      </c>
      <c r="D58" s="55"/>
      <c r="E58" s="115">
        <v>0.066</v>
      </c>
      <c r="F58" s="55">
        <v>1535002</v>
      </c>
      <c r="G58" s="114"/>
      <c r="H58" s="114"/>
      <c r="I58" s="265"/>
      <c r="J58" s="159"/>
    </row>
    <row r="59" spans="1:9" ht="12.75">
      <c r="A59" s="113">
        <v>37830</v>
      </c>
      <c r="B59" s="114">
        <f t="shared" si="2"/>
        <v>28</v>
      </c>
      <c r="C59" s="55">
        <f t="shared" si="3"/>
        <v>87750000</v>
      </c>
      <c r="D59" s="55">
        <v>1350000</v>
      </c>
      <c r="E59" s="118"/>
      <c r="F59" s="114"/>
      <c r="G59" s="114"/>
      <c r="H59" s="114"/>
      <c r="I59" s="265"/>
    </row>
    <row r="60" spans="1:9" ht="12.75">
      <c r="A60" s="113">
        <v>37861</v>
      </c>
      <c r="B60" s="114">
        <f t="shared" si="2"/>
        <v>31</v>
      </c>
      <c r="C60" s="55">
        <f t="shared" si="3"/>
        <v>86400000</v>
      </c>
      <c r="D60" s="55">
        <v>1350000</v>
      </c>
      <c r="E60" s="118"/>
      <c r="F60" s="114"/>
      <c r="G60" s="114"/>
      <c r="H60" s="114"/>
      <c r="I60" s="265"/>
    </row>
    <row r="61" spans="1:9" ht="12.75">
      <c r="A61" s="113">
        <v>37892</v>
      </c>
      <c r="B61" s="114">
        <f t="shared" si="2"/>
        <v>31</v>
      </c>
      <c r="C61" s="55">
        <f t="shared" si="3"/>
        <v>85050000</v>
      </c>
      <c r="D61" s="55">
        <v>1350000</v>
      </c>
      <c r="E61" s="118"/>
      <c r="F61" s="114"/>
      <c r="G61" s="114"/>
      <c r="H61" s="114"/>
      <c r="I61" s="265"/>
    </row>
    <row r="62" spans="1:9" ht="12.75">
      <c r="A62" s="113">
        <v>37894</v>
      </c>
      <c r="B62" s="114">
        <f t="shared" si="2"/>
        <v>2</v>
      </c>
      <c r="C62" s="55">
        <f t="shared" si="3"/>
        <v>85050000</v>
      </c>
      <c r="D62" s="55"/>
      <c r="E62" s="115">
        <v>0.0888</v>
      </c>
      <c r="F62" s="55">
        <v>1983366</v>
      </c>
      <c r="G62" s="114"/>
      <c r="H62" s="114"/>
      <c r="I62" s="265"/>
    </row>
    <row r="63" spans="1:10" ht="12.75">
      <c r="A63" s="113">
        <v>37922</v>
      </c>
      <c r="B63" s="114">
        <f t="shared" si="2"/>
        <v>28</v>
      </c>
      <c r="C63" s="55">
        <f t="shared" si="3"/>
        <v>83700000</v>
      </c>
      <c r="D63" s="55">
        <v>1350000</v>
      </c>
      <c r="E63" s="118"/>
      <c r="F63" s="114"/>
      <c r="G63" s="114"/>
      <c r="H63" s="114"/>
      <c r="I63" s="265"/>
      <c r="J63" s="147"/>
    </row>
    <row r="64" spans="1:9" ht="12.75">
      <c r="A64" s="113">
        <v>37953</v>
      </c>
      <c r="B64" s="114">
        <f t="shared" si="2"/>
        <v>31</v>
      </c>
      <c r="C64" s="55">
        <f t="shared" si="3"/>
        <v>82350000</v>
      </c>
      <c r="D64" s="55">
        <v>1350000</v>
      </c>
      <c r="E64" s="118"/>
      <c r="F64" s="114"/>
      <c r="G64" s="114"/>
      <c r="H64" s="114"/>
      <c r="I64" s="265"/>
    </row>
    <row r="65" spans="1:9" ht="12.75">
      <c r="A65" s="113">
        <v>37983</v>
      </c>
      <c r="B65" s="114">
        <f t="shared" si="2"/>
        <v>30</v>
      </c>
      <c r="C65" s="55">
        <f t="shared" si="3"/>
        <v>81000000</v>
      </c>
      <c r="D65" s="55">
        <v>1350000</v>
      </c>
      <c r="E65" s="118"/>
      <c r="F65" s="114"/>
      <c r="G65" s="114"/>
      <c r="H65" s="114"/>
      <c r="I65" s="265"/>
    </row>
    <row r="66" spans="1:9" ht="12.75">
      <c r="A66" s="120">
        <v>37986</v>
      </c>
      <c r="B66" s="121">
        <f t="shared" si="2"/>
        <v>3</v>
      </c>
      <c r="C66" s="122">
        <f t="shared" si="3"/>
        <v>81000000</v>
      </c>
      <c r="D66" s="122"/>
      <c r="E66" s="123">
        <v>0.0956</v>
      </c>
      <c r="F66" s="122">
        <v>2040410</v>
      </c>
      <c r="G66" s="124">
        <f>SUM(F54:F66)</f>
        <v>7574673</v>
      </c>
      <c r="H66" s="124">
        <f>SUM(D51:D66)</f>
        <v>15677000</v>
      </c>
      <c r="I66" s="125">
        <f>SUM(G66:H66)</f>
        <v>23251673</v>
      </c>
    </row>
    <row r="67" spans="1:9" ht="12.75">
      <c r="A67" s="107">
        <v>38014</v>
      </c>
      <c r="B67" s="108">
        <f t="shared" si="2"/>
        <v>28</v>
      </c>
      <c r="C67" s="109">
        <f t="shared" si="3"/>
        <v>79650000</v>
      </c>
      <c r="D67" s="55">
        <v>1350000</v>
      </c>
      <c r="E67" s="133"/>
      <c r="F67" s="108"/>
      <c r="G67" s="108"/>
      <c r="H67" s="108"/>
      <c r="I67" s="274"/>
    </row>
    <row r="68" spans="1:9" ht="12.75">
      <c r="A68" s="113">
        <v>38045</v>
      </c>
      <c r="B68" s="114">
        <f t="shared" si="2"/>
        <v>31</v>
      </c>
      <c r="C68" s="55">
        <f t="shared" si="3"/>
        <v>78300000</v>
      </c>
      <c r="D68" s="55">
        <v>1350000</v>
      </c>
      <c r="E68" s="118"/>
      <c r="F68" s="114"/>
      <c r="G68" s="114"/>
      <c r="H68" s="114"/>
      <c r="I68" s="265"/>
    </row>
    <row r="69" spans="1:10" ht="12.75">
      <c r="A69" s="113">
        <v>38074</v>
      </c>
      <c r="B69" s="114">
        <f t="shared" si="2"/>
        <v>29</v>
      </c>
      <c r="C69" s="55">
        <f t="shared" si="3"/>
        <v>76950000</v>
      </c>
      <c r="D69" s="55">
        <v>1350000</v>
      </c>
      <c r="E69" s="118"/>
      <c r="F69" s="114"/>
      <c r="G69" s="114"/>
      <c r="H69" s="114"/>
      <c r="I69" s="265"/>
      <c r="J69" s="147"/>
    </row>
    <row r="70" spans="1:9" ht="12.75">
      <c r="A70" s="113">
        <v>38077</v>
      </c>
      <c r="B70" s="114">
        <f t="shared" si="2"/>
        <v>3</v>
      </c>
      <c r="C70" s="55">
        <f t="shared" si="3"/>
        <v>76950000</v>
      </c>
      <c r="D70" s="55"/>
      <c r="E70" s="115">
        <v>0.125</v>
      </c>
      <c r="F70" s="55">
        <v>2507291</v>
      </c>
      <c r="G70" s="114"/>
      <c r="H70" s="114"/>
      <c r="I70" s="265"/>
    </row>
    <row r="71" spans="1:9" ht="12.75">
      <c r="A71" s="113">
        <v>38105</v>
      </c>
      <c r="B71" s="114">
        <f t="shared" si="2"/>
        <v>28</v>
      </c>
      <c r="C71" s="55">
        <f t="shared" si="3"/>
        <v>75600000</v>
      </c>
      <c r="D71" s="55">
        <v>1350000</v>
      </c>
      <c r="E71" s="118"/>
      <c r="F71" s="114"/>
      <c r="G71" s="114"/>
      <c r="H71" s="114"/>
      <c r="I71" s="265"/>
    </row>
    <row r="72" spans="1:9" ht="12.75">
      <c r="A72" s="113">
        <v>38135</v>
      </c>
      <c r="B72" s="114">
        <f t="shared" si="2"/>
        <v>30</v>
      </c>
      <c r="C72" s="55">
        <f t="shared" si="3"/>
        <v>74250000</v>
      </c>
      <c r="D72" s="55">
        <v>1350000</v>
      </c>
      <c r="E72" s="118"/>
      <c r="F72" s="114"/>
      <c r="G72" s="114"/>
      <c r="H72" s="114"/>
      <c r="I72" s="265"/>
    </row>
    <row r="73" spans="1:9" ht="12.75">
      <c r="A73" s="113">
        <v>38166</v>
      </c>
      <c r="B73" s="114">
        <f t="shared" si="2"/>
        <v>31</v>
      </c>
      <c r="C73" s="55">
        <f t="shared" si="3"/>
        <v>72900000</v>
      </c>
      <c r="D73" s="55">
        <v>1350000</v>
      </c>
      <c r="E73" s="118"/>
      <c r="F73" s="114"/>
      <c r="G73" s="114"/>
      <c r="H73" s="114"/>
      <c r="I73" s="265"/>
    </row>
    <row r="74" spans="1:9" ht="12.75">
      <c r="A74" s="113">
        <v>38168</v>
      </c>
      <c r="B74" s="114">
        <f t="shared" si="2"/>
        <v>2</v>
      </c>
      <c r="C74" s="55">
        <f t="shared" si="3"/>
        <v>72900000</v>
      </c>
      <c r="D74" s="55"/>
      <c r="E74" s="115">
        <v>0.1192</v>
      </c>
      <c r="F74" s="55">
        <v>2276023</v>
      </c>
      <c r="G74" s="114"/>
      <c r="H74" s="114"/>
      <c r="I74" s="265"/>
    </row>
    <row r="75" spans="1:9" ht="12.75">
      <c r="A75" s="113">
        <v>38196</v>
      </c>
      <c r="B75" s="114">
        <f t="shared" si="2"/>
        <v>28</v>
      </c>
      <c r="C75" s="55">
        <f t="shared" si="3"/>
        <v>71550000</v>
      </c>
      <c r="D75" s="55">
        <v>1350000</v>
      </c>
      <c r="E75" s="118"/>
      <c r="F75" s="114"/>
      <c r="G75" s="114"/>
      <c r="H75" s="114"/>
      <c r="I75" s="265"/>
    </row>
    <row r="76" spans="1:9" ht="12.75">
      <c r="A76" s="113">
        <v>38227</v>
      </c>
      <c r="B76" s="114">
        <f t="shared" si="2"/>
        <v>31</v>
      </c>
      <c r="C76" s="55">
        <f t="shared" si="3"/>
        <v>70200000</v>
      </c>
      <c r="D76" s="55">
        <v>1350000</v>
      </c>
      <c r="E76" s="118"/>
      <c r="F76" s="114"/>
      <c r="G76" s="114"/>
      <c r="H76" s="114"/>
      <c r="I76" s="265"/>
    </row>
    <row r="77" spans="1:9" ht="12.75">
      <c r="A77" s="113">
        <v>38258</v>
      </c>
      <c r="B77" s="114">
        <f t="shared" si="2"/>
        <v>31</v>
      </c>
      <c r="C77" s="55">
        <f t="shared" si="3"/>
        <v>68850000</v>
      </c>
      <c r="D77" s="55">
        <v>1350000</v>
      </c>
      <c r="E77" s="118"/>
      <c r="F77" s="114"/>
      <c r="G77" s="114"/>
      <c r="H77" s="114"/>
      <c r="I77" s="265"/>
    </row>
    <row r="78" spans="1:9" ht="12.75">
      <c r="A78" s="113">
        <v>38260</v>
      </c>
      <c r="B78" s="114">
        <f t="shared" si="2"/>
        <v>2</v>
      </c>
      <c r="C78" s="55">
        <f t="shared" si="3"/>
        <v>68850000</v>
      </c>
      <c r="D78" s="55"/>
      <c r="E78" s="115">
        <v>0.1162</v>
      </c>
      <c r="F78" s="55">
        <v>2123146</v>
      </c>
      <c r="G78" s="114"/>
      <c r="H78" s="114"/>
      <c r="I78" s="265"/>
    </row>
    <row r="79" spans="1:9" ht="12.75">
      <c r="A79" s="113">
        <v>38288</v>
      </c>
      <c r="B79" s="114">
        <f t="shared" si="2"/>
        <v>28</v>
      </c>
      <c r="C79" s="55">
        <f t="shared" si="3"/>
        <v>67500000</v>
      </c>
      <c r="D79" s="55">
        <v>1350000</v>
      </c>
      <c r="E79" s="118"/>
      <c r="F79" s="114"/>
      <c r="G79" s="114"/>
      <c r="H79" s="114"/>
      <c r="I79" s="265"/>
    </row>
    <row r="80" spans="1:9" ht="12.75">
      <c r="A80" s="113">
        <v>38320</v>
      </c>
      <c r="B80" s="114">
        <f t="shared" si="2"/>
        <v>32</v>
      </c>
      <c r="C80" s="55">
        <f t="shared" si="3"/>
        <v>66150000</v>
      </c>
      <c r="D80" s="55">
        <v>1350000</v>
      </c>
      <c r="E80" s="118"/>
      <c r="F80" s="114"/>
      <c r="G80" s="114"/>
      <c r="H80" s="114"/>
      <c r="I80" s="265"/>
    </row>
    <row r="81" spans="1:9" ht="12.75">
      <c r="A81" s="113">
        <v>38349</v>
      </c>
      <c r="B81" s="114">
        <f t="shared" si="2"/>
        <v>29</v>
      </c>
      <c r="C81" s="55">
        <f t="shared" si="3"/>
        <v>64800000</v>
      </c>
      <c r="D81" s="55">
        <v>1350000</v>
      </c>
      <c r="E81" s="118"/>
      <c r="F81" s="114"/>
      <c r="G81" s="114"/>
      <c r="H81" s="114"/>
      <c r="I81" s="265"/>
    </row>
    <row r="82" spans="1:9" ht="12.75">
      <c r="A82" s="120">
        <v>38352</v>
      </c>
      <c r="B82" s="121">
        <f t="shared" si="2"/>
        <v>3</v>
      </c>
      <c r="C82" s="122">
        <f t="shared" si="3"/>
        <v>64800000</v>
      </c>
      <c r="D82" s="122"/>
      <c r="E82" s="123">
        <v>0.1105</v>
      </c>
      <c r="F82" s="122">
        <v>1904315</v>
      </c>
      <c r="G82" s="124">
        <f>SUM(F70:F82)</f>
        <v>8810775</v>
      </c>
      <c r="H82" s="124">
        <f>SUM(D67:D82)</f>
        <v>16200000</v>
      </c>
      <c r="I82" s="125">
        <f>SUM(G82:H82)</f>
        <v>25010775</v>
      </c>
    </row>
    <row r="83" spans="1:9" ht="12.75">
      <c r="A83" s="107">
        <v>38380</v>
      </c>
      <c r="B83" s="108">
        <f t="shared" si="2"/>
        <v>28</v>
      </c>
      <c r="C83" s="109">
        <f t="shared" si="3"/>
        <v>63450000</v>
      </c>
      <c r="D83" s="55">
        <v>1350000</v>
      </c>
      <c r="E83" s="133"/>
      <c r="F83" s="108"/>
      <c r="G83" s="108"/>
      <c r="H83" s="108"/>
      <c r="I83" s="274"/>
    </row>
    <row r="84" spans="1:9" ht="12.75">
      <c r="A84" s="113">
        <v>38411</v>
      </c>
      <c r="B84" s="114">
        <f t="shared" si="2"/>
        <v>31</v>
      </c>
      <c r="C84" s="55">
        <f t="shared" si="3"/>
        <v>62100000</v>
      </c>
      <c r="D84" s="55">
        <v>1350000</v>
      </c>
      <c r="E84" s="118"/>
      <c r="F84" s="114"/>
      <c r="G84" s="114"/>
      <c r="H84" s="114"/>
      <c r="I84" s="265"/>
    </row>
    <row r="85" spans="1:9" ht="12.75">
      <c r="A85" s="113">
        <v>38440</v>
      </c>
      <c r="B85" s="114">
        <f t="shared" si="2"/>
        <v>29</v>
      </c>
      <c r="C85" s="55">
        <f t="shared" si="3"/>
        <v>60750000</v>
      </c>
      <c r="D85" s="55">
        <v>1350000</v>
      </c>
      <c r="E85" s="118"/>
      <c r="F85" s="114"/>
      <c r="G85" s="114"/>
      <c r="H85" s="114"/>
      <c r="I85" s="265"/>
    </row>
    <row r="86" spans="1:9" ht="12.75">
      <c r="A86" s="113">
        <v>38442</v>
      </c>
      <c r="B86" s="114">
        <f t="shared" si="2"/>
        <v>2</v>
      </c>
      <c r="C86" s="55">
        <f t="shared" si="3"/>
        <v>60750000</v>
      </c>
      <c r="D86" s="55"/>
      <c r="E86" s="115">
        <v>0.0941</v>
      </c>
      <c r="F86" s="55">
        <v>1493848</v>
      </c>
      <c r="G86" s="114"/>
      <c r="H86" s="114"/>
      <c r="I86" s="265"/>
    </row>
    <row r="87" spans="1:9" ht="12.75">
      <c r="A87" s="113">
        <v>38470</v>
      </c>
      <c r="B87" s="114">
        <f t="shared" si="2"/>
        <v>28</v>
      </c>
      <c r="C87" s="55">
        <f t="shared" si="3"/>
        <v>59400000</v>
      </c>
      <c r="D87" s="55">
        <v>1350000</v>
      </c>
      <c r="E87" s="118"/>
      <c r="F87" s="114"/>
      <c r="G87" s="114"/>
      <c r="H87" s="114"/>
      <c r="I87" s="265"/>
    </row>
    <row r="88" spans="1:9" ht="12.75">
      <c r="A88" s="113">
        <v>38502</v>
      </c>
      <c r="B88" s="114">
        <f t="shared" si="2"/>
        <v>32</v>
      </c>
      <c r="C88" s="55">
        <f t="shared" si="3"/>
        <v>58050000</v>
      </c>
      <c r="D88" s="55">
        <v>1350000</v>
      </c>
      <c r="E88" s="118"/>
      <c r="F88" s="114"/>
      <c r="G88" s="114"/>
      <c r="H88" s="114"/>
      <c r="I88" s="265"/>
    </row>
    <row r="89" spans="1:9" ht="12.75">
      <c r="A89" s="113">
        <v>38531</v>
      </c>
      <c r="B89" s="114">
        <f t="shared" si="2"/>
        <v>29</v>
      </c>
      <c r="C89" s="55">
        <f t="shared" si="3"/>
        <v>56700000</v>
      </c>
      <c r="D89" s="55">
        <v>1350000</v>
      </c>
      <c r="E89" s="118"/>
      <c r="F89" s="114"/>
      <c r="G89" s="114"/>
      <c r="H89" s="114"/>
      <c r="I89" s="265"/>
    </row>
    <row r="90" spans="1:9" ht="12.75">
      <c r="A90" s="113">
        <v>38533</v>
      </c>
      <c r="B90" s="114">
        <f t="shared" si="2"/>
        <v>2</v>
      </c>
      <c r="C90" s="55">
        <f t="shared" si="3"/>
        <v>56700000</v>
      </c>
      <c r="D90" s="55"/>
      <c r="E90" s="115">
        <v>0.0779</v>
      </c>
      <c r="F90" s="55">
        <v>1170942</v>
      </c>
      <c r="G90" s="114"/>
      <c r="H90" s="114"/>
      <c r="I90" s="265"/>
    </row>
    <row r="91" spans="1:9" ht="12.75">
      <c r="A91" s="113">
        <v>38561</v>
      </c>
      <c r="B91" s="114">
        <f t="shared" si="2"/>
        <v>28</v>
      </c>
      <c r="C91" s="55">
        <f t="shared" si="3"/>
        <v>55350000</v>
      </c>
      <c r="D91" s="55">
        <v>1350000</v>
      </c>
      <c r="E91" s="118"/>
      <c r="F91" s="114"/>
      <c r="G91" s="114"/>
      <c r="H91" s="114"/>
      <c r="I91" s="265"/>
    </row>
    <row r="92" spans="1:9" ht="12.75">
      <c r="A92" s="113">
        <v>38593</v>
      </c>
      <c r="B92" s="114">
        <f t="shared" si="2"/>
        <v>32</v>
      </c>
      <c r="C92" s="55">
        <f t="shared" si="3"/>
        <v>54000000</v>
      </c>
      <c r="D92" s="55">
        <v>1350000</v>
      </c>
      <c r="E92" s="118"/>
      <c r="F92" s="114"/>
      <c r="G92" s="114"/>
      <c r="H92" s="114"/>
      <c r="I92" s="265"/>
    </row>
    <row r="93" spans="1:9" ht="12.75">
      <c r="A93" s="113">
        <v>38623</v>
      </c>
      <c r="B93" s="114">
        <f t="shared" si="2"/>
        <v>30</v>
      </c>
      <c r="C93" s="55">
        <f t="shared" si="3"/>
        <v>52650000</v>
      </c>
      <c r="D93" s="55">
        <v>1350000</v>
      </c>
      <c r="E93" s="118"/>
      <c r="F93" s="114"/>
      <c r="G93" s="114"/>
      <c r="H93" s="114"/>
      <c r="I93" s="265"/>
    </row>
    <row r="94" spans="1:9" ht="12.75">
      <c r="A94" s="113">
        <v>38625</v>
      </c>
      <c r="B94" s="114">
        <f t="shared" si="2"/>
        <v>2</v>
      </c>
      <c r="C94" s="55">
        <f t="shared" si="3"/>
        <v>52650000</v>
      </c>
      <c r="D94" s="55"/>
      <c r="E94" s="115">
        <v>0.0697</v>
      </c>
      <c r="F94" s="55">
        <v>985630</v>
      </c>
      <c r="G94" s="114"/>
      <c r="H94" s="114"/>
      <c r="I94" s="265"/>
    </row>
    <row r="95" spans="1:9" ht="12.75">
      <c r="A95" s="113">
        <v>38653</v>
      </c>
      <c r="B95" s="114">
        <f t="shared" si="2"/>
        <v>28</v>
      </c>
      <c r="C95" s="55">
        <f t="shared" si="3"/>
        <v>51300000</v>
      </c>
      <c r="D95" s="55">
        <v>1350000</v>
      </c>
      <c r="E95" s="118"/>
      <c r="F95" s="114"/>
      <c r="G95" s="114"/>
      <c r="H95" s="114"/>
      <c r="I95" s="265"/>
    </row>
    <row r="96" spans="1:9" ht="12.75">
      <c r="A96" s="113">
        <v>38684</v>
      </c>
      <c r="B96" s="114">
        <f t="shared" si="2"/>
        <v>31</v>
      </c>
      <c r="C96" s="55">
        <f t="shared" si="3"/>
        <v>49950000</v>
      </c>
      <c r="D96" s="55">
        <v>1350000</v>
      </c>
      <c r="E96" s="118"/>
      <c r="F96" s="114"/>
      <c r="G96" s="114"/>
      <c r="H96" s="114"/>
      <c r="I96" s="265"/>
    </row>
    <row r="97" spans="1:9" ht="12.75">
      <c r="A97" s="113">
        <v>38714</v>
      </c>
      <c r="B97" s="114">
        <f t="shared" si="2"/>
        <v>30</v>
      </c>
      <c r="C97" s="55">
        <f t="shared" si="3"/>
        <v>48600000</v>
      </c>
      <c r="D97" s="55">
        <v>1350000</v>
      </c>
      <c r="E97" s="118"/>
      <c r="F97" s="114"/>
      <c r="G97" s="114"/>
      <c r="H97" s="114"/>
      <c r="I97" s="265"/>
    </row>
    <row r="98" spans="1:9" ht="12.75">
      <c r="A98" s="120">
        <v>38717</v>
      </c>
      <c r="B98" s="121">
        <f t="shared" si="2"/>
        <v>3</v>
      </c>
      <c r="C98" s="122">
        <f t="shared" si="3"/>
        <v>48600000</v>
      </c>
      <c r="D98" s="122"/>
      <c r="E98" s="123">
        <v>0.0605</v>
      </c>
      <c r="F98" s="122">
        <f>((C95+D95)*E98/360*B95)+((C96+D96)*E98/360*B96)+((C97+D97)*E98/360*B97)+C98*E98/360*B98</f>
        <v>791340</v>
      </c>
      <c r="G98" s="124">
        <f>SUM(F86:F98)</f>
        <v>4441760</v>
      </c>
      <c r="H98" s="124">
        <f>SUM(D83:D98)</f>
        <v>16200000</v>
      </c>
      <c r="I98" s="125">
        <f>SUM(G98:H98)</f>
        <v>20641760</v>
      </c>
    </row>
    <row r="99" spans="1:9" ht="12.75">
      <c r="A99" s="107">
        <v>38745</v>
      </c>
      <c r="B99" s="108">
        <f t="shared" si="2"/>
        <v>28</v>
      </c>
      <c r="C99" s="109">
        <f t="shared" si="3"/>
        <v>47250000</v>
      </c>
      <c r="D99" s="55">
        <v>1350000</v>
      </c>
      <c r="E99" s="133"/>
      <c r="F99" s="108"/>
      <c r="G99" s="108"/>
      <c r="H99" s="108"/>
      <c r="I99" s="274"/>
    </row>
    <row r="100" spans="1:9" ht="12.75">
      <c r="A100" s="113">
        <v>38776</v>
      </c>
      <c r="B100" s="114">
        <f t="shared" si="2"/>
        <v>31</v>
      </c>
      <c r="C100" s="55">
        <f t="shared" si="3"/>
        <v>45900000</v>
      </c>
      <c r="D100" s="55">
        <v>1350000</v>
      </c>
      <c r="E100" s="118"/>
      <c r="F100" s="114"/>
      <c r="G100" s="114"/>
      <c r="H100" s="114"/>
      <c r="I100" s="265"/>
    </row>
    <row r="101" spans="1:9" ht="12.75">
      <c r="A101" s="113">
        <v>38804</v>
      </c>
      <c r="B101" s="114">
        <f t="shared" si="2"/>
        <v>28</v>
      </c>
      <c r="C101" s="55">
        <f t="shared" si="3"/>
        <v>44550000</v>
      </c>
      <c r="D101" s="55">
        <v>1350000</v>
      </c>
      <c r="E101" s="118"/>
      <c r="F101" s="114"/>
      <c r="G101" s="114"/>
      <c r="H101" s="114"/>
      <c r="I101" s="265"/>
    </row>
    <row r="102" spans="1:9" ht="12.75">
      <c r="A102" s="113">
        <v>38807</v>
      </c>
      <c r="B102" s="114">
        <f t="shared" si="2"/>
        <v>3</v>
      </c>
      <c r="C102" s="55">
        <f t="shared" si="3"/>
        <v>44550000</v>
      </c>
      <c r="D102" s="55"/>
      <c r="E102" s="115">
        <f>E98</f>
        <v>0.0605</v>
      </c>
      <c r="F102" s="55">
        <f>((C99+D99)*E102/360*B99)+((C100+D100)*E102/360*B100)+((C101+D101)*E102/360*B101)+C102*E102/360*B102</f>
        <v>713295</v>
      </c>
      <c r="G102" s="114"/>
      <c r="H102" s="114"/>
      <c r="I102" s="265"/>
    </row>
    <row r="103" spans="1:9" ht="12.75">
      <c r="A103" s="113">
        <v>38835</v>
      </c>
      <c r="B103" s="114">
        <f t="shared" si="2"/>
        <v>28</v>
      </c>
      <c r="C103" s="55">
        <f t="shared" si="3"/>
        <v>43200000</v>
      </c>
      <c r="D103" s="55">
        <v>1350000</v>
      </c>
      <c r="E103" s="118"/>
      <c r="F103" s="114"/>
      <c r="G103" s="114"/>
      <c r="H103" s="114"/>
      <c r="I103" s="265"/>
    </row>
    <row r="104" spans="1:9" ht="12.75">
      <c r="A104" s="120">
        <v>38865</v>
      </c>
      <c r="B104" s="121">
        <f t="shared" si="2"/>
        <v>30</v>
      </c>
      <c r="C104" s="122">
        <f t="shared" si="3"/>
        <v>41850000</v>
      </c>
      <c r="D104" s="122">
        <v>1350000</v>
      </c>
      <c r="E104" s="214"/>
      <c r="F104" s="121"/>
      <c r="G104" s="121"/>
      <c r="H104" s="121"/>
      <c r="I104" s="284"/>
    </row>
    <row r="105" spans="1:9" ht="12.75">
      <c r="A105" s="126">
        <v>38896</v>
      </c>
      <c r="B105" s="127">
        <f t="shared" si="2"/>
        <v>31</v>
      </c>
      <c r="C105" s="56">
        <f t="shared" si="3"/>
        <v>40500000</v>
      </c>
      <c r="D105" s="109">
        <v>1350000</v>
      </c>
      <c r="E105" s="128"/>
      <c r="F105" s="127"/>
      <c r="G105" s="127"/>
      <c r="H105" s="127"/>
      <c r="I105" s="276"/>
    </row>
    <row r="106" spans="1:9" ht="12.75">
      <c r="A106" s="113">
        <v>38898</v>
      </c>
      <c r="B106" s="114">
        <f t="shared" si="2"/>
        <v>2</v>
      </c>
      <c r="C106" s="55">
        <f t="shared" si="3"/>
        <v>40500000</v>
      </c>
      <c r="D106" s="55"/>
      <c r="E106" s="115">
        <f>E102</f>
        <v>0.0605</v>
      </c>
      <c r="F106" s="55">
        <f>((C103+D103)*E106/360*B103)+((C104+D104)*E106/360*B104)+((C105+D105)*E106/360*B105)+C106*E106/360*B106</f>
        <v>659071.875</v>
      </c>
      <c r="G106" s="114"/>
      <c r="H106" s="114"/>
      <c r="I106" s="265"/>
    </row>
    <row r="107" spans="1:9" ht="12.75">
      <c r="A107" s="113">
        <v>38926</v>
      </c>
      <c r="B107" s="114">
        <f t="shared" si="2"/>
        <v>28</v>
      </c>
      <c r="C107" s="55">
        <f t="shared" si="3"/>
        <v>39150000</v>
      </c>
      <c r="D107" s="55">
        <v>1350000</v>
      </c>
      <c r="E107" s="118"/>
      <c r="F107" s="114"/>
      <c r="G107" s="114"/>
      <c r="H107" s="114"/>
      <c r="I107" s="265"/>
    </row>
    <row r="108" spans="1:9" ht="12.75">
      <c r="A108" s="113">
        <v>38957</v>
      </c>
      <c r="B108" s="114">
        <f t="shared" si="2"/>
        <v>31</v>
      </c>
      <c r="C108" s="55">
        <f t="shared" si="3"/>
        <v>37800000</v>
      </c>
      <c r="D108" s="55">
        <v>1350000</v>
      </c>
      <c r="E108" s="118"/>
      <c r="F108" s="114"/>
      <c r="G108" s="114"/>
      <c r="H108" s="114"/>
      <c r="I108" s="265"/>
    </row>
    <row r="109" spans="1:9" ht="12.75">
      <c r="A109" s="113">
        <v>38988</v>
      </c>
      <c r="B109" s="114">
        <f t="shared" si="2"/>
        <v>31</v>
      </c>
      <c r="C109" s="55">
        <f t="shared" si="3"/>
        <v>36450000</v>
      </c>
      <c r="D109" s="55">
        <v>1350000</v>
      </c>
      <c r="E109" s="118"/>
      <c r="F109" s="114"/>
      <c r="G109" s="114"/>
      <c r="H109" s="114"/>
      <c r="I109" s="265"/>
    </row>
    <row r="110" spans="1:9" ht="12.75">
      <c r="A110" s="113">
        <v>38990</v>
      </c>
      <c r="B110" s="114">
        <f t="shared" si="2"/>
        <v>2</v>
      </c>
      <c r="C110" s="55">
        <f t="shared" si="3"/>
        <v>36450000</v>
      </c>
      <c r="D110" s="55"/>
      <c r="E110" s="115">
        <f>E106</f>
        <v>0.0605</v>
      </c>
      <c r="F110" s="55">
        <f>((C107+D107)*E110/360*B107)+((C108+D108)*E110/360*B108)+((C109+D109)*E110/360*B109)+C110*E110/360*B110</f>
        <v>603714.375</v>
      </c>
      <c r="G110" s="114"/>
      <c r="H110" s="114"/>
      <c r="I110" s="265"/>
    </row>
    <row r="111" spans="1:9" ht="12.75">
      <c r="A111" s="113">
        <v>39018</v>
      </c>
      <c r="B111" s="114">
        <f t="shared" si="2"/>
        <v>28</v>
      </c>
      <c r="C111" s="55">
        <f t="shared" si="3"/>
        <v>35100000</v>
      </c>
      <c r="D111" s="55">
        <v>1350000</v>
      </c>
      <c r="E111" s="118"/>
      <c r="F111" s="114"/>
      <c r="G111" s="114"/>
      <c r="H111" s="114"/>
      <c r="I111" s="265"/>
    </row>
    <row r="112" spans="1:9" ht="12.75">
      <c r="A112" s="113">
        <v>39049</v>
      </c>
      <c r="B112" s="114">
        <f t="shared" si="2"/>
        <v>31</v>
      </c>
      <c r="C112" s="55">
        <f t="shared" si="3"/>
        <v>33750000</v>
      </c>
      <c r="D112" s="55">
        <v>1350000</v>
      </c>
      <c r="E112" s="118"/>
      <c r="F112" s="114"/>
      <c r="G112" s="114"/>
      <c r="H112" s="114"/>
      <c r="I112" s="265"/>
    </row>
    <row r="113" spans="1:9" ht="12.75">
      <c r="A113" s="113">
        <v>39079</v>
      </c>
      <c r="B113" s="114">
        <f t="shared" si="2"/>
        <v>30</v>
      </c>
      <c r="C113" s="55">
        <f t="shared" si="3"/>
        <v>32400000</v>
      </c>
      <c r="D113" s="55">
        <v>1350000</v>
      </c>
      <c r="E113" s="118"/>
      <c r="F113" s="114"/>
      <c r="G113" s="114"/>
      <c r="H113" s="114"/>
      <c r="I113" s="265"/>
    </row>
    <row r="114" spans="1:9" ht="12.75">
      <c r="A114" s="120">
        <v>39082</v>
      </c>
      <c r="B114" s="121">
        <f t="shared" si="2"/>
        <v>3</v>
      </c>
      <c r="C114" s="122">
        <f t="shared" si="3"/>
        <v>32400000</v>
      </c>
      <c r="D114" s="122"/>
      <c r="E114" s="123">
        <f>E110</f>
        <v>0.0605</v>
      </c>
      <c r="F114" s="122">
        <f>((C111+D111)*E114/360*B111)+((C112+D112)*E114/360*B112)+((C113+D113)*E114/360*B113)+C114*E114/360*B114</f>
        <v>540870</v>
      </c>
      <c r="G114" s="124">
        <f>SUM(F102:F114)</f>
        <v>2516951.25</v>
      </c>
      <c r="H114" s="124">
        <f>SUM(D99:D114)</f>
        <v>16200000</v>
      </c>
      <c r="I114" s="125">
        <f>SUM(G114:H114)</f>
        <v>18716951.25</v>
      </c>
    </row>
    <row r="115" spans="1:9" ht="12.75">
      <c r="A115" s="107">
        <v>39110</v>
      </c>
      <c r="B115" s="108">
        <f aca="true" t="shared" si="4" ref="B115:B145">A115-A114</f>
        <v>28</v>
      </c>
      <c r="C115" s="109">
        <f aca="true" t="shared" si="5" ref="C115:C145">C114-D115</f>
        <v>31050000</v>
      </c>
      <c r="D115" s="55">
        <v>1350000</v>
      </c>
      <c r="E115" s="133"/>
      <c r="F115" s="108"/>
      <c r="G115" s="108"/>
      <c r="H115" s="108"/>
      <c r="I115" s="274"/>
    </row>
    <row r="116" spans="1:9" ht="12.75">
      <c r="A116" s="113">
        <v>39141</v>
      </c>
      <c r="B116" s="114">
        <f t="shared" si="4"/>
        <v>31</v>
      </c>
      <c r="C116" s="55">
        <f t="shared" si="5"/>
        <v>29700000</v>
      </c>
      <c r="D116" s="55">
        <v>1350000</v>
      </c>
      <c r="E116" s="118"/>
      <c r="F116" s="114"/>
      <c r="G116" s="114"/>
      <c r="H116" s="114"/>
      <c r="I116" s="265"/>
    </row>
    <row r="117" spans="1:9" ht="12.75">
      <c r="A117" s="113">
        <v>39169</v>
      </c>
      <c r="B117" s="114">
        <f t="shared" si="4"/>
        <v>28</v>
      </c>
      <c r="C117" s="55">
        <f t="shared" si="5"/>
        <v>28350000</v>
      </c>
      <c r="D117" s="55">
        <v>1350000</v>
      </c>
      <c r="E117" s="118"/>
      <c r="F117" s="114"/>
      <c r="G117" s="114"/>
      <c r="H117" s="114"/>
      <c r="I117" s="265"/>
    </row>
    <row r="118" spans="1:9" ht="12.75">
      <c r="A118" s="113">
        <v>39172</v>
      </c>
      <c r="B118" s="114">
        <f t="shared" si="4"/>
        <v>3</v>
      </c>
      <c r="C118" s="55">
        <f t="shared" si="5"/>
        <v>28350000</v>
      </c>
      <c r="D118" s="55"/>
      <c r="E118" s="115">
        <f>E114</f>
        <v>0.0605</v>
      </c>
      <c r="F118" s="55">
        <f>((C115+D115)*E118/360*B115)+((C116+D116)*E118/360*B116)+((C117+D117)*E118/360*B117)+C118*E118/360*B118</f>
        <v>468270</v>
      </c>
      <c r="G118" s="114"/>
      <c r="H118" s="114"/>
      <c r="I118" s="265"/>
    </row>
    <row r="119" spans="1:9" ht="12.75">
      <c r="A119" s="113">
        <v>39200</v>
      </c>
      <c r="B119" s="114">
        <f t="shared" si="4"/>
        <v>28</v>
      </c>
      <c r="C119" s="55">
        <f t="shared" si="5"/>
        <v>27000000</v>
      </c>
      <c r="D119" s="55">
        <v>1350000</v>
      </c>
      <c r="E119" s="118"/>
      <c r="F119" s="114"/>
      <c r="G119" s="114"/>
      <c r="H119" s="114"/>
      <c r="I119" s="265"/>
    </row>
    <row r="120" spans="1:9" ht="12.75">
      <c r="A120" s="113">
        <v>39230</v>
      </c>
      <c r="B120" s="114">
        <f t="shared" si="4"/>
        <v>30</v>
      </c>
      <c r="C120" s="55">
        <f t="shared" si="5"/>
        <v>25650000</v>
      </c>
      <c r="D120" s="55">
        <v>1350000</v>
      </c>
      <c r="E120" s="118"/>
      <c r="F120" s="114"/>
      <c r="G120" s="114"/>
      <c r="H120" s="114"/>
      <c r="I120" s="265"/>
    </row>
    <row r="121" spans="1:9" ht="12.75">
      <c r="A121" s="113">
        <v>39261</v>
      </c>
      <c r="B121" s="114">
        <f t="shared" si="4"/>
        <v>31</v>
      </c>
      <c r="C121" s="55">
        <f t="shared" si="5"/>
        <v>24300000</v>
      </c>
      <c r="D121" s="55">
        <v>1350000</v>
      </c>
      <c r="E121" s="118"/>
      <c r="F121" s="114"/>
      <c r="G121" s="114"/>
      <c r="H121" s="114"/>
      <c r="I121" s="265"/>
    </row>
    <row r="122" spans="1:9" ht="12.75">
      <c r="A122" s="113">
        <v>39263</v>
      </c>
      <c r="B122" s="114">
        <f t="shared" si="4"/>
        <v>2</v>
      </c>
      <c r="C122" s="55">
        <f t="shared" si="5"/>
        <v>24300000</v>
      </c>
      <c r="D122" s="55"/>
      <c r="E122" s="115">
        <f>E118</f>
        <v>0.0605</v>
      </c>
      <c r="F122" s="55">
        <f>((C119+D119)*E122/360*B119)+((C120+D120)*E122/360*B120)+((C121+D121)*E122/360*B121)+C122*E122/360*B122</f>
        <v>411324.375</v>
      </c>
      <c r="G122" s="114"/>
      <c r="H122" s="114"/>
      <c r="I122" s="265"/>
    </row>
    <row r="123" spans="1:9" ht="12.75">
      <c r="A123" s="113">
        <v>39291</v>
      </c>
      <c r="B123" s="114">
        <f t="shared" si="4"/>
        <v>28</v>
      </c>
      <c r="C123" s="55">
        <f t="shared" si="5"/>
        <v>22950000</v>
      </c>
      <c r="D123" s="55">
        <v>1350000</v>
      </c>
      <c r="E123" s="118"/>
      <c r="F123" s="114"/>
      <c r="G123" s="114"/>
      <c r="H123" s="114"/>
      <c r="I123" s="265"/>
    </row>
    <row r="124" spans="1:9" ht="12.75">
      <c r="A124" s="113">
        <v>39322</v>
      </c>
      <c r="B124" s="114">
        <f t="shared" si="4"/>
        <v>31</v>
      </c>
      <c r="C124" s="55">
        <f t="shared" si="5"/>
        <v>21600000</v>
      </c>
      <c r="D124" s="55">
        <v>1350000</v>
      </c>
      <c r="E124" s="118"/>
      <c r="F124" s="114"/>
      <c r="G124" s="114"/>
      <c r="H124" s="114"/>
      <c r="I124" s="265"/>
    </row>
    <row r="125" spans="1:9" ht="12.75">
      <c r="A125" s="113">
        <v>39353</v>
      </c>
      <c r="B125" s="114">
        <f t="shared" si="4"/>
        <v>31</v>
      </c>
      <c r="C125" s="55">
        <f t="shared" si="5"/>
        <v>20250000</v>
      </c>
      <c r="D125" s="55">
        <v>1350000</v>
      </c>
      <c r="E125" s="118"/>
      <c r="F125" s="114"/>
      <c r="G125" s="114"/>
      <c r="H125" s="114"/>
      <c r="I125" s="265"/>
    </row>
    <row r="126" spans="1:9" ht="12.75">
      <c r="A126" s="113">
        <v>39355</v>
      </c>
      <c r="B126" s="114">
        <f t="shared" si="4"/>
        <v>2</v>
      </c>
      <c r="C126" s="55">
        <f t="shared" si="5"/>
        <v>20250000</v>
      </c>
      <c r="D126" s="55"/>
      <c r="E126" s="115">
        <f>E122</f>
        <v>0.0605</v>
      </c>
      <c r="F126" s="55">
        <f>((C123+D123)*E126/360*B123)+((C124+D124)*E126/360*B124)+((C125+D125)*E126/360*B125)+C126*E126/360*B126</f>
        <v>353244.375</v>
      </c>
      <c r="G126" s="114"/>
      <c r="H126" s="114"/>
      <c r="I126" s="265"/>
    </row>
    <row r="127" spans="1:9" ht="12.75">
      <c r="A127" s="113">
        <v>39383</v>
      </c>
      <c r="B127" s="114">
        <f t="shared" si="4"/>
        <v>28</v>
      </c>
      <c r="C127" s="55">
        <f t="shared" si="5"/>
        <v>18900000</v>
      </c>
      <c r="D127" s="55">
        <v>1350000</v>
      </c>
      <c r="E127" s="118"/>
      <c r="F127" s="114"/>
      <c r="G127" s="114"/>
      <c r="H127" s="114"/>
      <c r="I127" s="265"/>
    </row>
    <row r="128" spans="1:9" ht="12.75">
      <c r="A128" s="113">
        <v>39414</v>
      </c>
      <c r="B128" s="114">
        <f t="shared" si="4"/>
        <v>31</v>
      </c>
      <c r="C128" s="55">
        <f t="shared" si="5"/>
        <v>17550000</v>
      </c>
      <c r="D128" s="55">
        <v>1350000</v>
      </c>
      <c r="E128" s="118"/>
      <c r="F128" s="114"/>
      <c r="G128" s="114"/>
      <c r="H128" s="114"/>
      <c r="I128" s="265"/>
    </row>
    <row r="129" spans="1:9" ht="12.75">
      <c r="A129" s="113">
        <v>39444</v>
      </c>
      <c r="B129" s="114">
        <f t="shared" si="4"/>
        <v>30</v>
      </c>
      <c r="C129" s="55">
        <f t="shared" si="5"/>
        <v>16200000</v>
      </c>
      <c r="D129" s="55">
        <v>1350000</v>
      </c>
      <c r="E129" s="118"/>
      <c r="F129" s="114"/>
      <c r="G129" s="114"/>
      <c r="H129" s="114"/>
      <c r="I129" s="265"/>
    </row>
    <row r="130" spans="1:9" ht="12.75">
      <c r="A130" s="120">
        <v>39447</v>
      </c>
      <c r="B130" s="121">
        <f t="shared" si="4"/>
        <v>3</v>
      </c>
      <c r="C130" s="122">
        <f t="shared" si="5"/>
        <v>16200000</v>
      </c>
      <c r="D130" s="122"/>
      <c r="E130" s="123">
        <f>E126</f>
        <v>0.0605</v>
      </c>
      <c r="F130" s="122">
        <f>((C127+D127)*E130/360*B127)+((C128+D128)*E130/360*B128)+((C129+D129)*E130/360*B129)+C130*E130/360*B130</f>
        <v>290400</v>
      </c>
      <c r="G130" s="124">
        <f>SUM(F118:F130)</f>
        <v>1523238.75</v>
      </c>
      <c r="H130" s="124">
        <f>SUM(D115:D130)</f>
        <v>16200000</v>
      </c>
      <c r="I130" s="125">
        <f>SUM(G130:H130)</f>
        <v>17723238.75</v>
      </c>
    </row>
    <row r="131" spans="1:9" ht="12.75">
      <c r="A131" s="107">
        <v>39475</v>
      </c>
      <c r="B131" s="108">
        <f t="shared" si="4"/>
        <v>28</v>
      </c>
      <c r="C131" s="109">
        <f t="shared" si="5"/>
        <v>14850000</v>
      </c>
      <c r="D131" s="55">
        <v>1350000</v>
      </c>
      <c r="E131" s="133"/>
      <c r="F131" s="108"/>
      <c r="G131" s="108"/>
      <c r="H131" s="108"/>
      <c r="I131" s="274"/>
    </row>
    <row r="132" spans="1:9" ht="12.75">
      <c r="A132" s="113">
        <v>39506</v>
      </c>
      <c r="B132" s="114">
        <f t="shared" si="4"/>
        <v>31</v>
      </c>
      <c r="C132" s="55">
        <f t="shared" si="5"/>
        <v>13500000</v>
      </c>
      <c r="D132" s="55">
        <v>1350000</v>
      </c>
      <c r="E132" s="118"/>
      <c r="F132" s="114"/>
      <c r="G132" s="114"/>
      <c r="H132" s="114"/>
      <c r="I132" s="265"/>
    </row>
    <row r="133" spans="1:9" ht="12.75">
      <c r="A133" s="113">
        <v>39535</v>
      </c>
      <c r="B133" s="114">
        <f t="shared" si="4"/>
        <v>29</v>
      </c>
      <c r="C133" s="55">
        <f t="shared" si="5"/>
        <v>12150000</v>
      </c>
      <c r="D133" s="55">
        <v>1350000</v>
      </c>
      <c r="E133" s="118"/>
      <c r="F133" s="114"/>
      <c r="G133" s="114"/>
      <c r="H133" s="114"/>
      <c r="I133" s="265"/>
    </row>
    <row r="134" spans="1:9" ht="12.75">
      <c r="A134" s="113">
        <v>39538</v>
      </c>
      <c r="B134" s="114">
        <f t="shared" si="4"/>
        <v>3</v>
      </c>
      <c r="C134" s="55">
        <f t="shared" si="5"/>
        <v>12150000</v>
      </c>
      <c r="D134" s="55"/>
      <c r="E134" s="115">
        <f>E130</f>
        <v>0.0605</v>
      </c>
      <c r="F134" s="55">
        <f>((C131+D131)*E134/360*B131)+((C132+D132)*E134/360*B132)+((C133+D133)*E134/360*B133)+C134*E134/360*B134</f>
        <v>225513.75</v>
      </c>
      <c r="G134" s="114"/>
      <c r="H134" s="114"/>
      <c r="I134" s="265"/>
    </row>
    <row r="135" spans="1:9" ht="12.75">
      <c r="A135" s="113">
        <v>39566</v>
      </c>
      <c r="B135" s="114">
        <f t="shared" si="4"/>
        <v>28</v>
      </c>
      <c r="C135" s="55">
        <f t="shared" si="5"/>
        <v>10800000</v>
      </c>
      <c r="D135" s="55">
        <v>1350000</v>
      </c>
      <c r="E135" s="118"/>
      <c r="F135" s="114"/>
      <c r="G135" s="114"/>
      <c r="H135" s="114"/>
      <c r="I135" s="265"/>
    </row>
    <row r="136" spans="1:9" ht="12.75">
      <c r="A136" s="113">
        <v>39596</v>
      </c>
      <c r="B136" s="114">
        <f t="shared" si="4"/>
        <v>30</v>
      </c>
      <c r="C136" s="55">
        <f t="shared" si="5"/>
        <v>9450000</v>
      </c>
      <c r="D136" s="55">
        <v>1350000</v>
      </c>
      <c r="F136" s="114"/>
      <c r="G136" s="114"/>
      <c r="H136" s="114"/>
      <c r="I136" s="285"/>
    </row>
    <row r="137" spans="1:9" ht="12.75">
      <c r="A137" s="113">
        <v>39627</v>
      </c>
      <c r="B137" s="114">
        <f t="shared" si="4"/>
        <v>31</v>
      </c>
      <c r="C137" s="55">
        <f t="shared" si="5"/>
        <v>8100000</v>
      </c>
      <c r="D137" s="55">
        <v>1350000</v>
      </c>
      <c r="E137" s="118"/>
      <c r="F137" s="114"/>
      <c r="G137" s="114"/>
      <c r="H137" s="114"/>
      <c r="I137" s="265"/>
    </row>
    <row r="138" spans="1:9" ht="12.75">
      <c r="A138" s="113">
        <v>39629</v>
      </c>
      <c r="B138" s="114">
        <f t="shared" si="4"/>
        <v>2</v>
      </c>
      <c r="C138" s="55">
        <f t="shared" si="5"/>
        <v>8100000</v>
      </c>
      <c r="D138" s="130"/>
      <c r="E138" s="115">
        <f>E134</f>
        <v>0.0605</v>
      </c>
      <c r="F138" s="55">
        <f>((C135+D135)*E138/360*B135)+((C136+D136)*E138/360*B136)+((C137+D137)*E138/360*B137)+C138*E138/360*B138</f>
        <v>163576.875</v>
      </c>
      <c r="G138" s="131"/>
      <c r="H138" s="131"/>
      <c r="I138" s="286"/>
    </row>
    <row r="139" spans="1:9" ht="12.75">
      <c r="A139" s="113">
        <v>39657</v>
      </c>
      <c r="B139" s="114">
        <f t="shared" si="4"/>
        <v>28</v>
      </c>
      <c r="C139" s="55">
        <f t="shared" si="5"/>
        <v>6750000</v>
      </c>
      <c r="D139" s="55">
        <v>1350000</v>
      </c>
      <c r="E139" s="257"/>
      <c r="F139" s="131"/>
      <c r="G139" s="131"/>
      <c r="H139" s="131"/>
      <c r="I139" s="286"/>
    </row>
    <row r="140" spans="1:9" ht="12.75">
      <c r="A140" s="113">
        <v>39688</v>
      </c>
      <c r="B140" s="114">
        <f t="shared" si="4"/>
        <v>31</v>
      </c>
      <c r="C140" s="55">
        <f t="shared" si="5"/>
        <v>5400000</v>
      </c>
      <c r="D140" s="55">
        <v>1350000</v>
      </c>
      <c r="E140" s="257"/>
      <c r="F140" s="131"/>
      <c r="G140" s="131"/>
      <c r="H140" s="131"/>
      <c r="I140" s="286"/>
    </row>
    <row r="141" spans="1:9" ht="12.75">
      <c r="A141" s="113">
        <v>39719</v>
      </c>
      <c r="B141" s="114">
        <f t="shared" si="4"/>
        <v>31</v>
      </c>
      <c r="C141" s="55">
        <f t="shared" si="5"/>
        <v>4050000</v>
      </c>
      <c r="D141" s="55">
        <v>1350000</v>
      </c>
      <c r="E141" s="257"/>
      <c r="F141" s="131"/>
      <c r="G141" s="131"/>
      <c r="H141" s="131"/>
      <c r="I141" s="286"/>
    </row>
    <row r="142" spans="1:9" ht="12.75">
      <c r="A142" s="113">
        <v>39721</v>
      </c>
      <c r="B142" s="114">
        <f t="shared" si="4"/>
        <v>2</v>
      </c>
      <c r="C142" s="55">
        <f t="shared" si="5"/>
        <v>4050000</v>
      </c>
      <c r="D142" s="130"/>
      <c r="E142" s="115">
        <f>E138</f>
        <v>0.0605</v>
      </c>
      <c r="F142" s="55">
        <f>((C139+D139)*E142/360*B139)+((C140+D140)*E142/360*B140)+((C141+D141)*E142/360*B141)+C142*E142/360*B142</f>
        <v>102774.375</v>
      </c>
      <c r="G142" s="131"/>
      <c r="H142" s="131"/>
      <c r="I142" s="286"/>
    </row>
    <row r="143" spans="1:9" ht="12.75">
      <c r="A143" s="113">
        <v>39749</v>
      </c>
      <c r="B143" s="114">
        <f t="shared" si="4"/>
        <v>28</v>
      </c>
      <c r="C143" s="55">
        <f t="shared" si="5"/>
        <v>2700000</v>
      </c>
      <c r="D143" s="55">
        <v>1350000</v>
      </c>
      <c r="E143" s="257"/>
      <c r="F143" s="131"/>
      <c r="G143" s="131"/>
      <c r="H143" s="131"/>
      <c r="I143" s="286"/>
    </row>
    <row r="144" spans="1:9" ht="12.75">
      <c r="A144" s="113">
        <v>39780</v>
      </c>
      <c r="B144" s="114">
        <f t="shared" si="4"/>
        <v>31</v>
      </c>
      <c r="C144" s="55">
        <f t="shared" si="5"/>
        <v>1350000</v>
      </c>
      <c r="D144" s="55">
        <v>1350000</v>
      </c>
      <c r="E144" s="257"/>
      <c r="F144" s="131"/>
      <c r="G144" s="131"/>
      <c r="H144" s="131"/>
      <c r="I144" s="286"/>
    </row>
    <row r="145" spans="1:9" ht="13.5" thickBot="1">
      <c r="A145" s="113">
        <v>39810</v>
      </c>
      <c r="B145" s="114">
        <f t="shared" si="4"/>
        <v>30</v>
      </c>
      <c r="C145" s="55">
        <f t="shared" si="5"/>
        <v>0</v>
      </c>
      <c r="D145" s="55">
        <v>1350000</v>
      </c>
      <c r="E145" s="115">
        <f>E142</f>
        <v>0.0605</v>
      </c>
      <c r="F145" s="55">
        <f>((C143+D143)*E145/360*B143)+((C144+D144)*E145/360*B144)+D145*E145/360*B145</f>
        <v>39930</v>
      </c>
      <c r="G145" s="116">
        <f>SUM(F131:F145)</f>
        <v>531795</v>
      </c>
      <c r="H145" s="116">
        <f>SUM(D131:D145)</f>
        <v>16200000</v>
      </c>
      <c r="I145" s="117">
        <f>SUM(G145:H145)</f>
        <v>16731795</v>
      </c>
    </row>
    <row r="146" spans="1:9" ht="13.5" thickTop="1">
      <c r="A146" s="422" t="s">
        <v>14</v>
      </c>
      <c r="B146" s="423"/>
      <c r="C146" s="423"/>
      <c r="D146" s="143">
        <f>SUM(D7:D145)</f>
        <v>200000000</v>
      </c>
      <c r="E146" s="287"/>
      <c r="F146" s="143">
        <f>SUM(F8:F145)</f>
        <v>77811968.71041095</v>
      </c>
      <c r="G146" s="143">
        <f>SUM(G18:G145)</f>
        <v>77811968.71041095</v>
      </c>
      <c r="H146" s="143">
        <f>SUM(H17:H145)</f>
        <v>200000000</v>
      </c>
      <c r="I146" s="283">
        <f>SUM(I16:I145)</f>
        <v>277811968.71041095</v>
      </c>
    </row>
    <row r="147" spans="1:8" ht="12.75">
      <c r="A147" s="146"/>
      <c r="B147" s="79"/>
      <c r="C147" s="288"/>
      <c r="D147" s="288"/>
      <c r="E147" s="289"/>
      <c r="F147" s="288"/>
      <c r="G147" s="79"/>
      <c r="H147" s="79"/>
    </row>
    <row r="148" spans="1:8" ht="12.75">
      <c r="A148" s="146"/>
      <c r="B148" s="79"/>
      <c r="C148" s="288"/>
      <c r="D148" s="288"/>
      <c r="E148" s="290"/>
      <c r="F148" s="79"/>
      <c r="G148" s="79"/>
      <c r="H148" s="79"/>
    </row>
    <row r="149" spans="5:8" ht="12.75">
      <c r="E149" s="81"/>
      <c r="F149" s="147"/>
      <c r="H149" s="79"/>
    </row>
    <row r="150" spans="5:8" ht="12.75">
      <c r="E150" s="81"/>
      <c r="F150" s="147"/>
      <c r="H150" s="79"/>
    </row>
    <row r="151" spans="5:8" ht="12.75">
      <c r="E151" s="81"/>
      <c r="H151" s="79"/>
    </row>
    <row r="152" spans="5:8" ht="12.75">
      <c r="E152" s="81"/>
      <c r="H152" s="79"/>
    </row>
    <row r="153" spans="5:8" ht="12.75">
      <c r="E153" s="81"/>
      <c r="F153" s="147"/>
      <c r="H153" s="79"/>
    </row>
    <row r="154" spans="1:8" ht="12.75">
      <c r="A154" s="146"/>
      <c r="B154" s="79"/>
      <c r="C154" s="288"/>
      <c r="D154" s="288"/>
      <c r="E154" s="289"/>
      <c r="F154" s="288"/>
      <c r="G154" s="79"/>
      <c r="H154" s="79"/>
    </row>
    <row r="155" spans="1:3" ht="12.75">
      <c r="A155" s="146"/>
      <c r="B155" s="79"/>
      <c r="C155" s="288"/>
    </row>
    <row r="156" spans="1:4" ht="12.75">
      <c r="A156" s="79"/>
      <c r="B156" s="79"/>
      <c r="C156" s="288"/>
      <c r="D156" s="288"/>
    </row>
    <row r="157" spans="1:4" ht="12.75">
      <c r="A157" s="79"/>
      <c r="B157" s="79"/>
      <c r="C157" s="288"/>
      <c r="D157" s="288"/>
    </row>
  </sheetData>
  <mergeCells count="1">
    <mergeCell ref="A146:C146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CE,Félkövér"&amp;12Adósságszolgálat számítása az OTP tájékoztatása alapján&amp;"Times New Roman CE,Félkövér dőlt"
1999. évben felvett 200 MFt hitel</oddHeader>
    <oddFooter>&amp;L&amp;9Nyomtatás dátuma: &amp;D
C:\Andi\adósságszolgálat\&amp;F\&amp;A&amp;R&amp;P/&amp;N</oddFooter>
  </headerFooter>
  <rowBreaks count="2" manualBreakCount="2">
    <brk id="55" max="255" man="1"/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4"/>
  <sheetViews>
    <sheetView zoomScaleSheetLayoutView="100" workbookViewId="0" topLeftCell="A1">
      <pane ySplit="6" topLeftCell="BM3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1.00390625" style="81" customWidth="1"/>
    <col min="2" max="2" width="5.625" style="81" customWidth="1"/>
    <col min="3" max="3" width="12.50390625" style="147" customWidth="1"/>
    <col min="4" max="4" width="12.625" style="147" bestFit="1" customWidth="1"/>
    <col min="5" max="5" width="8.50390625" style="81" customWidth="1"/>
    <col min="6" max="7" width="12.625" style="81" customWidth="1"/>
    <col min="8" max="8" width="12.50390625" style="81" customWidth="1"/>
    <col min="9" max="9" width="12.625" style="81" customWidth="1"/>
    <col min="10" max="10" width="9.375" style="81" customWidth="1"/>
    <col min="11" max="11" width="11.125" style="81" bestFit="1" customWidth="1"/>
    <col min="12" max="16384" width="9.375" style="81" customWidth="1"/>
  </cols>
  <sheetData>
    <row r="1" spans="1:9" ht="12.75">
      <c r="A1" s="189" t="s">
        <v>100</v>
      </c>
      <c r="B1" s="188"/>
      <c r="C1" s="189"/>
      <c r="D1" s="189"/>
      <c r="E1" s="189"/>
      <c r="G1" s="189"/>
      <c r="H1" s="189"/>
      <c r="I1" s="189"/>
    </row>
    <row r="2" spans="1:9" ht="12.75">
      <c r="A2" s="161" t="s">
        <v>15</v>
      </c>
      <c r="B2" s="159"/>
      <c r="C2" s="158"/>
      <c r="D2" s="158"/>
      <c r="E2" s="158"/>
      <c r="F2" s="158"/>
      <c r="G2" s="158"/>
      <c r="H2" s="158"/>
      <c r="I2" s="158"/>
    </row>
    <row r="3" spans="1:9" ht="12.75">
      <c r="A3" s="160" t="s">
        <v>74</v>
      </c>
      <c r="B3" s="159"/>
      <c r="C3" s="158"/>
      <c r="D3" s="158"/>
      <c r="E3" s="158"/>
      <c r="F3" s="158"/>
      <c r="G3" s="158"/>
      <c r="H3" s="158"/>
      <c r="I3" s="159" t="s">
        <v>2</v>
      </c>
    </row>
    <row r="4" spans="1:9" ht="12.75">
      <c r="A4" s="89" t="s">
        <v>3</v>
      </c>
      <c r="B4" s="90" t="s">
        <v>4</v>
      </c>
      <c r="C4" s="91" t="s">
        <v>5</v>
      </c>
      <c r="D4" s="91" t="s">
        <v>21</v>
      </c>
      <c r="E4" s="91" t="s">
        <v>18</v>
      </c>
      <c r="F4" s="92" t="s">
        <v>20</v>
      </c>
      <c r="G4" s="93" t="s">
        <v>6</v>
      </c>
      <c r="H4" s="93" t="s">
        <v>6</v>
      </c>
      <c r="I4" s="94" t="s">
        <v>6</v>
      </c>
    </row>
    <row r="5" spans="1:9" ht="12.75">
      <c r="A5" s="95"/>
      <c r="B5" s="96" t="s">
        <v>7</v>
      </c>
      <c r="C5" s="97" t="s">
        <v>8</v>
      </c>
      <c r="D5" s="97" t="s">
        <v>13</v>
      </c>
      <c r="E5" s="97" t="s">
        <v>19</v>
      </c>
      <c r="F5" s="98" t="s">
        <v>13</v>
      </c>
      <c r="G5" s="99" t="s">
        <v>9</v>
      </c>
      <c r="H5" s="99" t="s">
        <v>11</v>
      </c>
      <c r="I5" s="100" t="s">
        <v>10</v>
      </c>
    </row>
    <row r="6" spans="1:9" ht="12.75">
      <c r="A6" s="101"/>
      <c r="B6" s="102"/>
      <c r="C6" s="103"/>
      <c r="D6" s="103"/>
      <c r="E6" s="103"/>
      <c r="F6" s="104"/>
      <c r="G6" s="104"/>
      <c r="H6" s="105" t="s">
        <v>13</v>
      </c>
      <c r="I6" s="106" t="s">
        <v>12</v>
      </c>
    </row>
    <row r="7" spans="1:9" ht="12.75">
      <c r="A7" s="107">
        <v>36861</v>
      </c>
      <c r="B7" s="127"/>
      <c r="C7" s="164">
        <v>250000000</v>
      </c>
      <c r="D7" s="164"/>
      <c r="E7" s="164"/>
      <c r="F7" s="164"/>
      <c r="G7" s="174"/>
      <c r="H7" s="174"/>
      <c r="I7" s="175"/>
    </row>
    <row r="8" spans="1:9" ht="12.75">
      <c r="A8" s="120">
        <v>36891</v>
      </c>
      <c r="B8" s="121">
        <f aca="true" t="shared" si="0" ref="B8:B21">A8-A7</f>
        <v>30</v>
      </c>
      <c r="C8" s="170">
        <f aca="true" t="shared" si="1" ref="C8:C20">C7-D8</f>
        <v>250000000</v>
      </c>
      <c r="D8" s="170"/>
      <c r="E8" s="291">
        <v>0.1116</v>
      </c>
      <c r="F8" s="170">
        <f>(C8+D8)*E8/365*B8</f>
        <v>2293150.684931507</v>
      </c>
      <c r="G8" s="176">
        <f>SUM(F7:F8)</f>
        <v>2293150.684931507</v>
      </c>
      <c r="H8" s="176">
        <f>SUM(D7:D8)</f>
        <v>0</v>
      </c>
      <c r="I8" s="177">
        <f>SUM(G8:H8)</f>
        <v>2293150.684931507</v>
      </c>
    </row>
    <row r="9" spans="1:9" ht="12.75">
      <c r="A9" s="126">
        <v>36981</v>
      </c>
      <c r="B9" s="268">
        <f t="shared" si="0"/>
        <v>90</v>
      </c>
      <c r="C9" s="165">
        <f t="shared" si="1"/>
        <v>250000000</v>
      </c>
      <c r="D9" s="165"/>
      <c r="E9" s="76">
        <f>F9/(C9*B9)*365</f>
        <v>0.1241101388888889</v>
      </c>
      <c r="F9" s="164">
        <v>7650625</v>
      </c>
      <c r="G9" s="166"/>
      <c r="H9" s="166"/>
      <c r="I9" s="167"/>
    </row>
    <row r="10" spans="1:9" ht="12.75">
      <c r="A10" s="113">
        <v>37072</v>
      </c>
      <c r="B10" s="270">
        <f t="shared" si="0"/>
        <v>91</v>
      </c>
      <c r="C10" s="180">
        <f t="shared" si="1"/>
        <v>250000000</v>
      </c>
      <c r="D10" s="180"/>
      <c r="E10" s="76">
        <f>F10/(C10*B10)*365</f>
        <v>0.11535381384615385</v>
      </c>
      <c r="F10" s="164">
        <v>7189861</v>
      </c>
      <c r="G10" s="181"/>
      <c r="H10" s="181"/>
      <c r="I10" s="182"/>
    </row>
    <row r="11" spans="1:9" ht="12.75">
      <c r="A11" s="113">
        <v>37164</v>
      </c>
      <c r="B11" s="270">
        <f t="shared" si="0"/>
        <v>92</v>
      </c>
      <c r="C11" s="180">
        <f t="shared" si="1"/>
        <v>250000000</v>
      </c>
      <c r="D11" s="180"/>
      <c r="E11" s="76">
        <f>F11/(C11*B11)*365</f>
        <v>0.11091943739130435</v>
      </c>
      <c r="F11" s="164">
        <v>6989444</v>
      </c>
      <c r="G11" s="181"/>
      <c r="H11" s="181"/>
      <c r="I11" s="182"/>
    </row>
    <row r="12" spans="1:9" ht="12.75">
      <c r="A12" s="113">
        <v>37253</v>
      </c>
      <c r="B12" s="270">
        <f t="shared" si="0"/>
        <v>89</v>
      </c>
      <c r="C12" s="180">
        <f t="shared" si="1"/>
        <v>237500000</v>
      </c>
      <c r="D12" s="180">
        <v>12500000</v>
      </c>
      <c r="E12" s="271"/>
      <c r="F12" s="180"/>
      <c r="G12" s="181"/>
      <c r="H12" s="181"/>
      <c r="I12" s="182"/>
    </row>
    <row r="13" spans="1:9" ht="12.75">
      <c r="A13" s="120">
        <v>37253</v>
      </c>
      <c r="B13" s="272">
        <f t="shared" si="0"/>
        <v>0</v>
      </c>
      <c r="C13" s="170">
        <f t="shared" si="1"/>
        <v>237500000</v>
      </c>
      <c r="D13" s="170"/>
      <c r="E13" s="123">
        <f>F13/(((C12+D12)*B12)+(C13*B13))*365</f>
        <v>0.11529396898876404</v>
      </c>
      <c r="F13" s="170">
        <v>7028194</v>
      </c>
      <c r="G13" s="171">
        <f>SUM(F9:F13)</f>
        <v>28858124</v>
      </c>
      <c r="H13" s="171">
        <f>SUM(D9:D13)</f>
        <v>12500000</v>
      </c>
      <c r="I13" s="172">
        <f>SUM(G13:H13)</f>
        <v>41358124</v>
      </c>
    </row>
    <row r="14" spans="1:9" ht="12.75">
      <c r="A14" s="126">
        <v>37343</v>
      </c>
      <c r="B14" s="268">
        <f t="shared" si="0"/>
        <v>90</v>
      </c>
      <c r="C14" s="165">
        <f t="shared" si="1"/>
        <v>225000000</v>
      </c>
      <c r="D14" s="165">
        <v>12500000</v>
      </c>
      <c r="E14" s="292"/>
      <c r="F14" s="165"/>
      <c r="G14" s="166"/>
      <c r="H14" s="166"/>
      <c r="I14" s="167"/>
    </row>
    <row r="15" spans="1:9" ht="12.75">
      <c r="A15" s="113">
        <v>37344</v>
      </c>
      <c r="B15" s="270">
        <f t="shared" si="0"/>
        <v>1</v>
      </c>
      <c r="C15" s="180">
        <f t="shared" si="1"/>
        <v>225000000</v>
      </c>
      <c r="D15" s="180"/>
      <c r="E15" s="115">
        <f>F15/(((C14+D14)*B14)+(C15*B15))*365</f>
        <v>0.09974010277777777</v>
      </c>
      <c r="F15" s="164">
        <v>5902428</v>
      </c>
      <c r="G15" s="181"/>
      <c r="H15" s="181"/>
      <c r="I15" s="182"/>
    </row>
    <row r="16" spans="1:9" ht="12.75">
      <c r="A16" s="113">
        <v>37435</v>
      </c>
      <c r="B16" s="270">
        <f t="shared" si="0"/>
        <v>91</v>
      </c>
      <c r="C16" s="180">
        <f t="shared" si="1"/>
        <v>212500000</v>
      </c>
      <c r="D16" s="180">
        <v>12500000</v>
      </c>
      <c r="E16" s="76"/>
      <c r="F16" s="180"/>
      <c r="G16" s="181"/>
      <c r="H16" s="181"/>
      <c r="I16" s="182"/>
    </row>
    <row r="17" spans="1:9" ht="12.75">
      <c r="A17" s="113">
        <v>37437</v>
      </c>
      <c r="B17" s="270">
        <f t="shared" si="0"/>
        <v>2</v>
      </c>
      <c r="C17" s="180">
        <f t="shared" si="1"/>
        <v>212500000</v>
      </c>
      <c r="D17" s="180"/>
      <c r="E17" s="115">
        <v>0.085</v>
      </c>
      <c r="F17" s="180">
        <v>4858938</v>
      </c>
      <c r="G17" s="181"/>
      <c r="H17" s="181"/>
      <c r="I17" s="182"/>
    </row>
    <row r="18" spans="1:9" ht="12.75">
      <c r="A18" s="113">
        <v>37527</v>
      </c>
      <c r="B18" s="270">
        <f t="shared" si="0"/>
        <v>90</v>
      </c>
      <c r="C18" s="180">
        <f t="shared" si="1"/>
        <v>200000000</v>
      </c>
      <c r="D18" s="180">
        <v>12500000</v>
      </c>
      <c r="E18" s="271"/>
      <c r="F18" s="180"/>
      <c r="G18" s="181"/>
      <c r="H18" s="181"/>
      <c r="I18" s="182"/>
    </row>
    <row r="19" spans="1:9" ht="12.75">
      <c r="A19" s="113">
        <v>37529</v>
      </c>
      <c r="B19" s="270">
        <f t="shared" si="0"/>
        <v>2</v>
      </c>
      <c r="C19" s="180">
        <f t="shared" si="1"/>
        <v>200000000</v>
      </c>
      <c r="D19" s="180"/>
      <c r="E19" s="271">
        <v>0.0931</v>
      </c>
      <c r="F19" s="180">
        <v>5151413</v>
      </c>
      <c r="G19" s="181"/>
      <c r="H19" s="181"/>
      <c r="I19" s="182"/>
    </row>
    <row r="20" spans="1:9" ht="12.75">
      <c r="A20" s="113">
        <v>37618</v>
      </c>
      <c r="B20" s="270">
        <f t="shared" si="0"/>
        <v>89</v>
      </c>
      <c r="C20" s="180">
        <f t="shared" si="1"/>
        <v>187500000</v>
      </c>
      <c r="D20" s="180">
        <v>12500000</v>
      </c>
      <c r="E20" s="271"/>
      <c r="F20" s="180"/>
      <c r="G20" s="181"/>
      <c r="H20" s="181"/>
      <c r="I20" s="182"/>
    </row>
    <row r="21" spans="1:9" ht="12.75">
      <c r="A21" s="168">
        <v>37621</v>
      </c>
      <c r="B21" s="121">
        <f t="shared" si="0"/>
        <v>3</v>
      </c>
      <c r="C21" s="273">
        <v>187500000</v>
      </c>
      <c r="D21" s="122"/>
      <c r="E21" s="214">
        <v>0.098</v>
      </c>
      <c r="F21" s="122">
        <v>4995958</v>
      </c>
      <c r="G21" s="124">
        <f>SUM(F15:F21)</f>
        <v>20908737</v>
      </c>
      <c r="H21" s="124">
        <f>SUM(D14:D21)</f>
        <v>50000000</v>
      </c>
      <c r="I21" s="125">
        <f>SUM(G21:H21)</f>
        <v>70908737</v>
      </c>
    </row>
    <row r="22" spans="1:9" ht="12.75">
      <c r="A22" s="126">
        <v>37708</v>
      </c>
      <c r="B22" s="127">
        <f aca="true" t="shared" si="2" ref="B22:B76">A22-A21</f>
        <v>87</v>
      </c>
      <c r="C22" s="56">
        <f aca="true" t="shared" si="3" ref="C22:C76">C21-D22</f>
        <v>180900000</v>
      </c>
      <c r="D22" s="56">
        <v>6600000</v>
      </c>
      <c r="E22" s="127"/>
      <c r="F22" s="127"/>
      <c r="G22" s="127"/>
      <c r="H22" s="127"/>
      <c r="I22" s="276"/>
    </row>
    <row r="23" spans="1:9" ht="12.75">
      <c r="A23" s="113">
        <v>37711</v>
      </c>
      <c r="B23" s="114">
        <f t="shared" si="2"/>
        <v>3</v>
      </c>
      <c r="C23" s="55">
        <f t="shared" si="3"/>
        <v>180900000</v>
      </c>
      <c r="D23" s="55"/>
      <c r="E23" s="115">
        <v>0.0847</v>
      </c>
      <c r="F23" s="55">
        <v>3972581</v>
      </c>
      <c r="G23" s="114"/>
      <c r="H23" s="114"/>
      <c r="I23" s="265"/>
    </row>
    <row r="24" spans="1:9" ht="12.75">
      <c r="A24" s="113">
        <v>37800</v>
      </c>
      <c r="B24" s="114">
        <f t="shared" si="2"/>
        <v>89</v>
      </c>
      <c r="C24" s="55">
        <f t="shared" si="3"/>
        <v>174200000</v>
      </c>
      <c r="D24" s="55">
        <v>6700000</v>
      </c>
      <c r="E24" s="114"/>
      <c r="F24" s="114"/>
      <c r="G24" s="114"/>
      <c r="H24" s="114"/>
      <c r="I24" s="265"/>
    </row>
    <row r="25" spans="1:9" ht="12.75">
      <c r="A25" s="113">
        <v>37802</v>
      </c>
      <c r="B25" s="114">
        <f t="shared" si="2"/>
        <v>2</v>
      </c>
      <c r="C25" s="55">
        <f t="shared" si="3"/>
        <v>174200000</v>
      </c>
      <c r="D25" s="55"/>
      <c r="E25" s="115">
        <v>0.0665</v>
      </c>
      <c r="F25" s="55">
        <v>3050024</v>
      </c>
      <c r="G25" s="114"/>
      <c r="H25" s="114"/>
      <c r="I25" s="265"/>
    </row>
    <row r="26" spans="1:11" ht="12.75">
      <c r="A26" s="113">
        <v>37892</v>
      </c>
      <c r="B26" s="114">
        <f t="shared" si="2"/>
        <v>90</v>
      </c>
      <c r="C26" s="55">
        <f t="shared" si="3"/>
        <v>167500000</v>
      </c>
      <c r="D26" s="55">
        <v>6700000</v>
      </c>
      <c r="E26" s="114"/>
      <c r="F26" s="114"/>
      <c r="G26" s="114"/>
      <c r="H26" s="114"/>
      <c r="I26" s="265"/>
      <c r="K26" s="147"/>
    </row>
    <row r="27" spans="1:9" ht="12.75">
      <c r="A27" s="113">
        <v>37894</v>
      </c>
      <c r="B27" s="114">
        <f t="shared" si="2"/>
        <v>2</v>
      </c>
      <c r="C27" s="55">
        <f t="shared" si="3"/>
        <v>167500000</v>
      </c>
      <c r="D27" s="55"/>
      <c r="E27" s="115">
        <v>0.0893</v>
      </c>
      <c r="F27" s="55">
        <v>3961081</v>
      </c>
      <c r="G27" s="114"/>
      <c r="H27" s="114"/>
      <c r="I27" s="265"/>
    </row>
    <row r="28" spans="1:9" ht="12.75">
      <c r="A28" s="113">
        <v>37983</v>
      </c>
      <c r="B28" s="114">
        <f t="shared" si="2"/>
        <v>89</v>
      </c>
      <c r="C28" s="55">
        <f t="shared" si="3"/>
        <v>160800000</v>
      </c>
      <c r="D28" s="55">
        <v>6700000</v>
      </c>
      <c r="E28" s="114"/>
      <c r="F28" s="114"/>
      <c r="G28" s="114"/>
      <c r="H28" s="114"/>
      <c r="I28" s="265"/>
    </row>
    <row r="29" spans="1:11" ht="12.75">
      <c r="A29" s="120">
        <v>37986</v>
      </c>
      <c r="B29" s="121">
        <f t="shared" si="2"/>
        <v>3</v>
      </c>
      <c r="C29" s="122">
        <f t="shared" si="3"/>
        <v>160800000</v>
      </c>
      <c r="D29" s="122"/>
      <c r="E29" s="123">
        <v>0.0961</v>
      </c>
      <c r="F29" s="55">
        <v>4105084</v>
      </c>
      <c r="G29" s="124">
        <f>SUM(F23:F29)</f>
        <v>15088770</v>
      </c>
      <c r="H29" s="124">
        <f>SUM(D22:D29)</f>
        <v>26700000</v>
      </c>
      <c r="I29" s="125">
        <f>SUM(G29:H29)</f>
        <v>41788770</v>
      </c>
      <c r="K29" s="147"/>
    </row>
    <row r="30" spans="1:9" ht="12.75">
      <c r="A30" s="126">
        <v>38074</v>
      </c>
      <c r="B30" s="127">
        <f t="shared" si="2"/>
        <v>88</v>
      </c>
      <c r="C30" s="56">
        <f t="shared" si="3"/>
        <v>154100000</v>
      </c>
      <c r="D30" s="55">
        <v>6700000</v>
      </c>
      <c r="E30" s="127"/>
      <c r="F30" s="127"/>
      <c r="G30" s="127"/>
      <c r="H30" s="127"/>
      <c r="I30" s="276"/>
    </row>
    <row r="31" spans="1:9" ht="12.75">
      <c r="A31" s="113">
        <v>38077</v>
      </c>
      <c r="B31" s="114">
        <f t="shared" si="2"/>
        <v>3</v>
      </c>
      <c r="C31" s="55">
        <f t="shared" si="3"/>
        <v>154100000</v>
      </c>
      <c r="D31" s="55"/>
      <c r="E31" s="115">
        <v>0.1255</v>
      </c>
      <c r="F31" s="55">
        <v>5083353</v>
      </c>
      <c r="G31" s="114"/>
      <c r="H31" s="114"/>
      <c r="I31" s="265"/>
    </row>
    <row r="32" spans="1:9" ht="12.75">
      <c r="A32" s="113">
        <v>38166</v>
      </c>
      <c r="B32" s="114">
        <f t="shared" si="2"/>
        <v>89</v>
      </c>
      <c r="C32" s="55">
        <f t="shared" si="3"/>
        <v>147400000</v>
      </c>
      <c r="D32" s="55">
        <v>6700000</v>
      </c>
      <c r="E32" s="114"/>
      <c r="F32" s="114"/>
      <c r="G32" s="114"/>
      <c r="H32" s="114"/>
      <c r="I32" s="265"/>
    </row>
    <row r="33" spans="1:9" ht="12.75">
      <c r="A33" s="113">
        <v>38168</v>
      </c>
      <c r="B33" s="114">
        <f t="shared" si="2"/>
        <v>2</v>
      </c>
      <c r="C33" s="55">
        <f t="shared" si="3"/>
        <v>147400000</v>
      </c>
      <c r="D33" s="55"/>
      <c r="E33" s="115">
        <v>0.1197</v>
      </c>
      <c r="F33" s="55">
        <v>4660708</v>
      </c>
      <c r="G33" s="114"/>
      <c r="H33" s="114"/>
      <c r="I33" s="265"/>
    </row>
    <row r="34" spans="1:9" ht="12.75">
      <c r="A34" s="113">
        <v>38258</v>
      </c>
      <c r="B34" s="114">
        <f t="shared" si="2"/>
        <v>90</v>
      </c>
      <c r="C34" s="55">
        <f t="shared" si="3"/>
        <v>140700000</v>
      </c>
      <c r="D34" s="55">
        <v>6700000</v>
      </c>
      <c r="E34" s="114"/>
      <c r="F34" s="114"/>
      <c r="G34" s="114"/>
      <c r="H34" s="114"/>
      <c r="I34" s="265"/>
    </row>
    <row r="35" spans="1:9" ht="12.75">
      <c r="A35" s="113">
        <v>38260</v>
      </c>
      <c r="B35" s="114">
        <f t="shared" si="2"/>
        <v>2</v>
      </c>
      <c r="C35" s="55">
        <f t="shared" si="3"/>
        <v>140700000</v>
      </c>
      <c r="D35" s="55"/>
      <c r="E35" s="115">
        <v>0.1167</v>
      </c>
      <c r="F35" s="55">
        <v>4392844</v>
      </c>
      <c r="G35" s="114"/>
      <c r="H35" s="114"/>
      <c r="I35" s="265"/>
    </row>
    <row r="36" spans="1:9" ht="12.75">
      <c r="A36" s="113">
        <v>38349</v>
      </c>
      <c r="B36" s="114">
        <f t="shared" si="2"/>
        <v>89</v>
      </c>
      <c r="C36" s="55">
        <f t="shared" si="3"/>
        <v>134000000</v>
      </c>
      <c r="D36" s="55">
        <v>6700000</v>
      </c>
      <c r="E36" s="114"/>
      <c r="F36" s="114"/>
      <c r="G36" s="114"/>
      <c r="H36" s="114"/>
      <c r="I36" s="265"/>
    </row>
    <row r="37" spans="1:9" ht="12.75">
      <c r="A37" s="120">
        <v>38352</v>
      </c>
      <c r="B37" s="121">
        <f t="shared" si="2"/>
        <v>3</v>
      </c>
      <c r="C37" s="122">
        <f t="shared" si="3"/>
        <v>134000000</v>
      </c>
      <c r="D37" s="122"/>
      <c r="E37" s="123">
        <v>0.111</v>
      </c>
      <c r="F37" s="55">
        <v>3987220</v>
      </c>
      <c r="G37" s="124">
        <f>SUM(F31:F37)</f>
        <v>18124125</v>
      </c>
      <c r="H37" s="124">
        <f>SUM(D30:D37)</f>
        <v>26800000</v>
      </c>
      <c r="I37" s="125">
        <f>SUM(G37:H37)</f>
        <v>44924125</v>
      </c>
    </row>
    <row r="38" spans="1:9" ht="12.75">
      <c r="A38" s="126">
        <v>38440</v>
      </c>
      <c r="B38" s="127">
        <f t="shared" si="2"/>
        <v>88</v>
      </c>
      <c r="C38" s="56">
        <f t="shared" si="3"/>
        <v>127300000</v>
      </c>
      <c r="D38" s="55">
        <v>6700000</v>
      </c>
      <c r="E38" s="127"/>
      <c r="F38" s="127"/>
      <c r="G38" s="127"/>
      <c r="H38" s="127"/>
      <c r="I38" s="276"/>
    </row>
    <row r="39" spans="1:9" ht="12.75">
      <c r="A39" s="113">
        <v>38442</v>
      </c>
      <c r="B39" s="114">
        <f t="shared" si="2"/>
        <v>2</v>
      </c>
      <c r="C39" s="55">
        <f t="shared" si="3"/>
        <v>127300000</v>
      </c>
      <c r="D39" s="55"/>
      <c r="E39" s="115">
        <v>0.0946</v>
      </c>
      <c r="F39" s="55">
        <v>3171683</v>
      </c>
      <c r="G39" s="114"/>
      <c r="H39" s="114"/>
      <c r="I39" s="265"/>
    </row>
    <row r="40" spans="1:9" ht="12.75">
      <c r="A40" s="113">
        <v>38531</v>
      </c>
      <c r="B40" s="114">
        <f t="shared" si="2"/>
        <v>89</v>
      </c>
      <c r="C40" s="55">
        <f t="shared" si="3"/>
        <v>120600000</v>
      </c>
      <c r="D40" s="55">
        <v>6700000</v>
      </c>
      <c r="E40" s="114"/>
      <c r="F40" s="114"/>
      <c r="G40" s="114"/>
      <c r="H40" s="114"/>
      <c r="I40" s="265"/>
    </row>
    <row r="41" spans="1:9" ht="12.75">
      <c r="A41" s="113">
        <v>38533</v>
      </c>
      <c r="B41" s="114">
        <f t="shared" si="2"/>
        <v>2</v>
      </c>
      <c r="C41" s="55">
        <f t="shared" si="3"/>
        <v>120600000</v>
      </c>
      <c r="D41" s="55"/>
      <c r="E41" s="115">
        <v>0.0784</v>
      </c>
      <c r="F41" s="55">
        <v>2525613</v>
      </c>
      <c r="G41" s="114"/>
      <c r="H41" s="114"/>
      <c r="I41" s="265"/>
    </row>
    <row r="42" spans="1:9" ht="12.75">
      <c r="A42" s="113">
        <v>38623</v>
      </c>
      <c r="B42" s="114">
        <f t="shared" si="2"/>
        <v>90</v>
      </c>
      <c r="C42" s="55">
        <f t="shared" si="3"/>
        <v>113900000</v>
      </c>
      <c r="D42" s="55">
        <v>6700000</v>
      </c>
      <c r="E42" s="114"/>
      <c r="F42" s="114"/>
      <c r="G42" s="114"/>
      <c r="H42" s="114"/>
      <c r="I42" s="265"/>
    </row>
    <row r="43" spans="1:9" ht="12.75">
      <c r="A43" s="113">
        <v>38625</v>
      </c>
      <c r="B43" s="114">
        <f t="shared" si="2"/>
        <v>2</v>
      </c>
      <c r="C43" s="55">
        <f t="shared" si="3"/>
        <v>113900000</v>
      </c>
      <c r="D43" s="55"/>
      <c r="E43" s="115">
        <v>0.0702</v>
      </c>
      <c r="F43" s="55">
        <v>2163698</v>
      </c>
      <c r="G43" s="114"/>
      <c r="H43" s="114"/>
      <c r="I43" s="265"/>
    </row>
    <row r="44" spans="1:9" ht="12.75">
      <c r="A44" s="113">
        <v>38714</v>
      </c>
      <c r="B44" s="114">
        <f t="shared" si="2"/>
        <v>89</v>
      </c>
      <c r="C44" s="55">
        <f t="shared" si="3"/>
        <v>107200000</v>
      </c>
      <c r="D44" s="55">
        <v>6700000</v>
      </c>
      <c r="E44" s="114"/>
      <c r="F44" s="114"/>
      <c r="G44" s="114"/>
      <c r="H44" s="114"/>
      <c r="I44" s="265"/>
    </row>
    <row r="45" spans="1:9" ht="12.75">
      <c r="A45" s="120">
        <v>38717</v>
      </c>
      <c r="B45" s="121">
        <f t="shared" si="2"/>
        <v>3</v>
      </c>
      <c r="C45" s="122">
        <f t="shared" si="3"/>
        <v>107200000</v>
      </c>
      <c r="D45" s="122"/>
      <c r="E45" s="123">
        <v>0.061</v>
      </c>
      <c r="F45" s="55">
        <f>((C44+D44)*E45/360*B44)+((C45+D45)*E45/360*B45)</f>
        <v>1772168.611111111</v>
      </c>
      <c r="G45" s="124">
        <f>SUM(F39:F45)</f>
        <v>9633162.611111112</v>
      </c>
      <c r="H45" s="124">
        <f>SUM(D38:D45)</f>
        <v>26800000</v>
      </c>
      <c r="I45" s="125">
        <f>SUM(G45:H45)</f>
        <v>36433162.61111111</v>
      </c>
    </row>
    <row r="46" spans="1:9" ht="12.75">
      <c r="A46" s="126">
        <v>38804</v>
      </c>
      <c r="B46" s="127">
        <f t="shared" si="2"/>
        <v>87</v>
      </c>
      <c r="C46" s="56">
        <f t="shared" si="3"/>
        <v>100500000</v>
      </c>
      <c r="D46" s="55">
        <v>6700000</v>
      </c>
      <c r="E46" s="127"/>
      <c r="F46" s="127"/>
      <c r="G46" s="127"/>
      <c r="H46" s="127"/>
      <c r="I46" s="276"/>
    </row>
    <row r="47" spans="1:9" ht="12.75">
      <c r="A47" s="113">
        <v>38807</v>
      </c>
      <c r="B47" s="114">
        <f t="shared" si="2"/>
        <v>3</v>
      </c>
      <c r="C47" s="55">
        <f t="shared" si="3"/>
        <v>100500000</v>
      </c>
      <c r="D47" s="55"/>
      <c r="E47" s="115">
        <f>E45</f>
        <v>0.061</v>
      </c>
      <c r="F47" s="55">
        <f>((C46+D46)*E47/360*B46)+((C47+D47)*E47/360*B47)</f>
        <v>1631394.1666666667</v>
      </c>
      <c r="G47" s="114"/>
      <c r="H47" s="114"/>
      <c r="I47" s="265"/>
    </row>
    <row r="48" spans="1:9" ht="12.75">
      <c r="A48" s="113">
        <v>38896</v>
      </c>
      <c r="B48" s="114">
        <f t="shared" si="2"/>
        <v>89</v>
      </c>
      <c r="C48" s="55">
        <f t="shared" si="3"/>
        <v>93800000</v>
      </c>
      <c r="D48" s="55">
        <v>6700000</v>
      </c>
      <c r="E48" s="114"/>
      <c r="F48" s="114"/>
      <c r="G48" s="114"/>
      <c r="H48" s="114"/>
      <c r="I48" s="265"/>
    </row>
    <row r="49" spans="1:9" ht="12.75">
      <c r="A49" s="113">
        <v>38898</v>
      </c>
      <c r="B49" s="114">
        <f t="shared" si="2"/>
        <v>2</v>
      </c>
      <c r="C49" s="55">
        <f t="shared" si="3"/>
        <v>93800000</v>
      </c>
      <c r="D49" s="55"/>
      <c r="E49" s="115">
        <f>E47</f>
        <v>0.061</v>
      </c>
      <c r="F49" s="55">
        <f>((C48+D48)*E49/360*B48)+((C49+D49)*E49/360*B49)</f>
        <v>1547383.6111111112</v>
      </c>
      <c r="G49" s="114"/>
      <c r="H49" s="114"/>
      <c r="I49" s="265"/>
    </row>
    <row r="50" spans="1:9" ht="12.75">
      <c r="A50" s="113">
        <v>38988</v>
      </c>
      <c r="B50" s="114">
        <f t="shared" si="2"/>
        <v>90</v>
      </c>
      <c r="C50" s="55">
        <f t="shared" si="3"/>
        <v>87100000</v>
      </c>
      <c r="D50" s="55">
        <v>6700000</v>
      </c>
      <c r="E50" s="114"/>
      <c r="F50" s="114"/>
      <c r="G50" s="114"/>
      <c r="H50" s="114"/>
      <c r="I50" s="265"/>
    </row>
    <row r="51" spans="1:9" ht="12.75">
      <c r="A51" s="113">
        <v>38990</v>
      </c>
      <c r="B51" s="114">
        <f t="shared" si="2"/>
        <v>2</v>
      </c>
      <c r="C51" s="55">
        <f t="shared" si="3"/>
        <v>87100000</v>
      </c>
      <c r="D51" s="55"/>
      <c r="E51" s="115">
        <f>E49</f>
        <v>0.061</v>
      </c>
      <c r="F51" s="55">
        <f>((C50+D50)*E51/360*B50)+((C51+D51)*E51/360*B51)</f>
        <v>1459967.2222222222</v>
      </c>
      <c r="G51" s="114"/>
      <c r="H51" s="114"/>
      <c r="I51" s="265"/>
    </row>
    <row r="52" spans="1:9" ht="12.75">
      <c r="A52" s="113">
        <v>39079</v>
      </c>
      <c r="B52" s="114">
        <f t="shared" si="2"/>
        <v>89</v>
      </c>
      <c r="C52" s="55">
        <f t="shared" si="3"/>
        <v>80400000</v>
      </c>
      <c r="D52" s="55">
        <v>6700000</v>
      </c>
      <c r="E52" s="114"/>
      <c r="F52" s="114"/>
      <c r="G52" s="114"/>
      <c r="H52" s="114"/>
      <c r="I52" s="265"/>
    </row>
    <row r="53" spans="1:9" ht="12.75">
      <c r="A53" s="120">
        <v>39082</v>
      </c>
      <c r="B53" s="121">
        <f t="shared" si="2"/>
        <v>3</v>
      </c>
      <c r="C53" s="122">
        <f t="shared" si="3"/>
        <v>80400000</v>
      </c>
      <c r="D53" s="122"/>
      <c r="E53" s="123">
        <f>E51</f>
        <v>0.061</v>
      </c>
      <c r="F53" s="55">
        <f>((C52+D52)*E53/360*B52)+((C53+D53)*E53/360*B53)</f>
        <v>1354386.388888889</v>
      </c>
      <c r="G53" s="124">
        <f>SUM(F47:F53)</f>
        <v>5993131.388888889</v>
      </c>
      <c r="H53" s="124">
        <f>SUM(D46:D53)</f>
        <v>26800000</v>
      </c>
      <c r="I53" s="125">
        <f>SUM(G53:H53)</f>
        <v>32793131.388888888</v>
      </c>
    </row>
    <row r="54" spans="1:9" ht="12.75">
      <c r="A54" s="126">
        <v>39169</v>
      </c>
      <c r="B54" s="127">
        <f t="shared" si="2"/>
        <v>87</v>
      </c>
      <c r="C54" s="56">
        <f t="shared" si="3"/>
        <v>73700000</v>
      </c>
      <c r="D54" s="55">
        <v>6700000</v>
      </c>
      <c r="E54" s="127"/>
      <c r="F54" s="127"/>
      <c r="G54" s="127"/>
      <c r="H54" s="127"/>
      <c r="I54" s="276"/>
    </row>
    <row r="55" spans="1:9" ht="12.75">
      <c r="A55" s="113">
        <v>39172</v>
      </c>
      <c r="B55" s="114">
        <f t="shared" si="2"/>
        <v>3</v>
      </c>
      <c r="C55" s="55">
        <f t="shared" si="3"/>
        <v>73700000</v>
      </c>
      <c r="D55" s="55"/>
      <c r="E55" s="115">
        <f>E53</f>
        <v>0.061</v>
      </c>
      <c r="F55" s="55">
        <f>((C54+D54)*E55/360*B54)+((C55+D55)*E55/360*B55)</f>
        <v>1222694.1666666667</v>
      </c>
      <c r="G55" s="114"/>
      <c r="H55" s="114"/>
      <c r="I55" s="265"/>
    </row>
    <row r="56" spans="1:9" ht="12.75">
      <c r="A56" s="113">
        <v>39261</v>
      </c>
      <c r="B56" s="114">
        <f t="shared" si="2"/>
        <v>89</v>
      </c>
      <c r="C56" s="55">
        <f t="shared" si="3"/>
        <v>67000000</v>
      </c>
      <c r="D56" s="55">
        <v>6700000</v>
      </c>
      <c r="E56" s="114"/>
      <c r="F56" s="114"/>
      <c r="G56" s="114"/>
      <c r="H56" s="114"/>
      <c r="I56" s="265"/>
    </row>
    <row r="57" spans="1:9" ht="12.75">
      <c r="A57" s="113">
        <v>39263</v>
      </c>
      <c r="B57" s="114">
        <f t="shared" si="2"/>
        <v>2</v>
      </c>
      <c r="C57" s="55">
        <f t="shared" si="3"/>
        <v>67000000</v>
      </c>
      <c r="D57" s="55"/>
      <c r="E57" s="115">
        <f>E55</f>
        <v>0.061</v>
      </c>
      <c r="F57" s="55">
        <f>((C56+D56)*E57/360*B56)+((C57+D57)*E57/360*B57)</f>
        <v>1134142.4999999998</v>
      </c>
      <c r="G57" s="114"/>
      <c r="H57" s="114"/>
      <c r="I57" s="265"/>
    </row>
    <row r="58" spans="1:9" ht="12.75">
      <c r="A58" s="113">
        <v>39353</v>
      </c>
      <c r="B58" s="114">
        <f t="shared" si="2"/>
        <v>90</v>
      </c>
      <c r="C58" s="55">
        <f t="shared" si="3"/>
        <v>60300000</v>
      </c>
      <c r="D58" s="55">
        <v>6700000</v>
      </c>
      <c r="E58" s="114"/>
      <c r="F58" s="114"/>
      <c r="G58" s="114"/>
      <c r="H58" s="114"/>
      <c r="I58" s="265"/>
    </row>
    <row r="59" spans="1:9" ht="12.75">
      <c r="A59" s="113">
        <v>39355</v>
      </c>
      <c r="B59" s="114">
        <f t="shared" si="2"/>
        <v>2</v>
      </c>
      <c r="C59" s="55">
        <f t="shared" si="3"/>
        <v>60300000</v>
      </c>
      <c r="D59" s="55"/>
      <c r="E59" s="115">
        <f>E57</f>
        <v>0.061</v>
      </c>
      <c r="F59" s="55">
        <f>((C58+D58)*E59/360*B58)+((C59+D59)*E59/360*B59)</f>
        <v>1042185</v>
      </c>
      <c r="G59" s="114"/>
      <c r="H59" s="114"/>
      <c r="I59" s="265"/>
    </row>
    <row r="60" spans="1:9" ht="12.75">
      <c r="A60" s="113">
        <v>39444</v>
      </c>
      <c r="B60" s="114">
        <f t="shared" si="2"/>
        <v>89</v>
      </c>
      <c r="C60" s="55">
        <f t="shared" si="3"/>
        <v>53600000</v>
      </c>
      <c r="D60" s="55">
        <v>6700000</v>
      </c>
      <c r="E60" s="114"/>
      <c r="F60" s="114"/>
      <c r="G60" s="114"/>
      <c r="H60" s="114"/>
      <c r="I60" s="265"/>
    </row>
    <row r="61" spans="1:9" ht="12.75">
      <c r="A61" s="120">
        <v>39447</v>
      </c>
      <c r="B61" s="121">
        <f t="shared" si="2"/>
        <v>3</v>
      </c>
      <c r="C61" s="122">
        <f t="shared" si="3"/>
        <v>53600000</v>
      </c>
      <c r="D61" s="122"/>
      <c r="E61" s="123">
        <f>E59</f>
        <v>0.061</v>
      </c>
      <c r="F61" s="55">
        <f>((C60+D60)*E61/360*B60)+((C61+D61)*E61/360*B61)</f>
        <v>936604.1666666666</v>
      </c>
      <c r="G61" s="124">
        <f>SUM(F55:F61)</f>
        <v>4335625.833333333</v>
      </c>
      <c r="H61" s="124">
        <f>SUM(D54:D61)</f>
        <v>26800000</v>
      </c>
      <c r="I61" s="125">
        <f>SUM(G61:H61)</f>
        <v>31135625.833333332</v>
      </c>
    </row>
    <row r="62" spans="1:9" ht="12.75">
      <c r="A62" s="126">
        <v>39535</v>
      </c>
      <c r="B62" s="127">
        <f t="shared" si="2"/>
        <v>88</v>
      </c>
      <c r="C62" s="56">
        <f t="shared" si="3"/>
        <v>46900000</v>
      </c>
      <c r="D62" s="55">
        <v>6700000</v>
      </c>
      <c r="E62" s="127"/>
      <c r="F62" s="127"/>
      <c r="G62" s="127"/>
      <c r="H62" s="127"/>
      <c r="I62" s="276"/>
    </row>
    <row r="63" spans="1:9" ht="12.75">
      <c r="A63" s="113">
        <v>39538</v>
      </c>
      <c r="B63" s="114">
        <f t="shared" si="2"/>
        <v>3</v>
      </c>
      <c r="C63" s="55">
        <f t="shared" si="3"/>
        <v>46900000</v>
      </c>
      <c r="D63" s="55"/>
      <c r="E63" s="115">
        <f>E61</f>
        <v>0.061</v>
      </c>
      <c r="F63" s="55">
        <f>((C62+D62)*E63/360*B62)+((C63+D63)*E63/360*B63)</f>
        <v>823076.388888889</v>
      </c>
      <c r="G63" s="114"/>
      <c r="H63" s="114"/>
      <c r="I63" s="265"/>
    </row>
    <row r="64" spans="1:9" ht="12.75">
      <c r="A64" s="113">
        <v>39627</v>
      </c>
      <c r="B64" s="114">
        <f t="shared" si="2"/>
        <v>89</v>
      </c>
      <c r="C64" s="55">
        <f t="shared" si="3"/>
        <v>40200000</v>
      </c>
      <c r="D64" s="55">
        <v>6700000</v>
      </c>
      <c r="E64" s="118"/>
      <c r="F64" s="114"/>
      <c r="G64" s="114"/>
      <c r="H64" s="114"/>
      <c r="I64" s="265"/>
    </row>
    <row r="65" spans="1:9" ht="12.75">
      <c r="A65" s="113">
        <v>39629</v>
      </c>
      <c r="B65" s="114">
        <f t="shared" si="2"/>
        <v>2</v>
      </c>
      <c r="C65" s="55">
        <f t="shared" si="3"/>
        <v>40200000</v>
      </c>
      <c r="D65" s="55"/>
      <c r="E65" s="115">
        <f>E63</f>
        <v>0.061</v>
      </c>
      <c r="F65" s="55">
        <f>((C64+D64)*E65/360*B64)+((C65+D65)*E65/360*B65)</f>
        <v>720901.3888888889</v>
      </c>
      <c r="G65" s="114"/>
      <c r="H65" s="114"/>
      <c r="I65" s="265"/>
    </row>
    <row r="66" spans="1:9" ht="12.75">
      <c r="A66" s="113">
        <v>39719</v>
      </c>
      <c r="B66" s="114">
        <f t="shared" si="2"/>
        <v>90</v>
      </c>
      <c r="C66" s="55">
        <f t="shared" si="3"/>
        <v>33500000</v>
      </c>
      <c r="D66" s="55">
        <v>6700000</v>
      </c>
      <c r="E66" s="114"/>
      <c r="F66" s="114"/>
      <c r="G66" s="114"/>
      <c r="H66" s="114"/>
      <c r="I66" s="265"/>
    </row>
    <row r="67" spans="1:9" ht="12.75">
      <c r="A67" s="113">
        <v>39721</v>
      </c>
      <c r="B67" s="114">
        <f t="shared" si="2"/>
        <v>2</v>
      </c>
      <c r="C67" s="55">
        <f t="shared" si="3"/>
        <v>33500000</v>
      </c>
      <c r="D67" s="55"/>
      <c r="E67" s="115">
        <f>E65</f>
        <v>0.061</v>
      </c>
      <c r="F67" s="55">
        <f>((C66+D66)*E67/360*B66)+((C67+D67)*E67/360*B67)</f>
        <v>624402.7777777778</v>
      </c>
      <c r="G67" s="114"/>
      <c r="H67" s="114"/>
      <c r="I67" s="265"/>
    </row>
    <row r="68" spans="1:9" ht="12.75">
      <c r="A68" s="113">
        <v>39810</v>
      </c>
      <c r="B68" s="114">
        <f t="shared" si="2"/>
        <v>89</v>
      </c>
      <c r="C68" s="55">
        <f t="shared" si="3"/>
        <v>26800000</v>
      </c>
      <c r="D68" s="55">
        <v>6700000</v>
      </c>
      <c r="E68" s="114"/>
      <c r="F68" s="114"/>
      <c r="G68" s="114"/>
      <c r="H68" s="114"/>
      <c r="I68" s="265"/>
    </row>
    <row r="69" spans="1:9" ht="12.75">
      <c r="A69" s="120">
        <v>39813</v>
      </c>
      <c r="B69" s="121">
        <f t="shared" si="2"/>
        <v>3</v>
      </c>
      <c r="C69" s="122">
        <f t="shared" si="3"/>
        <v>26800000</v>
      </c>
      <c r="D69" s="122"/>
      <c r="E69" s="123">
        <f>E67</f>
        <v>0.061</v>
      </c>
      <c r="F69" s="55">
        <f>((C68+D68)*E69/360*B68)+((C69+D69)*E69/360*B69)</f>
        <v>518821.9444444444</v>
      </c>
      <c r="G69" s="124">
        <f>SUM(F63:F69)</f>
        <v>2687202.5000000005</v>
      </c>
      <c r="H69" s="124">
        <f>SUM(D62:D69)</f>
        <v>26800000</v>
      </c>
      <c r="I69" s="125">
        <f>SUM(G69:H69)</f>
        <v>29487202.5</v>
      </c>
    </row>
    <row r="70" spans="1:9" ht="12.75">
      <c r="A70" s="126">
        <v>39900</v>
      </c>
      <c r="B70" s="127">
        <f t="shared" si="2"/>
        <v>87</v>
      </c>
      <c r="C70" s="56">
        <f t="shared" si="3"/>
        <v>20100000</v>
      </c>
      <c r="D70" s="55">
        <v>6700000</v>
      </c>
      <c r="E70" s="127"/>
      <c r="F70" s="127"/>
      <c r="G70" s="127"/>
      <c r="H70" s="127"/>
      <c r="I70" s="276"/>
    </row>
    <row r="71" spans="1:9" ht="12.75">
      <c r="A71" s="113">
        <v>39903</v>
      </c>
      <c r="B71" s="114">
        <f t="shared" si="2"/>
        <v>3</v>
      </c>
      <c r="C71" s="55">
        <f t="shared" si="3"/>
        <v>20100000</v>
      </c>
      <c r="D71" s="55"/>
      <c r="E71" s="115">
        <f>E69</f>
        <v>0.061</v>
      </c>
      <c r="F71" s="55">
        <f>((C70+D70)*E71/360*B70)+((C71+D71)*E71/360*B71)</f>
        <v>405294.1666666667</v>
      </c>
      <c r="G71" s="114"/>
      <c r="H71" s="114"/>
      <c r="I71" s="265"/>
    </row>
    <row r="72" spans="1:9" ht="12.75">
      <c r="A72" s="113">
        <v>39992</v>
      </c>
      <c r="B72" s="114">
        <f t="shared" si="2"/>
        <v>89</v>
      </c>
      <c r="C72" s="55">
        <f t="shared" si="3"/>
        <v>13400000</v>
      </c>
      <c r="D72" s="55">
        <v>6700000</v>
      </c>
      <c r="E72" s="114"/>
      <c r="F72" s="114"/>
      <c r="G72" s="114"/>
      <c r="H72" s="114"/>
      <c r="I72" s="265"/>
    </row>
    <row r="73" spans="1:9" ht="12.75">
      <c r="A73" s="113">
        <v>39994</v>
      </c>
      <c r="B73" s="114">
        <f t="shared" si="2"/>
        <v>2</v>
      </c>
      <c r="C73" s="55">
        <f t="shared" si="3"/>
        <v>13400000</v>
      </c>
      <c r="D73" s="55"/>
      <c r="E73" s="115">
        <f>E71</f>
        <v>0.061</v>
      </c>
      <c r="F73" s="55">
        <f>((C72+D72)*E73/360*B72)+((C73+D73)*E73/360*B73)</f>
        <v>307660.2777777778</v>
      </c>
      <c r="G73" s="114"/>
      <c r="H73" s="114"/>
      <c r="I73" s="265"/>
    </row>
    <row r="74" spans="1:9" ht="12.75">
      <c r="A74" s="113">
        <v>40084</v>
      </c>
      <c r="B74" s="114">
        <f t="shared" si="2"/>
        <v>90</v>
      </c>
      <c r="C74" s="55">
        <f t="shared" si="3"/>
        <v>6700000</v>
      </c>
      <c r="D74" s="55">
        <v>6700000</v>
      </c>
      <c r="E74" s="115"/>
      <c r="F74" s="55"/>
      <c r="G74" s="131"/>
      <c r="H74" s="131"/>
      <c r="I74" s="286"/>
    </row>
    <row r="75" spans="1:9" ht="12.75">
      <c r="A75" s="113">
        <v>40086</v>
      </c>
      <c r="B75" s="114">
        <f t="shared" si="2"/>
        <v>2</v>
      </c>
      <c r="C75" s="55">
        <f t="shared" si="3"/>
        <v>6700000</v>
      </c>
      <c r="D75" s="55"/>
      <c r="E75" s="115">
        <f>E73</f>
        <v>0.061</v>
      </c>
      <c r="F75" s="55">
        <f>((C74+D74)*E75/360*B74)+((C75+D75)*E75/360*B75)</f>
        <v>206620.55555555556</v>
      </c>
      <c r="G75" s="131"/>
      <c r="H75" s="131"/>
      <c r="I75" s="286"/>
    </row>
    <row r="76" spans="1:9" ht="13.5" thickBot="1">
      <c r="A76" s="113">
        <v>40175</v>
      </c>
      <c r="B76" s="114">
        <f t="shared" si="2"/>
        <v>89</v>
      </c>
      <c r="C76" s="55">
        <f t="shared" si="3"/>
        <v>0</v>
      </c>
      <c r="D76" s="55">
        <v>6700000</v>
      </c>
      <c r="E76" s="115">
        <f>E75</f>
        <v>0.061</v>
      </c>
      <c r="F76" s="55">
        <f>((C76+D76)*E76/360*B76)</f>
        <v>101039.72222222223</v>
      </c>
      <c r="G76" s="293">
        <f>SUM(F71:F76)</f>
        <v>1020614.7222222222</v>
      </c>
      <c r="H76" s="293">
        <f>SUM(D70:D76)</f>
        <v>26800000</v>
      </c>
      <c r="I76" s="294">
        <f>SUM(G76:H76)</f>
        <v>27820614.722222224</v>
      </c>
    </row>
    <row r="77" spans="1:10" ht="13.5" thickTop="1">
      <c r="A77" s="425" t="s">
        <v>14</v>
      </c>
      <c r="B77" s="426"/>
      <c r="C77" s="427"/>
      <c r="D77" s="143">
        <f>SUM(D12:D76)</f>
        <v>250000000</v>
      </c>
      <c r="E77" s="295"/>
      <c r="F77" s="143">
        <f>SUM(F8:F76)</f>
        <v>108942643.7404871</v>
      </c>
      <c r="G77" s="143">
        <f>SUM(G8:G76)</f>
        <v>108942643.74048707</v>
      </c>
      <c r="H77" s="143">
        <f>SUM(H8:H76)</f>
        <v>250000000</v>
      </c>
      <c r="I77" s="145">
        <f>SUM(I8:I76)</f>
        <v>358942643.74048704</v>
      </c>
      <c r="J77" s="147"/>
    </row>
    <row r="78" spans="1:2" ht="12.75">
      <c r="A78" s="146"/>
      <c r="B78" s="79"/>
    </row>
    <row r="79" spans="1:2" ht="12.75">
      <c r="A79" s="146"/>
      <c r="B79" s="79"/>
    </row>
    <row r="80" spans="1:7" ht="12.75">
      <c r="A80" s="81">
        <v>7</v>
      </c>
      <c r="F80" s="147">
        <f>C35</f>
        <v>140700000</v>
      </c>
      <c r="G80" s="81" t="s">
        <v>148</v>
      </c>
    </row>
    <row r="81" spans="1:7" ht="12.75">
      <c r="A81" s="81" t="s">
        <v>149</v>
      </c>
      <c r="F81" s="147">
        <f>F77-SUM(F7:F35)</f>
        <v>27656957.055555582</v>
      </c>
      <c r="G81" s="81" t="s">
        <v>148</v>
      </c>
    </row>
    <row r="82" spans="1:7" ht="12.75">
      <c r="A82" s="81" t="s">
        <v>150</v>
      </c>
      <c r="F82" s="81">
        <f>YEAR(A76)</f>
        <v>2009</v>
      </c>
      <c r="G82" s="81" t="s">
        <v>152</v>
      </c>
    </row>
    <row r="83" spans="1:7" ht="12.75">
      <c r="A83" s="81" t="s">
        <v>151</v>
      </c>
      <c r="F83" s="81">
        <f>F82-2004</f>
        <v>5</v>
      </c>
      <c r="G83" s="81" t="s">
        <v>152</v>
      </c>
    </row>
    <row r="84" spans="1:7" ht="12.75">
      <c r="A84" s="81" t="s">
        <v>153</v>
      </c>
      <c r="F84" s="147">
        <f>ROUND(F81/F83,0)</f>
        <v>5531391</v>
      </c>
      <c r="G84" s="81" t="s">
        <v>148</v>
      </c>
    </row>
  </sheetData>
  <mergeCells count="1">
    <mergeCell ref="A77:C77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CE,Félkövér"&amp;12Adósságszolgálat számítása az OTP tájékoztatása alapján&amp;"Times New Roman CE,Félkövér dőlt"
2000. decemberben felvett 250 MFt hitel</oddHeader>
    <oddFooter>&amp;L&amp;9Nyomtatás dátuma: &amp;D
C:\Andi\adósságszolgálat\&amp;F\&amp;A&amp;R&amp;P/&amp;N</oddFooter>
  </headerFooter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pane ySplit="6" topLeftCell="BM3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1.375" style="81" customWidth="1"/>
    <col min="2" max="2" width="6.50390625" style="147" customWidth="1"/>
    <col min="3" max="3" width="12.125" style="147" customWidth="1"/>
    <col min="4" max="4" width="12.625" style="147" bestFit="1" customWidth="1"/>
    <col min="5" max="5" width="8.50390625" style="148" customWidth="1"/>
    <col min="6" max="6" width="11.50390625" style="81" customWidth="1"/>
    <col min="7" max="7" width="12.375" style="147" customWidth="1"/>
    <col min="8" max="8" width="12.625" style="81" bestFit="1" customWidth="1"/>
    <col min="9" max="9" width="12.625" style="147" bestFit="1" customWidth="1"/>
    <col min="10" max="10" width="9.375" style="81" customWidth="1"/>
    <col min="11" max="11" width="10.125" style="81" bestFit="1" customWidth="1"/>
    <col min="12" max="16384" width="9.375" style="81" customWidth="1"/>
  </cols>
  <sheetData>
    <row r="1" spans="1:9" ht="12.75">
      <c r="A1" s="189" t="s">
        <v>99</v>
      </c>
      <c r="B1" s="189"/>
      <c r="C1" s="189"/>
      <c r="D1" s="189"/>
      <c r="E1" s="190"/>
      <c r="G1" s="189"/>
      <c r="H1" s="189"/>
      <c r="I1" s="189"/>
    </row>
    <row r="2" spans="1:9" ht="12.75">
      <c r="A2" s="161" t="s">
        <v>15</v>
      </c>
      <c r="B2" s="158"/>
      <c r="C2" s="158"/>
      <c r="D2" s="158"/>
      <c r="E2" s="191"/>
      <c r="F2" s="158"/>
      <c r="G2" s="158"/>
      <c r="H2" s="158"/>
      <c r="I2" s="158"/>
    </row>
    <row r="3" spans="1:9" ht="12.75">
      <c r="A3" s="160" t="s">
        <v>73</v>
      </c>
      <c r="B3" s="189"/>
      <c r="C3" s="189"/>
      <c r="D3" s="158"/>
      <c r="E3" s="191"/>
      <c r="F3" s="158"/>
      <c r="G3" s="158"/>
      <c r="H3" s="158"/>
      <c r="I3" s="158" t="s">
        <v>2</v>
      </c>
    </row>
    <row r="4" spans="1:9" ht="12.75">
      <c r="A4" s="89" t="s">
        <v>3</v>
      </c>
      <c r="B4" s="90" t="s">
        <v>4</v>
      </c>
      <c r="C4" s="91" t="s">
        <v>5</v>
      </c>
      <c r="D4" s="91" t="s">
        <v>21</v>
      </c>
      <c r="E4" s="91" t="s">
        <v>18</v>
      </c>
      <c r="F4" s="92" t="s">
        <v>20</v>
      </c>
      <c r="G4" s="93" t="s">
        <v>6</v>
      </c>
      <c r="H4" s="93" t="s">
        <v>6</v>
      </c>
      <c r="I4" s="94" t="s">
        <v>6</v>
      </c>
    </row>
    <row r="5" spans="1:9" ht="12.75">
      <c r="A5" s="95"/>
      <c r="B5" s="96" t="s">
        <v>7</v>
      </c>
      <c r="C5" s="97" t="s">
        <v>8</v>
      </c>
      <c r="D5" s="97" t="s">
        <v>13</v>
      </c>
      <c r="E5" s="97" t="s">
        <v>19</v>
      </c>
      <c r="F5" s="98" t="s">
        <v>13</v>
      </c>
      <c r="G5" s="99" t="s">
        <v>9</v>
      </c>
      <c r="H5" s="99" t="s">
        <v>11</v>
      </c>
      <c r="I5" s="100" t="s">
        <v>10</v>
      </c>
    </row>
    <row r="6" spans="1:9" ht="12.75">
      <c r="A6" s="101"/>
      <c r="B6" s="102"/>
      <c r="C6" s="103"/>
      <c r="D6" s="103"/>
      <c r="E6" s="103"/>
      <c r="F6" s="104"/>
      <c r="G6" s="104"/>
      <c r="H6" s="105" t="s">
        <v>13</v>
      </c>
      <c r="I6" s="106" t="s">
        <v>12</v>
      </c>
    </row>
    <row r="7" spans="1:9" ht="12.75">
      <c r="A7" s="107">
        <v>36708</v>
      </c>
      <c r="B7" s="163"/>
      <c r="C7" s="164">
        <v>200000000</v>
      </c>
      <c r="D7" s="164"/>
      <c r="E7" s="164"/>
      <c r="F7" s="164"/>
      <c r="G7" s="174"/>
      <c r="H7" s="174"/>
      <c r="I7" s="175"/>
    </row>
    <row r="8" spans="1:9" ht="12.75">
      <c r="A8" s="107">
        <v>36799</v>
      </c>
      <c r="B8" s="163">
        <f aca="true" t="shared" si="0" ref="B8:B24">A8-A7</f>
        <v>91</v>
      </c>
      <c r="C8" s="164">
        <f aca="true" t="shared" si="1" ref="C8:C22">C7-D8</f>
        <v>200000000</v>
      </c>
      <c r="D8" s="164"/>
      <c r="E8" s="76">
        <v>0.1116</v>
      </c>
      <c r="F8" s="164">
        <f>(C8+D8)*E8/365*B8</f>
        <v>5564712.328767123</v>
      </c>
      <c r="G8" s="174"/>
      <c r="H8" s="174"/>
      <c r="I8" s="175"/>
    </row>
    <row r="9" spans="1:9" ht="12.75">
      <c r="A9" s="168">
        <v>36891</v>
      </c>
      <c r="B9" s="269">
        <f t="shared" si="0"/>
        <v>92</v>
      </c>
      <c r="C9" s="169">
        <f t="shared" si="1"/>
        <v>200000000</v>
      </c>
      <c r="D9" s="122"/>
      <c r="E9" s="291">
        <f>E8</f>
        <v>0.1116</v>
      </c>
      <c r="F9" s="170">
        <f>(C9+D9)*E9/365*B9</f>
        <v>5625863.01369863</v>
      </c>
      <c r="G9" s="176">
        <f>SUM(F7:F9)</f>
        <v>11190575.342465753</v>
      </c>
      <c r="H9" s="176">
        <f>SUM(D7:D9)</f>
        <v>0</v>
      </c>
      <c r="I9" s="177">
        <f>SUM(G9:H9)</f>
        <v>11190575.342465753</v>
      </c>
    </row>
    <row r="10" spans="1:9" ht="12.75">
      <c r="A10" s="126">
        <v>36981</v>
      </c>
      <c r="B10" s="268">
        <f t="shared" si="0"/>
        <v>90</v>
      </c>
      <c r="C10" s="165">
        <f t="shared" si="1"/>
        <v>200000000</v>
      </c>
      <c r="D10" s="164"/>
      <c r="E10" s="76">
        <f>F10/(C10*B10)*365</f>
        <v>0.1241101388888889</v>
      </c>
      <c r="F10" s="164">
        <v>6120500</v>
      </c>
      <c r="G10" s="166"/>
      <c r="H10" s="166"/>
      <c r="I10" s="167"/>
    </row>
    <row r="11" spans="1:9" ht="12.75">
      <c r="A11" s="113">
        <v>37072</v>
      </c>
      <c r="B11" s="270">
        <f t="shared" si="0"/>
        <v>91</v>
      </c>
      <c r="C11" s="180">
        <f t="shared" si="1"/>
        <v>200000000</v>
      </c>
      <c r="D11" s="180"/>
      <c r="E11" s="76">
        <f>F11/(C11*B11)*365</f>
        <v>0.11535381785714285</v>
      </c>
      <c r="F11" s="164">
        <v>5751889</v>
      </c>
      <c r="G11" s="181"/>
      <c r="H11" s="181"/>
      <c r="I11" s="182"/>
    </row>
    <row r="12" spans="1:9" ht="12.75">
      <c r="A12" s="113">
        <v>37162</v>
      </c>
      <c r="B12" s="270">
        <f t="shared" si="0"/>
        <v>90</v>
      </c>
      <c r="C12" s="180">
        <f t="shared" si="1"/>
        <v>183334000</v>
      </c>
      <c r="D12" s="180">
        <v>16666000</v>
      </c>
      <c r="E12" s="271"/>
      <c r="F12" s="180"/>
      <c r="G12" s="181"/>
      <c r="H12" s="181"/>
      <c r="I12" s="182"/>
    </row>
    <row r="13" spans="1:9" ht="12.75">
      <c r="A13" s="107">
        <v>37164</v>
      </c>
      <c r="B13" s="163">
        <f t="shared" si="0"/>
        <v>2</v>
      </c>
      <c r="C13" s="164">
        <f t="shared" si="1"/>
        <v>183334000</v>
      </c>
      <c r="D13" s="164"/>
      <c r="E13" s="76">
        <f>F13/(((C12+D12)*B12)+(C13*B13))*365</f>
        <v>0.11112075091682388</v>
      </c>
      <c r="F13" s="164">
        <v>5591556</v>
      </c>
      <c r="G13" s="174"/>
      <c r="H13" s="174"/>
      <c r="I13" s="175"/>
    </row>
    <row r="14" spans="1:9" ht="12.75">
      <c r="A14" s="107">
        <v>37253</v>
      </c>
      <c r="B14" s="163">
        <f t="shared" si="0"/>
        <v>89</v>
      </c>
      <c r="C14" s="164">
        <f t="shared" si="1"/>
        <v>166668000</v>
      </c>
      <c r="D14" s="164">
        <v>16666000</v>
      </c>
      <c r="E14" s="76"/>
      <c r="F14" s="164"/>
      <c r="G14" s="174"/>
      <c r="H14" s="174"/>
      <c r="I14" s="175"/>
    </row>
    <row r="15" spans="1:9" ht="12.75">
      <c r="A15" s="168">
        <v>37253</v>
      </c>
      <c r="B15" s="269">
        <f t="shared" si="0"/>
        <v>0</v>
      </c>
      <c r="C15" s="169">
        <f t="shared" si="1"/>
        <v>166668000</v>
      </c>
      <c r="D15" s="122"/>
      <c r="E15" s="123">
        <f>F15/(((C14+D14)*B14)+(C15*B15))*365</f>
        <v>0.11524272730938792</v>
      </c>
      <c r="F15" s="170">
        <v>5151737</v>
      </c>
      <c r="G15" s="176">
        <f>SUM(F10:F15)</f>
        <v>22615682</v>
      </c>
      <c r="H15" s="176">
        <f>SUM(D10:D15)</f>
        <v>33332000</v>
      </c>
      <c r="I15" s="177">
        <f>SUM(G15:H15)</f>
        <v>55947682</v>
      </c>
    </row>
    <row r="16" spans="1:9" ht="12.75">
      <c r="A16" s="126">
        <v>37343</v>
      </c>
      <c r="B16" s="296">
        <f t="shared" si="0"/>
        <v>90</v>
      </c>
      <c r="C16" s="165">
        <f t="shared" si="1"/>
        <v>150002000</v>
      </c>
      <c r="D16" s="164">
        <v>16666000</v>
      </c>
      <c r="E16" s="76"/>
      <c r="F16" s="164"/>
      <c r="G16" s="166"/>
      <c r="H16" s="166"/>
      <c r="I16" s="167"/>
    </row>
    <row r="17" spans="1:9" ht="12.75">
      <c r="A17" s="107">
        <v>37344</v>
      </c>
      <c r="B17" s="114">
        <f t="shared" si="0"/>
        <v>1</v>
      </c>
      <c r="C17" s="164">
        <f t="shared" si="1"/>
        <v>150002000</v>
      </c>
      <c r="D17" s="164"/>
      <c r="E17" s="76">
        <f>F17/(((C16+D16)*B16)+(C17*B17))*365</f>
        <v>0.0997402291545903</v>
      </c>
      <c r="F17" s="164">
        <v>4139936</v>
      </c>
      <c r="G17" s="174"/>
      <c r="H17" s="174"/>
      <c r="I17" s="175"/>
    </row>
    <row r="18" spans="1:9" ht="12.75">
      <c r="A18" s="107">
        <v>37435</v>
      </c>
      <c r="B18" s="163">
        <f t="shared" si="0"/>
        <v>91</v>
      </c>
      <c r="C18" s="164">
        <f t="shared" si="1"/>
        <v>133336000</v>
      </c>
      <c r="D18" s="164">
        <v>16666000</v>
      </c>
      <c r="E18" s="76"/>
      <c r="F18" s="164"/>
      <c r="G18" s="174"/>
      <c r="H18" s="174"/>
      <c r="I18" s="175"/>
    </row>
    <row r="19" spans="1:9" ht="12.75">
      <c r="A19" s="107">
        <v>37437</v>
      </c>
      <c r="B19" s="163">
        <f t="shared" si="0"/>
        <v>2</v>
      </c>
      <c r="C19" s="164">
        <f t="shared" si="1"/>
        <v>133336000</v>
      </c>
      <c r="D19" s="164"/>
      <c r="E19" s="76">
        <v>0.085</v>
      </c>
      <c r="F19" s="164">
        <v>3239335</v>
      </c>
      <c r="G19" s="174"/>
      <c r="H19" s="174"/>
      <c r="I19" s="175"/>
    </row>
    <row r="20" spans="1:9" ht="12.75">
      <c r="A20" s="107">
        <v>37527</v>
      </c>
      <c r="B20" s="163">
        <f t="shared" si="0"/>
        <v>90</v>
      </c>
      <c r="C20" s="164">
        <f t="shared" si="1"/>
        <v>116670000</v>
      </c>
      <c r="D20" s="164">
        <v>16666000</v>
      </c>
      <c r="E20" s="76"/>
      <c r="F20" s="164"/>
      <c r="G20" s="174"/>
      <c r="H20" s="174"/>
      <c r="I20" s="175"/>
    </row>
    <row r="21" spans="1:9" ht="12.75">
      <c r="A21" s="107">
        <v>37529</v>
      </c>
      <c r="B21" s="163">
        <f t="shared" si="0"/>
        <v>2</v>
      </c>
      <c r="C21" s="164">
        <f t="shared" si="1"/>
        <v>116670000</v>
      </c>
      <c r="D21" s="164"/>
      <c r="E21" s="76">
        <v>0.0931</v>
      </c>
      <c r="F21" s="164">
        <v>3232324</v>
      </c>
      <c r="G21" s="174"/>
      <c r="H21" s="174"/>
      <c r="I21" s="175"/>
    </row>
    <row r="22" spans="1:9" ht="12.75">
      <c r="A22" s="107">
        <v>37618</v>
      </c>
      <c r="B22" s="163">
        <f t="shared" si="0"/>
        <v>89</v>
      </c>
      <c r="C22" s="164">
        <f t="shared" si="1"/>
        <v>100004000</v>
      </c>
      <c r="D22" s="164">
        <v>16666000</v>
      </c>
      <c r="E22" s="76"/>
      <c r="F22" s="164"/>
      <c r="G22" s="174"/>
      <c r="H22" s="174"/>
      <c r="I22" s="175"/>
    </row>
    <row r="23" spans="1:9" ht="12.75">
      <c r="A23" s="297">
        <v>37621</v>
      </c>
      <c r="B23" s="121">
        <f t="shared" si="0"/>
        <v>3</v>
      </c>
      <c r="C23" s="298">
        <v>100004000</v>
      </c>
      <c r="D23" s="122"/>
      <c r="E23" s="214">
        <v>0.098</v>
      </c>
      <c r="F23" s="122">
        <v>2906737</v>
      </c>
      <c r="G23" s="176">
        <f>SUM(F17:F23)</f>
        <v>13518332</v>
      </c>
      <c r="H23" s="176">
        <f>SUM(D16:D23)</f>
        <v>66664000</v>
      </c>
      <c r="I23" s="177">
        <f>SUM(G23:H23)</f>
        <v>80182332</v>
      </c>
    </row>
    <row r="24" spans="1:9" ht="12.75">
      <c r="A24" s="107">
        <v>37708</v>
      </c>
      <c r="B24" s="127">
        <f t="shared" si="0"/>
        <v>87</v>
      </c>
      <c r="C24" s="56">
        <f aca="true" t="shared" si="2" ref="C24:C62">C23-D24</f>
        <v>95000000</v>
      </c>
      <c r="D24" s="56">
        <v>5004000</v>
      </c>
      <c r="E24" s="128"/>
      <c r="F24" s="127"/>
      <c r="G24" s="56"/>
      <c r="H24" s="127"/>
      <c r="I24" s="129"/>
    </row>
    <row r="25" spans="1:9" ht="12.75">
      <c r="A25" s="107">
        <v>37711</v>
      </c>
      <c r="B25" s="114">
        <f aca="true" t="shared" si="3" ref="B25:B62">A25-A24</f>
        <v>3</v>
      </c>
      <c r="C25" s="55">
        <f t="shared" si="2"/>
        <v>95000000</v>
      </c>
      <c r="D25" s="55"/>
      <c r="E25" s="115">
        <v>0.0847</v>
      </c>
      <c r="F25" s="55">
        <v>2117747</v>
      </c>
      <c r="G25" s="55"/>
      <c r="H25" s="114"/>
      <c r="I25" s="119"/>
    </row>
    <row r="26" spans="1:9" ht="12.75">
      <c r="A26" s="107">
        <v>37800</v>
      </c>
      <c r="B26" s="114">
        <f t="shared" si="3"/>
        <v>89</v>
      </c>
      <c r="C26" s="55">
        <f t="shared" si="2"/>
        <v>90000000</v>
      </c>
      <c r="D26" s="55">
        <v>5000000</v>
      </c>
      <c r="E26" s="118"/>
      <c r="F26" s="114"/>
      <c r="G26" s="55"/>
      <c r="H26" s="114"/>
      <c r="I26" s="119"/>
    </row>
    <row r="27" spans="1:9" ht="12.75">
      <c r="A27" s="107">
        <v>37802</v>
      </c>
      <c r="B27" s="114">
        <f t="shared" si="3"/>
        <v>2</v>
      </c>
      <c r="C27" s="55">
        <f t="shared" si="2"/>
        <v>90000000</v>
      </c>
      <c r="D27" s="55"/>
      <c r="E27" s="115">
        <v>0.0665</v>
      </c>
      <c r="F27" s="55">
        <v>1601726</v>
      </c>
      <c r="G27" s="55"/>
      <c r="H27" s="114"/>
      <c r="I27" s="119"/>
    </row>
    <row r="28" spans="1:9" ht="12.75">
      <c r="A28" s="107">
        <v>37892</v>
      </c>
      <c r="B28" s="114">
        <f t="shared" si="3"/>
        <v>90</v>
      </c>
      <c r="C28" s="55">
        <f t="shared" si="2"/>
        <v>85000000</v>
      </c>
      <c r="D28" s="55">
        <v>5000000</v>
      </c>
      <c r="E28" s="118"/>
      <c r="F28" s="114"/>
      <c r="G28" s="55"/>
      <c r="H28" s="114"/>
      <c r="I28" s="119"/>
    </row>
    <row r="29" spans="1:9" ht="12.75">
      <c r="A29" s="107">
        <v>37894</v>
      </c>
      <c r="B29" s="114">
        <f t="shared" si="3"/>
        <v>2</v>
      </c>
      <c r="C29" s="55">
        <f t="shared" si="2"/>
        <v>85000000</v>
      </c>
      <c r="D29" s="55"/>
      <c r="E29" s="115">
        <v>0.0893</v>
      </c>
      <c r="F29" s="55">
        <v>2045719</v>
      </c>
      <c r="G29" s="55"/>
      <c r="H29" s="114"/>
      <c r="I29" s="119"/>
    </row>
    <row r="30" spans="1:11" ht="12.75">
      <c r="A30" s="107">
        <v>37983</v>
      </c>
      <c r="B30" s="114">
        <f t="shared" si="3"/>
        <v>89</v>
      </c>
      <c r="C30" s="55">
        <f t="shared" si="2"/>
        <v>80000000</v>
      </c>
      <c r="D30" s="55">
        <v>5000000</v>
      </c>
      <c r="E30" s="118"/>
      <c r="F30" s="114"/>
      <c r="G30" s="55"/>
      <c r="H30" s="114"/>
      <c r="I30" s="119"/>
      <c r="K30" s="147"/>
    </row>
    <row r="31" spans="1:9" ht="12.75">
      <c r="A31" s="168">
        <v>37986</v>
      </c>
      <c r="B31" s="121">
        <f t="shared" si="3"/>
        <v>3</v>
      </c>
      <c r="C31" s="122">
        <f t="shared" si="2"/>
        <v>80000000</v>
      </c>
      <c r="D31" s="122"/>
      <c r="E31" s="123">
        <v>0.0961</v>
      </c>
      <c r="F31" s="55">
        <v>2081896</v>
      </c>
      <c r="G31" s="124">
        <f>SUM(F25:F31)</f>
        <v>7847088</v>
      </c>
      <c r="H31" s="124">
        <f>SUM(D24:D31)</f>
        <v>20004000</v>
      </c>
      <c r="I31" s="125">
        <f>SUM(G31:H31)</f>
        <v>27851088</v>
      </c>
    </row>
    <row r="32" spans="1:9" ht="12.75">
      <c r="A32" s="126">
        <v>38074</v>
      </c>
      <c r="B32" s="127">
        <f t="shared" si="3"/>
        <v>88</v>
      </c>
      <c r="C32" s="56">
        <f t="shared" si="2"/>
        <v>75000000</v>
      </c>
      <c r="D32" s="55">
        <v>5000000</v>
      </c>
      <c r="E32" s="128"/>
      <c r="F32" s="127"/>
      <c r="G32" s="56"/>
      <c r="H32" s="127"/>
      <c r="I32" s="129"/>
    </row>
    <row r="33" spans="1:9" ht="12.75">
      <c r="A33" s="113">
        <v>38077</v>
      </c>
      <c r="B33" s="114">
        <f t="shared" si="3"/>
        <v>3</v>
      </c>
      <c r="C33" s="55">
        <f t="shared" si="2"/>
        <v>75000000</v>
      </c>
      <c r="D33" s="55"/>
      <c r="E33" s="115">
        <v>0.1255</v>
      </c>
      <c r="F33" s="55">
        <v>2527869</v>
      </c>
      <c r="G33" s="55"/>
      <c r="H33" s="114"/>
      <c r="I33" s="119"/>
    </row>
    <row r="34" spans="1:9" ht="12.75">
      <c r="A34" s="113">
        <v>38166</v>
      </c>
      <c r="B34" s="114">
        <f t="shared" si="3"/>
        <v>89</v>
      </c>
      <c r="C34" s="55">
        <f t="shared" si="2"/>
        <v>70000000</v>
      </c>
      <c r="D34" s="55">
        <v>5000000</v>
      </c>
      <c r="E34" s="118"/>
      <c r="F34" s="114"/>
      <c r="G34" s="55"/>
      <c r="H34" s="114"/>
      <c r="I34" s="119"/>
    </row>
    <row r="35" spans="1:9" ht="12.75">
      <c r="A35" s="113">
        <v>38168</v>
      </c>
      <c r="B35" s="114">
        <f t="shared" si="3"/>
        <v>2</v>
      </c>
      <c r="C35" s="55">
        <f t="shared" si="2"/>
        <v>70000000</v>
      </c>
      <c r="D35" s="55"/>
      <c r="E35" s="115">
        <v>0.1197</v>
      </c>
      <c r="F35" s="55">
        <v>2267196</v>
      </c>
      <c r="G35" s="55"/>
      <c r="H35" s="114"/>
      <c r="I35" s="119"/>
    </row>
    <row r="36" spans="1:9" ht="12.75">
      <c r="A36" s="113">
        <v>38258</v>
      </c>
      <c r="B36" s="114">
        <f t="shared" si="3"/>
        <v>90</v>
      </c>
      <c r="C36" s="55">
        <f t="shared" si="2"/>
        <v>65000000</v>
      </c>
      <c r="D36" s="55">
        <v>5000000</v>
      </c>
      <c r="E36" s="118"/>
      <c r="F36" s="114"/>
      <c r="G36" s="55"/>
      <c r="H36" s="114"/>
      <c r="I36" s="119"/>
    </row>
    <row r="37" spans="1:9" ht="12.75">
      <c r="A37" s="113">
        <v>38260</v>
      </c>
      <c r="B37" s="114">
        <f t="shared" si="3"/>
        <v>2</v>
      </c>
      <c r="C37" s="55">
        <f t="shared" si="2"/>
        <v>65000000</v>
      </c>
      <c r="D37" s="55"/>
      <c r="E37" s="115">
        <v>0.1167</v>
      </c>
      <c r="F37" s="55">
        <v>2084975</v>
      </c>
      <c r="G37" s="55"/>
      <c r="H37" s="114"/>
      <c r="I37" s="119"/>
    </row>
    <row r="38" spans="1:9" ht="12.75">
      <c r="A38" s="113">
        <v>38349</v>
      </c>
      <c r="B38" s="114">
        <f t="shared" si="3"/>
        <v>89</v>
      </c>
      <c r="C38" s="55">
        <f t="shared" si="2"/>
        <v>60000000</v>
      </c>
      <c r="D38" s="55">
        <v>5000000</v>
      </c>
      <c r="E38" s="118"/>
      <c r="F38" s="114"/>
      <c r="G38" s="55"/>
      <c r="H38" s="114"/>
      <c r="I38" s="119"/>
    </row>
    <row r="39" spans="1:11" ht="12.75">
      <c r="A39" s="120">
        <v>38352</v>
      </c>
      <c r="B39" s="121">
        <f t="shared" si="3"/>
        <v>3</v>
      </c>
      <c r="C39" s="122">
        <f t="shared" si="2"/>
        <v>60000000</v>
      </c>
      <c r="D39" s="122"/>
      <c r="E39" s="123">
        <v>0.111</v>
      </c>
      <c r="F39" s="55">
        <v>1840238</v>
      </c>
      <c r="G39" s="124">
        <f>SUM(F33:F39)</f>
        <v>8720278</v>
      </c>
      <c r="H39" s="124">
        <f>SUM(D32:D39)</f>
        <v>20000000</v>
      </c>
      <c r="I39" s="125">
        <f>SUM(G39:H39)</f>
        <v>28720278</v>
      </c>
      <c r="K39" s="147"/>
    </row>
    <row r="40" spans="1:9" ht="12.75">
      <c r="A40" s="126">
        <v>38440</v>
      </c>
      <c r="B40" s="127">
        <f t="shared" si="3"/>
        <v>88</v>
      </c>
      <c r="C40" s="56">
        <f t="shared" si="2"/>
        <v>55000000</v>
      </c>
      <c r="D40" s="55">
        <v>5000000</v>
      </c>
      <c r="E40" s="128"/>
      <c r="F40" s="127"/>
      <c r="G40" s="56"/>
      <c r="H40" s="127"/>
      <c r="I40" s="129"/>
    </row>
    <row r="41" spans="1:9" ht="12.75">
      <c r="A41" s="113">
        <v>38442</v>
      </c>
      <c r="B41" s="114">
        <f t="shared" si="3"/>
        <v>2</v>
      </c>
      <c r="C41" s="55">
        <f t="shared" si="2"/>
        <v>55000000</v>
      </c>
      <c r="D41" s="55"/>
      <c r="E41" s="115">
        <v>0.0946</v>
      </c>
      <c r="F41" s="55">
        <v>1419106</v>
      </c>
      <c r="G41" s="55"/>
      <c r="H41" s="114"/>
      <c r="I41" s="119"/>
    </row>
    <row r="42" spans="1:9" ht="12.75">
      <c r="A42" s="113">
        <v>38531</v>
      </c>
      <c r="B42" s="114">
        <f t="shared" si="3"/>
        <v>89</v>
      </c>
      <c r="C42" s="55">
        <f t="shared" si="2"/>
        <v>50000000</v>
      </c>
      <c r="D42" s="55">
        <v>5000000</v>
      </c>
      <c r="E42" s="118"/>
      <c r="F42" s="114"/>
      <c r="G42" s="55"/>
      <c r="H42" s="114"/>
      <c r="I42" s="119"/>
    </row>
    <row r="43" spans="1:9" ht="12.75">
      <c r="A43" s="113">
        <v>38533</v>
      </c>
      <c r="B43" s="114">
        <f t="shared" si="3"/>
        <v>2</v>
      </c>
      <c r="C43" s="55">
        <f t="shared" si="2"/>
        <v>50000000</v>
      </c>
      <c r="D43" s="55"/>
      <c r="E43" s="115">
        <v>0.0784</v>
      </c>
      <c r="F43" s="55">
        <v>1090275</v>
      </c>
      <c r="G43" s="55"/>
      <c r="H43" s="114"/>
      <c r="I43" s="119"/>
    </row>
    <row r="44" spans="1:9" ht="12.75">
      <c r="A44" s="113">
        <v>38623</v>
      </c>
      <c r="B44" s="114">
        <f t="shared" si="3"/>
        <v>90</v>
      </c>
      <c r="C44" s="55">
        <f t="shared" si="2"/>
        <v>45000000</v>
      </c>
      <c r="D44" s="55">
        <v>5000000</v>
      </c>
      <c r="E44" s="118"/>
      <c r="F44" s="114"/>
      <c r="G44" s="55"/>
      <c r="H44" s="114"/>
      <c r="I44" s="119"/>
    </row>
    <row r="45" spans="1:9" ht="12.75">
      <c r="A45" s="113">
        <v>38625</v>
      </c>
      <c r="B45" s="114">
        <f t="shared" si="3"/>
        <v>2</v>
      </c>
      <c r="C45" s="55">
        <f t="shared" si="2"/>
        <v>45000000</v>
      </c>
      <c r="D45" s="55"/>
      <c r="E45" s="115">
        <v>0.0702</v>
      </c>
      <c r="F45" s="55">
        <v>896189</v>
      </c>
      <c r="G45" s="55"/>
      <c r="H45" s="114"/>
      <c r="I45" s="119"/>
    </row>
    <row r="46" spans="1:9" ht="12.75">
      <c r="A46" s="113">
        <v>38714</v>
      </c>
      <c r="B46" s="114">
        <f t="shared" si="3"/>
        <v>89</v>
      </c>
      <c r="C46" s="55">
        <f t="shared" si="2"/>
        <v>40000000</v>
      </c>
      <c r="D46" s="55">
        <v>5000000</v>
      </c>
      <c r="E46" s="118"/>
      <c r="F46" s="114"/>
      <c r="G46" s="55"/>
      <c r="H46" s="114"/>
      <c r="I46" s="119"/>
    </row>
    <row r="47" spans="1:9" ht="12.75">
      <c r="A47" s="120">
        <v>38717</v>
      </c>
      <c r="B47" s="121">
        <f t="shared" si="3"/>
        <v>3</v>
      </c>
      <c r="C47" s="122">
        <f t="shared" si="2"/>
        <v>40000000</v>
      </c>
      <c r="D47" s="122"/>
      <c r="E47" s="123">
        <v>0.061</v>
      </c>
      <c r="F47" s="55">
        <f>((C46+D46)*E47/360*B46)+((C47+D47)*E47/360*B47)</f>
        <v>698958.3333333334</v>
      </c>
      <c r="G47" s="124">
        <f>SUM(F41:F47)</f>
        <v>4104528.3333333335</v>
      </c>
      <c r="H47" s="124">
        <f>SUM(D40:D47)</f>
        <v>20000000</v>
      </c>
      <c r="I47" s="125">
        <f>SUM(G47:H47)</f>
        <v>24104528.333333332</v>
      </c>
    </row>
    <row r="48" spans="1:9" ht="12.75">
      <c r="A48" s="126">
        <v>38804</v>
      </c>
      <c r="B48" s="127">
        <f t="shared" si="3"/>
        <v>87</v>
      </c>
      <c r="C48" s="56">
        <f t="shared" si="2"/>
        <v>35000000</v>
      </c>
      <c r="D48" s="109">
        <v>5000000</v>
      </c>
      <c r="E48" s="128"/>
      <c r="F48" s="127"/>
      <c r="G48" s="56"/>
      <c r="H48" s="127"/>
      <c r="I48" s="129"/>
    </row>
    <row r="49" spans="1:9" ht="12.75">
      <c r="A49" s="113">
        <v>38807</v>
      </c>
      <c r="B49" s="114">
        <f t="shared" si="3"/>
        <v>3</v>
      </c>
      <c r="C49" s="55">
        <f t="shared" si="2"/>
        <v>35000000</v>
      </c>
      <c r="D49" s="55"/>
      <c r="E49" s="115">
        <f>E47</f>
        <v>0.061</v>
      </c>
      <c r="F49" s="55">
        <f>((C48+D48)*E49/360*B48)+((C49+D49)*E49/360*B49)</f>
        <v>607458.3333333333</v>
      </c>
      <c r="G49" s="55"/>
      <c r="H49" s="114"/>
      <c r="I49" s="119"/>
    </row>
    <row r="50" spans="1:9" ht="12.75">
      <c r="A50" s="113">
        <v>38896</v>
      </c>
      <c r="B50" s="114">
        <f t="shared" si="3"/>
        <v>89</v>
      </c>
      <c r="C50" s="55">
        <f t="shared" si="2"/>
        <v>30000000</v>
      </c>
      <c r="D50" s="55">
        <v>5000000</v>
      </c>
      <c r="E50" s="118"/>
      <c r="F50" s="114"/>
      <c r="G50" s="55"/>
      <c r="H50" s="114"/>
      <c r="I50" s="119"/>
    </row>
    <row r="51" spans="1:9" ht="12.75">
      <c r="A51" s="113">
        <v>38898</v>
      </c>
      <c r="B51" s="114">
        <f t="shared" si="3"/>
        <v>2</v>
      </c>
      <c r="C51" s="55">
        <f t="shared" si="2"/>
        <v>30000000</v>
      </c>
      <c r="D51" s="55"/>
      <c r="E51" s="115">
        <f>E49</f>
        <v>0.061</v>
      </c>
      <c r="F51" s="55">
        <f>((C50+D50)*E51/360*B50)+((C51+D51)*E51/360*B51)</f>
        <v>537986.1111111111</v>
      </c>
      <c r="G51" s="55"/>
      <c r="H51" s="114"/>
      <c r="I51" s="119"/>
    </row>
    <row r="52" spans="1:9" ht="12.75">
      <c r="A52" s="113">
        <v>38988</v>
      </c>
      <c r="B52" s="114">
        <f t="shared" si="3"/>
        <v>90</v>
      </c>
      <c r="C52" s="55">
        <f t="shared" si="2"/>
        <v>25000000</v>
      </c>
      <c r="D52" s="55">
        <v>5000000</v>
      </c>
      <c r="E52" s="118"/>
      <c r="F52" s="114"/>
      <c r="G52" s="55"/>
      <c r="H52" s="114"/>
      <c r="I52" s="119"/>
    </row>
    <row r="53" spans="1:9" ht="12.75">
      <c r="A53" s="113">
        <v>38990</v>
      </c>
      <c r="B53" s="114">
        <f t="shared" si="3"/>
        <v>2</v>
      </c>
      <c r="C53" s="55">
        <f t="shared" si="2"/>
        <v>25000000</v>
      </c>
      <c r="D53" s="55"/>
      <c r="E53" s="115">
        <f>E51</f>
        <v>0.061</v>
      </c>
      <c r="F53" s="55">
        <f>((C52+D52)*E53/360*B52)+((C53+D53)*E53/360*B53)</f>
        <v>465972.22222222225</v>
      </c>
      <c r="G53" s="55"/>
      <c r="H53" s="114"/>
      <c r="I53" s="119"/>
    </row>
    <row r="54" spans="1:9" ht="12.75">
      <c r="A54" s="113">
        <v>39079</v>
      </c>
      <c r="B54" s="114">
        <f t="shared" si="3"/>
        <v>89</v>
      </c>
      <c r="C54" s="55">
        <f t="shared" si="2"/>
        <v>20000000</v>
      </c>
      <c r="D54" s="55">
        <v>5000000</v>
      </c>
      <c r="E54" s="118"/>
      <c r="F54" s="114"/>
      <c r="G54" s="55"/>
      <c r="H54" s="114"/>
      <c r="I54" s="119"/>
    </row>
    <row r="55" spans="1:9" ht="12.75">
      <c r="A55" s="120">
        <v>39082</v>
      </c>
      <c r="B55" s="121">
        <f t="shared" si="3"/>
        <v>3</v>
      </c>
      <c r="C55" s="122">
        <f t="shared" si="2"/>
        <v>20000000</v>
      </c>
      <c r="D55" s="122"/>
      <c r="E55" s="123">
        <f>E53</f>
        <v>0.061</v>
      </c>
      <c r="F55" s="122">
        <f>((C54+D54)*E55/360*B54)+((C55+D55)*E55/360*B55)</f>
        <v>387180.5555555556</v>
      </c>
      <c r="G55" s="124">
        <f>SUM(F49:F55)</f>
        <v>1998597.2222222225</v>
      </c>
      <c r="H55" s="124">
        <f>SUM(D48:D55)</f>
        <v>20000000</v>
      </c>
      <c r="I55" s="125">
        <f>SUM(G55:H55)</f>
        <v>21998597.222222224</v>
      </c>
    </row>
    <row r="56" spans="1:9" ht="12.75">
      <c r="A56" s="126">
        <v>39169</v>
      </c>
      <c r="B56" s="127">
        <f t="shared" si="3"/>
        <v>87</v>
      </c>
      <c r="C56" s="56">
        <f t="shared" si="2"/>
        <v>15000000</v>
      </c>
      <c r="D56" s="56">
        <v>5000000</v>
      </c>
      <c r="E56" s="128"/>
      <c r="F56" s="127"/>
      <c r="G56" s="56"/>
      <c r="H56" s="127"/>
      <c r="I56" s="129"/>
    </row>
    <row r="57" spans="1:9" ht="12.75">
      <c r="A57" s="113">
        <v>39172</v>
      </c>
      <c r="B57" s="114">
        <f t="shared" si="3"/>
        <v>3</v>
      </c>
      <c r="C57" s="55">
        <f t="shared" si="2"/>
        <v>15000000</v>
      </c>
      <c r="D57" s="55"/>
      <c r="E57" s="115">
        <f>E55</f>
        <v>0.061</v>
      </c>
      <c r="F57" s="55">
        <f>((C56+D56)*E57/360*B56)+((C57+D57)*E57/360*B57)</f>
        <v>302458.3333333333</v>
      </c>
      <c r="G57" s="55"/>
      <c r="H57" s="114"/>
      <c r="I57" s="119"/>
    </row>
    <row r="58" spans="1:9" ht="12.75">
      <c r="A58" s="113">
        <v>39261</v>
      </c>
      <c r="B58" s="114">
        <f t="shared" si="3"/>
        <v>89</v>
      </c>
      <c r="C58" s="55">
        <f t="shared" si="2"/>
        <v>10000000</v>
      </c>
      <c r="D58" s="55">
        <v>5000000</v>
      </c>
      <c r="E58" s="278"/>
      <c r="F58" s="130"/>
      <c r="G58" s="130"/>
      <c r="H58" s="131"/>
      <c r="I58" s="132"/>
    </row>
    <row r="59" spans="1:9" ht="12.75">
      <c r="A59" s="113">
        <v>39263</v>
      </c>
      <c r="B59" s="114">
        <f t="shared" si="3"/>
        <v>2</v>
      </c>
      <c r="C59" s="55">
        <f t="shared" si="2"/>
        <v>10000000</v>
      </c>
      <c r="D59" s="130"/>
      <c r="E59" s="115">
        <f>E57</f>
        <v>0.061</v>
      </c>
      <c r="F59" s="55">
        <f>((C58+D58)*E59/360*B58)+((C59+D59)*E59/360*B59)</f>
        <v>229597.2222222222</v>
      </c>
      <c r="G59" s="130"/>
      <c r="H59" s="131"/>
      <c r="I59" s="132"/>
    </row>
    <row r="60" spans="1:9" ht="12.75">
      <c r="A60" s="113">
        <v>39353</v>
      </c>
      <c r="B60" s="114">
        <f t="shared" si="3"/>
        <v>90</v>
      </c>
      <c r="C60" s="55">
        <f t="shared" si="2"/>
        <v>5000000</v>
      </c>
      <c r="D60" s="55">
        <v>5000000</v>
      </c>
      <c r="E60" s="278"/>
      <c r="F60" s="130"/>
      <c r="G60" s="130"/>
      <c r="H60" s="131"/>
      <c r="I60" s="132"/>
    </row>
    <row r="61" spans="1:9" ht="12.75">
      <c r="A61" s="113">
        <v>39355</v>
      </c>
      <c r="B61" s="114">
        <f t="shared" si="3"/>
        <v>2</v>
      </c>
      <c r="C61" s="55">
        <f t="shared" si="2"/>
        <v>5000000</v>
      </c>
      <c r="D61" s="130"/>
      <c r="E61" s="115">
        <f>E59</f>
        <v>0.061</v>
      </c>
      <c r="F61" s="55">
        <f>((C60+D60)*E61/360*B60)+((C61+D61)*E61/360*B61)</f>
        <v>154194.44444444444</v>
      </c>
      <c r="G61" s="130"/>
      <c r="H61" s="131"/>
      <c r="I61" s="132"/>
    </row>
    <row r="62" spans="1:9" ht="13.5" thickBot="1">
      <c r="A62" s="113">
        <v>39444</v>
      </c>
      <c r="B62" s="108">
        <f t="shared" si="3"/>
        <v>89</v>
      </c>
      <c r="C62" s="109">
        <f t="shared" si="2"/>
        <v>0</v>
      </c>
      <c r="D62" s="55">
        <v>5000000</v>
      </c>
      <c r="E62" s="115">
        <f>E61</f>
        <v>0.061</v>
      </c>
      <c r="F62" s="55">
        <f>((C62+D62)*E62/360*B62)</f>
        <v>75402.77777777777</v>
      </c>
      <c r="G62" s="124">
        <f>SUM(F56:F62)</f>
        <v>761652.7777777778</v>
      </c>
      <c r="H62" s="124">
        <f>SUM(D55:D62)</f>
        <v>20000000</v>
      </c>
      <c r="I62" s="125">
        <f>SUM(G62:H62)</f>
        <v>20761652.777777776</v>
      </c>
    </row>
    <row r="63" spans="1:9" ht="13.5" thickTop="1">
      <c r="A63" s="425" t="s">
        <v>14</v>
      </c>
      <c r="B63" s="426"/>
      <c r="C63" s="426"/>
      <c r="D63" s="143">
        <f>SUM(D11:D62)</f>
        <v>200000000</v>
      </c>
      <c r="E63" s="144"/>
      <c r="F63" s="143">
        <f>SUM(F8:F62)</f>
        <v>70756733.67579907</v>
      </c>
      <c r="G63" s="143">
        <f>SUM(G9:G62)</f>
        <v>70756733.67579909</v>
      </c>
      <c r="H63" s="143">
        <f>SUM(H9:H62)</f>
        <v>200000000</v>
      </c>
      <c r="I63" s="283">
        <f>SUM(I9:I62)</f>
        <v>270756733.67579913</v>
      </c>
    </row>
    <row r="64" ht="12.75">
      <c r="A64" s="146"/>
    </row>
    <row r="65" ht="12.75">
      <c r="A65" s="146"/>
    </row>
    <row r="66" spans="2:7" ht="12.75">
      <c r="B66" s="81"/>
      <c r="E66" s="81"/>
      <c r="F66" s="147"/>
      <c r="G66" s="81"/>
    </row>
    <row r="67" spans="2:7" ht="12.75">
      <c r="B67" s="81"/>
      <c r="E67" s="81"/>
      <c r="F67" s="147"/>
      <c r="G67" s="81"/>
    </row>
    <row r="68" spans="2:7" ht="12.75">
      <c r="B68" s="81"/>
      <c r="E68" s="81"/>
      <c r="G68" s="81"/>
    </row>
    <row r="69" spans="2:7" ht="12.75">
      <c r="B69" s="81"/>
      <c r="E69" s="81"/>
      <c r="G69" s="81"/>
    </row>
    <row r="70" spans="2:7" ht="12.75">
      <c r="B70" s="81"/>
      <c r="E70" s="81"/>
      <c r="F70" s="147"/>
      <c r="G70" s="81"/>
    </row>
  </sheetData>
  <mergeCells count="1">
    <mergeCell ref="A63:C63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 dőlt"&amp;12Adósságszolgálat s&amp;"Times New Roman CE,Félkövér"zámítása az OTP tájékoztatása alapján
&amp;"Times New Roman CE,Félkövér dőlt"2000. júliusban felvett 200 MFt célhitel</oddHeader>
    <oddFooter>&amp;L&amp;9Nyomtatás dátuma: &amp;D
C:\Andi\adósságszolgálat\&amp;F\&amp;A&amp;R&amp;P/&amp;N</oddFooter>
  </headerFooter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1">
      <pane ySplit="7" topLeftCell="BM3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1.125" style="81" customWidth="1"/>
    <col min="2" max="2" width="6.125" style="81" customWidth="1"/>
    <col min="3" max="3" width="11.125" style="147" customWidth="1"/>
    <col min="4" max="4" width="12.375" style="147" customWidth="1"/>
    <col min="5" max="5" width="8.00390625" style="148" customWidth="1"/>
    <col min="6" max="6" width="14.00390625" style="81" customWidth="1"/>
    <col min="7" max="9" width="12.625" style="81" bestFit="1" customWidth="1"/>
    <col min="10" max="10" width="9.375" style="81" customWidth="1"/>
    <col min="11" max="11" width="11.125" style="81" bestFit="1" customWidth="1"/>
    <col min="12" max="16384" width="9.375" style="81" customWidth="1"/>
  </cols>
  <sheetData>
    <row r="1" spans="1:9" ht="12.75">
      <c r="A1" s="156" t="s">
        <v>103</v>
      </c>
      <c r="B1" s="157"/>
      <c r="C1" s="156"/>
      <c r="D1" s="156"/>
      <c r="E1" s="299"/>
      <c r="G1" s="156"/>
      <c r="H1" s="156"/>
      <c r="I1" s="156"/>
    </row>
    <row r="2" spans="1:9" s="159" customFormat="1" ht="12.75">
      <c r="A2" s="161" t="s">
        <v>15</v>
      </c>
      <c r="C2" s="158"/>
      <c r="D2" s="158"/>
      <c r="E2" s="191"/>
      <c r="G2" s="158"/>
      <c r="H2" s="158"/>
      <c r="I2" s="158"/>
    </row>
    <row r="3" spans="1:9" s="159" customFormat="1" ht="12.75">
      <c r="A3" s="158" t="s">
        <v>16</v>
      </c>
      <c r="C3" s="158"/>
      <c r="D3" s="158"/>
      <c r="E3" s="191"/>
      <c r="F3" s="300"/>
      <c r="G3" s="83"/>
      <c r="H3" s="158"/>
      <c r="I3" s="158"/>
    </row>
    <row r="4" spans="1:9" ht="12.75">
      <c r="A4" s="160" t="s">
        <v>75</v>
      </c>
      <c r="B4" s="159"/>
      <c r="C4" s="158"/>
      <c r="D4" s="158"/>
      <c r="E4" s="191"/>
      <c r="F4" s="158"/>
      <c r="G4" s="158"/>
      <c r="H4" s="158"/>
      <c r="I4" s="158" t="s">
        <v>2</v>
      </c>
    </row>
    <row r="5" spans="1:9" ht="12.75">
      <c r="A5" s="89" t="s">
        <v>3</v>
      </c>
      <c r="B5" s="90" t="s">
        <v>4</v>
      </c>
      <c r="C5" s="91" t="s">
        <v>5</v>
      </c>
      <c r="D5" s="91" t="s">
        <v>21</v>
      </c>
      <c r="E5" s="91" t="s">
        <v>18</v>
      </c>
      <c r="F5" s="92" t="s">
        <v>20</v>
      </c>
      <c r="G5" s="93" t="s">
        <v>6</v>
      </c>
      <c r="H5" s="93" t="s">
        <v>6</v>
      </c>
      <c r="I5" s="94" t="s">
        <v>6</v>
      </c>
    </row>
    <row r="6" spans="1:9" ht="12.75">
      <c r="A6" s="95"/>
      <c r="B6" s="96" t="s">
        <v>7</v>
      </c>
      <c r="C6" s="97" t="s">
        <v>8</v>
      </c>
      <c r="D6" s="97" t="s">
        <v>13</v>
      </c>
      <c r="E6" s="97" t="s">
        <v>19</v>
      </c>
      <c r="F6" s="98" t="s">
        <v>13</v>
      </c>
      <c r="G6" s="99" t="s">
        <v>9</v>
      </c>
      <c r="H6" s="99" t="s">
        <v>11</v>
      </c>
      <c r="I6" s="100" t="s">
        <v>10</v>
      </c>
    </row>
    <row r="7" spans="1:9" ht="12.75">
      <c r="A7" s="101"/>
      <c r="B7" s="102"/>
      <c r="C7" s="103"/>
      <c r="D7" s="103"/>
      <c r="E7" s="103"/>
      <c r="F7" s="104"/>
      <c r="G7" s="104"/>
      <c r="H7" s="105" t="s">
        <v>13</v>
      </c>
      <c r="I7" s="106" t="s">
        <v>12</v>
      </c>
    </row>
    <row r="8" spans="1:9" ht="12.75">
      <c r="A8" s="126">
        <v>37236</v>
      </c>
      <c r="B8" s="127"/>
      <c r="C8" s="56">
        <v>143500000</v>
      </c>
      <c r="D8" s="56"/>
      <c r="E8" s="56"/>
      <c r="F8" s="56"/>
      <c r="G8" s="178"/>
      <c r="H8" s="178"/>
      <c r="I8" s="179"/>
    </row>
    <row r="9" spans="1:9" ht="12.75">
      <c r="A9" s="120">
        <v>37253</v>
      </c>
      <c r="B9" s="121">
        <f aca="true" t="shared" si="0" ref="B9:B14">A9-A8</f>
        <v>17</v>
      </c>
      <c r="C9" s="122">
        <f aca="true" t="shared" si="1" ref="C9:C24">C8-D9</f>
        <v>143500000</v>
      </c>
      <c r="D9" s="122"/>
      <c r="E9" s="123">
        <f>F9/(C9*B9)*365</f>
        <v>0.11808823529411766</v>
      </c>
      <c r="F9" s="122">
        <v>789250</v>
      </c>
      <c r="G9" s="124">
        <f>SUM(F8:F9)</f>
        <v>789250</v>
      </c>
      <c r="H9" s="124">
        <f>SUM(D8:D9)</f>
        <v>0</v>
      </c>
      <c r="I9" s="125">
        <f>SUM(G9:H9)</f>
        <v>789250</v>
      </c>
    </row>
    <row r="10" spans="1:9" ht="12.75">
      <c r="A10" s="126">
        <v>37344</v>
      </c>
      <c r="B10" s="131">
        <f t="shared" si="0"/>
        <v>91</v>
      </c>
      <c r="C10" s="217">
        <f t="shared" si="1"/>
        <v>143500000</v>
      </c>
      <c r="D10" s="56"/>
      <c r="E10" s="173">
        <f>F10/(C10*B10)*365</f>
        <v>0.09973993605697438</v>
      </c>
      <c r="F10" s="56">
        <v>3568367</v>
      </c>
      <c r="G10" s="178"/>
      <c r="H10" s="178"/>
      <c r="I10" s="179"/>
    </row>
    <row r="11" spans="1:9" ht="12.75">
      <c r="A11" s="113">
        <v>37437</v>
      </c>
      <c r="B11" s="114">
        <f t="shared" si="0"/>
        <v>93</v>
      </c>
      <c r="C11" s="55">
        <f t="shared" si="1"/>
        <v>143500000</v>
      </c>
      <c r="D11" s="55"/>
      <c r="E11" s="115">
        <v>0.085</v>
      </c>
      <c r="F11" s="55">
        <v>3098922</v>
      </c>
      <c r="G11" s="116"/>
      <c r="H11" s="116"/>
      <c r="I11" s="117"/>
    </row>
    <row r="12" spans="1:9" ht="12.75">
      <c r="A12" s="113">
        <v>37467</v>
      </c>
      <c r="B12" s="114">
        <f t="shared" si="0"/>
        <v>30</v>
      </c>
      <c r="C12" s="55">
        <f t="shared" si="1"/>
        <v>143500000</v>
      </c>
      <c r="D12" s="55"/>
      <c r="E12" s="115"/>
      <c r="F12" s="55"/>
      <c r="G12" s="116"/>
      <c r="H12" s="116"/>
      <c r="I12" s="117"/>
    </row>
    <row r="13" spans="1:9" ht="12.75">
      <c r="A13" s="113">
        <v>37527</v>
      </c>
      <c r="B13" s="114">
        <f t="shared" si="0"/>
        <v>60</v>
      </c>
      <c r="C13" s="55">
        <f t="shared" si="1"/>
        <v>134662500</v>
      </c>
      <c r="D13" s="55">
        <v>8837500</v>
      </c>
      <c r="E13" s="115"/>
      <c r="F13" s="55"/>
      <c r="G13" s="116"/>
      <c r="H13" s="116"/>
      <c r="I13" s="117"/>
    </row>
    <row r="14" spans="1:9" ht="12.75">
      <c r="A14" s="113">
        <v>37529</v>
      </c>
      <c r="B14" s="114">
        <f t="shared" si="0"/>
        <v>2</v>
      </c>
      <c r="C14" s="55">
        <f t="shared" si="1"/>
        <v>134662500</v>
      </c>
      <c r="D14" s="55"/>
      <c r="E14" s="115">
        <v>0.0931</v>
      </c>
      <c r="F14" s="55">
        <v>3478719</v>
      </c>
      <c r="G14" s="116"/>
      <c r="H14" s="116"/>
      <c r="I14" s="117"/>
    </row>
    <row r="15" spans="1:9" ht="12.75">
      <c r="A15" s="113">
        <v>37575</v>
      </c>
      <c r="B15" s="108">
        <f aca="true" t="shared" si="2" ref="B15:B24">A15-A14</f>
        <v>46</v>
      </c>
      <c r="C15" s="109">
        <f t="shared" si="1"/>
        <v>134662500</v>
      </c>
      <c r="D15" s="55"/>
      <c r="E15" s="115"/>
      <c r="F15" s="55"/>
      <c r="G15" s="116"/>
      <c r="H15" s="116"/>
      <c r="I15" s="117"/>
    </row>
    <row r="16" spans="1:9" ht="12.75">
      <c r="A16" s="113">
        <v>37618</v>
      </c>
      <c r="B16" s="114">
        <f t="shared" si="2"/>
        <v>43</v>
      </c>
      <c r="C16" s="55">
        <f t="shared" si="1"/>
        <v>125825000</v>
      </c>
      <c r="D16" s="55">
        <f>D13</f>
        <v>8837500</v>
      </c>
      <c r="E16" s="115"/>
      <c r="F16" s="55"/>
      <c r="G16" s="116"/>
      <c r="H16" s="116"/>
      <c r="I16" s="117"/>
    </row>
    <row r="17" spans="1:9" ht="12.75">
      <c r="A17" s="120">
        <v>37621</v>
      </c>
      <c r="B17" s="121">
        <f t="shared" si="2"/>
        <v>3</v>
      </c>
      <c r="C17" s="122">
        <f>(C16-D17)+71550000</f>
        <v>197375000</v>
      </c>
      <c r="D17" s="122"/>
      <c r="E17" s="123">
        <v>0.098</v>
      </c>
      <c r="F17" s="122">
        <v>3792002</v>
      </c>
      <c r="G17" s="124">
        <f>SUM(F10:F17)</f>
        <v>13938010</v>
      </c>
      <c r="H17" s="124">
        <f>SUM(D10:D17)</f>
        <v>17675000</v>
      </c>
      <c r="I17" s="125">
        <f>SUM(G17:H17)</f>
        <v>31613010</v>
      </c>
    </row>
    <row r="18" spans="1:9" ht="12.75">
      <c r="A18" s="126">
        <v>37708</v>
      </c>
      <c r="B18" s="127">
        <f t="shared" si="2"/>
        <v>87</v>
      </c>
      <c r="C18" s="56">
        <f t="shared" si="1"/>
        <v>197375000</v>
      </c>
      <c r="D18" s="56"/>
      <c r="E18" s="128"/>
      <c r="F18" s="127"/>
      <c r="G18" s="127"/>
      <c r="H18" s="127"/>
      <c r="I18" s="276"/>
    </row>
    <row r="19" spans="1:9" ht="12.75">
      <c r="A19" s="113">
        <v>37711</v>
      </c>
      <c r="B19" s="131">
        <f t="shared" si="2"/>
        <v>3</v>
      </c>
      <c r="C19" s="55">
        <f t="shared" si="1"/>
        <v>197375000</v>
      </c>
      <c r="D19" s="55"/>
      <c r="E19" s="115">
        <v>0.0847</v>
      </c>
      <c r="F19" s="55">
        <v>4186708</v>
      </c>
      <c r="G19" s="114"/>
      <c r="H19" s="114"/>
      <c r="I19" s="265"/>
    </row>
    <row r="20" spans="1:9" ht="13.5" thickBot="1">
      <c r="A20" s="301">
        <v>37771</v>
      </c>
      <c r="B20" s="302">
        <f t="shared" si="2"/>
        <v>60</v>
      </c>
      <c r="C20" s="61">
        <f>(C19-D20)+32400000</f>
        <v>229775000</v>
      </c>
      <c r="D20" s="61"/>
      <c r="E20" s="303"/>
      <c r="F20" s="61"/>
      <c r="G20" s="302"/>
      <c r="H20" s="302"/>
      <c r="I20" s="304"/>
    </row>
    <row r="21" spans="1:11" ht="12.75">
      <c r="A21" s="107">
        <v>37800</v>
      </c>
      <c r="B21" s="135">
        <f t="shared" si="2"/>
        <v>29</v>
      </c>
      <c r="C21" s="109">
        <f>C20-D21</f>
        <v>224055000</v>
      </c>
      <c r="D21" s="109">
        <v>5720000</v>
      </c>
      <c r="E21" s="133"/>
      <c r="F21" s="108"/>
      <c r="G21" s="108"/>
      <c r="H21" s="108"/>
      <c r="I21" s="274"/>
      <c r="K21" s="147"/>
    </row>
    <row r="22" spans="1:11" ht="12.75">
      <c r="A22" s="113">
        <v>37802</v>
      </c>
      <c r="B22" s="131">
        <f t="shared" si="2"/>
        <v>2</v>
      </c>
      <c r="C22" s="55">
        <f t="shared" si="1"/>
        <v>224055000</v>
      </c>
      <c r="D22" s="55"/>
      <c r="E22" s="115">
        <v>0.0665</v>
      </c>
      <c r="F22" s="55">
        <v>3513332</v>
      </c>
      <c r="G22" s="114"/>
      <c r="H22" s="114"/>
      <c r="I22" s="265"/>
      <c r="K22" s="147"/>
    </row>
    <row r="23" spans="1:9" ht="12.75">
      <c r="A23" s="113">
        <v>37830</v>
      </c>
      <c r="B23" s="131">
        <f t="shared" si="2"/>
        <v>28</v>
      </c>
      <c r="C23" s="55">
        <f t="shared" si="1"/>
        <v>218310000</v>
      </c>
      <c r="D23" s="55">
        <v>5745000</v>
      </c>
      <c r="E23" s="115"/>
      <c r="F23" s="164"/>
      <c r="G23" s="114"/>
      <c r="H23" s="114"/>
      <c r="I23" s="265"/>
    </row>
    <row r="24" spans="1:9" ht="12.75">
      <c r="A24" s="113">
        <v>37892</v>
      </c>
      <c r="B24" s="131">
        <f t="shared" si="2"/>
        <v>62</v>
      </c>
      <c r="C24" s="55">
        <f t="shared" si="1"/>
        <v>212565000</v>
      </c>
      <c r="D24" s="55">
        <v>5745000</v>
      </c>
      <c r="E24" s="118"/>
      <c r="F24" s="114"/>
      <c r="G24" s="114"/>
      <c r="H24" s="114"/>
      <c r="I24" s="265"/>
    </row>
    <row r="25" spans="1:9" ht="12.75">
      <c r="A25" s="113">
        <v>37894</v>
      </c>
      <c r="B25" s="114">
        <f aca="true" t="shared" si="3" ref="B25:B83">A25-A24</f>
        <v>2</v>
      </c>
      <c r="C25" s="55">
        <f aca="true" t="shared" si="4" ref="C25:C83">C24-D25</f>
        <v>212565000</v>
      </c>
      <c r="D25" s="55"/>
      <c r="E25" s="115">
        <v>0.0893</v>
      </c>
      <c r="F25" s="55">
        <v>5004939</v>
      </c>
      <c r="G25" s="114"/>
      <c r="H25" s="114"/>
      <c r="I25" s="265"/>
    </row>
    <row r="26" spans="1:9" ht="12.75">
      <c r="A26" s="113">
        <v>37983</v>
      </c>
      <c r="B26" s="114">
        <f t="shared" si="3"/>
        <v>89</v>
      </c>
      <c r="C26" s="55">
        <f t="shared" si="4"/>
        <v>206820000</v>
      </c>
      <c r="D26" s="55">
        <v>5745000</v>
      </c>
      <c r="E26" s="118"/>
      <c r="F26" s="114"/>
      <c r="G26" s="114"/>
      <c r="H26" s="114"/>
      <c r="I26" s="265"/>
    </row>
    <row r="27" spans="1:9" ht="12.75">
      <c r="A27" s="120">
        <v>37986</v>
      </c>
      <c r="B27" s="121">
        <f t="shared" si="3"/>
        <v>3</v>
      </c>
      <c r="C27" s="122">
        <f t="shared" si="4"/>
        <v>206820000</v>
      </c>
      <c r="D27" s="122"/>
      <c r="E27" s="123">
        <v>0.0961</v>
      </c>
      <c r="F27" s="55">
        <v>5211744</v>
      </c>
      <c r="G27" s="124">
        <f>SUM(F19:F27)</f>
        <v>17916723</v>
      </c>
      <c r="H27" s="124">
        <f>SUM(D18:D27)</f>
        <v>22955000</v>
      </c>
      <c r="I27" s="125">
        <f>SUM(G27:H27)</f>
        <v>40871723</v>
      </c>
    </row>
    <row r="28" spans="1:9" ht="12.75">
      <c r="A28" s="126">
        <v>38074</v>
      </c>
      <c r="B28" s="127">
        <f t="shared" si="3"/>
        <v>88</v>
      </c>
      <c r="C28" s="56">
        <f t="shared" si="4"/>
        <v>201075000</v>
      </c>
      <c r="D28" s="55">
        <v>5745000</v>
      </c>
      <c r="E28" s="128"/>
      <c r="F28" s="127"/>
      <c r="G28" s="127"/>
      <c r="H28" s="127"/>
      <c r="I28" s="276"/>
    </row>
    <row r="29" spans="1:9" ht="12.75">
      <c r="A29" s="113">
        <v>38077</v>
      </c>
      <c r="B29" s="114">
        <f t="shared" si="3"/>
        <v>3</v>
      </c>
      <c r="C29" s="55">
        <f t="shared" si="4"/>
        <v>201075000</v>
      </c>
      <c r="D29" s="55"/>
      <c r="E29" s="115">
        <v>0.1255</v>
      </c>
      <c r="F29" s="55">
        <v>6540181</v>
      </c>
      <c r="G29" s="114"/>
      <c r="H29" s="114"/>
      <c r="I29" s="265"/>
    </row>
    <row r="30" spans="1:9" ht="12.75">
      <c r="A30" s="113">
        <v>38166</v>
      </c>
      <c r="B30" s="114">
        <f t="shared" si="3"/>
        <v>89</v>
      </c>
      <c r="C30" s="55">
        <f t="shared" si="4"/>
        <v>195330000</v>
      </c>
      <c r="D30" s="55">
        <v>5745000</v>
      </c>
      <c r="E30" s="118"/>
      <c r="F30" s="114"/>
      <c r="G30" s="114"/>
      <c r="H30" s="114"/>
      <c r="I30" s="265"/>
    </row>
    <row r="31" spans="1:9" ht="12.75">
      <c r="A31" s="113">
        <v>38168</v>
      </c>
      <c r="B31" s="114">
        <f t="shared" si="3"/>
        <v>2</v>
      </c>
      <c r="C31" s="55">
        <f t="shared" si="4"/>
        <v>195330000</v>
      </c>
      <c r="D31" s="55"/>
      <c r="E31" s="115">
        <v>0.1197</v>
      </c>
      <c r="F31" s="55">
        <v>6083446</v>
      </c>
      <c r="G31" s="114"/>
      <c r="H31" s="114"/>
      <c r="I31" s="265"/>
    </row>
    <row r="32" spans="1:9" ht="12.75">
      <c r="A32" s="113">
        <v>38258</v>
      </c>
      <c r="B32" s="114">
        <f t="shared" si="3"/>
        <v>90</v>
      </c>
      <c r="C32" s="55">
        <f t="shared" si="4"/>
        <v>189585000</v>
      </c>
      <c r="D32" s="55">
        <v>5745000</v>
      </c>
      <c r="E32" s="118"/>
      <c r="F32" s="55"/>
      <c r="G32" s="114"/>
      <c r="H32" s="114"/>
      <c r="I32" s="265"/>
    </row>
    <row r="33" spans="1:9" ht="12.75">
      <c r="A33" s="113">
        <v>38260</v>
      </c>
      <c r="B33" s="114">
        <f t="shared" si="3"/>
        <v>2</v>
      </c>
      <c r="C33" s="55">
        <f t="shared" si="4"/>
        <v>189585000</v>
      </c>
      <c r="D33" s="55"/>
      <c r="E33" s="115">
        <v>0.1167</v>
      </c>
      <c r="F33" s="55">
        <v>5823295</v>
      </c>
      <c r="G33" s="114"/>
      <c r="H33" s="114"/>
      <c r="I33" s="265"/>
    </row>
    <row r="34" spans="1:9" ht="12.75">
      <c r="A34" s="113">
        <v>38349</v>
      </c>
      <c r="B34" s="114">
        <f t="shared" si="3"/>
        <v>89</v>
      </c>
      <c r="C34" s="55">
        <f t="shared" si="4"/>
        <v>183840000</v>
      </c>
      <c r="D34" s="55">
        <v>5745000</v>
      </c>
      <c r="E34" s="118"/>
      <c r="F34" s="114"/>
      <c r="G34" s="114"/>
      <c r="H34" s="114"/>
      <c r="I34" s="265"/>
    </row>
    <row r="35" spans="1:9" ht="12.75">
      <c r="A35" s="120">
        <v>38352</v>
      </c>
      <c r="B35" s="121">
        <f t="shared" si="3"/>
        <v>3</v>
      </c>
      <c r="C35" s="122">
        <f t="shared" si="4"/>
        <v>183840000</v>
      </c>
      <c r="D35" s="122"/>
      <c r="E35" s="123">
        <v>0.111</v>
      </c>
      <c r="F35" s="55">
        <v>5375582</v>
      </c>
      <c r="G35" s="124">
        <f>SUM(F29:F35)</f>
        <v>23822504</v>
      </c>
      <c r="H35" s="124">
        <f>SUM(D28:D35)</f>
        <v>22980000</v>
      </c>
      <c r="I35" s="125">
        <f>SUM(G35:H35)</f>
        <v>46802504</v>
      </c>
    </row>
    <row r="36" spans="1:9" ht="12.75">
      <c r="A36" s="126">
        <v>38440</v>
      </c>
      <c r="B36" s="127">
        <f t="shared" si="3"/>
        <v>88</v>
      </c>
      <c r="C36" s="56">
        <f t="shared" si="4"/>
        <v>178095000</v>
      </c>
      <c r="D36" s="55">
        <v>5745000</v>
      </c>
      <c r="E36" s="128"/>
      <c r="F36" s="127"/>
      <c r="G36" s="127"/>
      <c r="H36" s="127"/>
      <c r="I36" s="276"/>
    </row>
    <row r="37" spans="1:9" ht="12.75">
      <c r="A37" s="113">
        <v>38442</v>
      </c>
      <c r="B37" s="114">
        <f t="shared" si="3"/>
        <v>2</v>
      </c>
      <c r="C37" s="55">
        <f t="shared" si="4"/>
        <v>178095000</v>
      </c>
      <c r="D37" s="55"/>
      <c r="E37" s="115">
        <v>0.0946</v>
      </c>
      <c r="F37" s="55">
        <v>4353172</v>
      </c>
      <c r="G37" s="114"/>
      <c r="H37" s="114"/>
      <c r="I37" s="265"/>
    </row>
    <row r="38" spans="1:9" ht="12.75">
      <c r="A38" s="113">
        <v>38531</v>
      </c>
      <c r="B38" s="114">
        <f t="shared" si="3"/>
        <v>89</v>
      </c>
      <c r="C38" s="55">
        <f t="shared" si="4"/>
        <v>172350000</v>
      </c>
      <c r="D38" s="55">
        <v>5745000</v>
      </c>
      <c r="E38" s="118"/>
      <c r="F38" s="114"/>
      <c r="G38" s="114"/>
      <c r="H38" s="114"/>
      <c r="I38" s="265"/>
    </row>
    <row r="39" spans="1:9" ht="12.75">
      <c r="A39" s="113">
        <v>38533</v>
      </c>
      <c r="B39" s="114">
        <f t="shared" si="3"/>
        <v>2</v>
      </c>
      <c r="C39" s="55">
        <f t="shared" si="4"/>
        <v>172350000</v>
      </c>
      <c r="D39" s="55"/>
      <c r="E39" s="115">
        <v>0.0784</v>
      </c>
      <c r="F39" s="55">
        <v>3534959</v>
      </c>
      <c r="G39" s="114"/>
      <c r="H39" s="114"/>
      <c r="I39" s="265"/>
    </row>
    <row r="40" spans="1:9" ht="12.75">
      <c r="A40" s="113">
        <v>38623</v>
      </c>
      <c r="B40" s="114">
        <f t="shared" si="3"/>
        <v>90</v>
      </c>
      <c r="C40" s="55">
        <f t="shared" si="4"/>
        <v>166605000</v>
      </c>
      <c r="D40" s="55">
        <v>5745000</v>
      </c>
      <c r="E40" s="118"/>
      <c r="F40" s="114"/>
      <c r="G40" s="114"/>
      <c r="H40" s="114"/>
      <c r="I40" s="265"/>
    </row>
    <row r="41" spans="1:9" ht="12.75">
      <c r="A41" s="113">
        <v>38625</v>
      </c>
      <c r="B41" s="114">
        <f t="shared" si="3"/>
        <v>2</v>
      </c>
      <c r="C41" s="55">
        <f t="shared" si="4"/>
        <v>166605000</v>
      </c>
      <c r="D41" s="55"/>
      <c r="E41" s="115">
        <v>0.0702</v>
      </c>
      <c r="F41" s="55">
        <v>3093644</v>
      </c>
      <c r="G41" s="114"/>
      <c r="H41" s="114"/>
      <c r="I41" s="265"/>
    </row>
    <row r="42" spans="1:9" ht="12.75">
      <c r="A42" s="113">
        <v>38714</v>
      </c>
      <c r="B42" s="114">
        <f t="shared" si="3"/>
        <v>89</v>
      </c>
      <c r="C42" s="55">
        <f t="shared" si="4"/>
        <v>160860000</v>
      </c>
      <c r="D42" s="55">
        <v>5745000</v>
      </c>
      <c r="E42" s="118"/>
      <c r="F42" s="114"/>
      <c r="G42" s="114"/>
      <c r="H42" s="114"/>
      <c r="I42" s="265"/>
    </row>
    <row r="43" spans="1:9" ht="12.75">
      <c r="A43" s="120">
        <v>38717</v>
      </c>
      <c r="B43" s="121">
        <f t="shared" si="3"/>
        <v>3</v>
      </c>
      <c r="C43" s="122">
        <f t="shared" si="4"/>
        <v>160860000</v>
      </c>
      <c r="D43" s="122"/>
      <c r="E43" s="123">
        <v>0.061</v>
      </c>
      <c r="F43" s="55">
        <f>((C42+D42)*E43/360*B42)+((C43+D43)*E43/360*B43)</f>
        <v>2594266.4583333335</v>
      </c>
      <c r="G43" s="124">
        <f>SUM(F37:F43)</f>
        <v>13576041.458333334</v>
      </c>
      <c r="H43" s="124">
        <f>SUM(D36:D43)</f>
        <v>22980000</v>
      </c>
      <c r="I43" s="125">
        <f>SUM(G43:H43)</f>
        <v>36556041.458333336</v>
      </c>
    </row>
    <row r="44" spans="1:9" ht="12.75">
      <c r="A44" s="126">
        <v>38804</v>
      </c>
      <c r="B44" s="127">
        <f t="shared" si="3"/>
        <v>87</v>
      </c>
      <c r="C44" s="56">
        <f t="shared" si="4"/>
        <v>155115000</v>
      </c>
      <c r="D44" s="55">
        <v>5745000</v>
      </c>
      <c r="E44" s="128"/>
      <c r="F44" s="127"/>
      <c r="G44" s="127"/>
      <c r="H44" s="127"/>
      <c r="I44" s="276"/>
    </row>
    <row r="45" spans="1:9" ht="12.75">
      <c r="A45" s="113">
        <v>38807</v>
      </c>
      <c r="B45" s="114">
        <f t="shared" si="3"/>
        <v>3</v>
      </c>
      <c r="C45" s="55">
        <f t="shared" si="4"/>
        <v>155115000</v>
      </c>
      <c r="D45" s="55"/>
      <c r="E45" s="115">
        <f>E43</f>
        <v>0.061</v>
      </c>
      <c r="F45" s="55">
        <f>((C44+D44)*E45/360*B44)+((C45+D45)*E45/360*B45)</f>
        <v>2450194.625</v>
      </c>
      <c r="G45" s="114"/>
      <c r="H45" s="114"/>
      <c r="I45" s="265"/>
    </row>
    <row r="46" spans="1:9" ht="12.75">
      <c r="A46" s="113">
        <v>38896</v>
      </c>
      <c r="B46" s="114">
        <f t="shared" si="3"/>
        <v>89</v>
      </c>
      <c r="C46" s="55">
        <f t="shared" si="4"/>
        <v>149370000</v>
      </c>
      <c r="D46" s="55">
        <v>5745000</v>
      </c>
      <c r="E46" s="118"/>
      <c r="F46" s="114"/>
      <c r="G46" s="114"/>
      <c r="H46" s="114"/>
      <c r="I46" s="265"/>
    </row>
    <row r="47" spans="1:9" ht="12.75">
      <c r="A47" s="113">
        <v>38898</v>
      </c>
      <c r="B47" s="114">
        <f t="shared" si="3"/>
        <v>2</v>
      </c>
      <c r="C47" s="55">
        <f t="shared" si="4"/>
        <v>149370000</v>
      </c>
      <c r="D47" s="55"/>
      <c r="E47" s="115">
        <f>E45</f>
        <v>0.061</v>
      </c>
      <c r="F47" s="55">
        <f>((C46+D46)*E47/360*B46)+((C47+D47)*E47/360*B47)</f>
        <v>2389840.2083333335</v>
      </c>
      <c r="G47" s="114"/>
      <c r="H47" s="114"/>
      <c r="I47" s="265"/>
    </row>
    <row r="48" spans="1:9" ht="12.75">
      <c r="A48" s="113">
        <v>38988</v>
      </c>
      <c r="B48" s="114">
        <f t="shared" si="3"/>
        <v>90</v>
      </c>
      <c r="C48" s="55">
        <f t="shared" si="4"/>
        <v>143625000</v>
      </c>
      <c r="D48" s="55">
        <v>5745000</v>
      </c>
      <c r="E48" s="118"/>
      <c r="F48" s="114"/>
      <c r="G48" s="114"/>
      <c r="H48" s="114"/>
      <c r="I48" s="265"/>
    </row>
    <row r="49" spans="1:9" ht="12.75">
      <c r="A49" s="113">
        <v>38990</v>
      </c>
      <c r="B49" s="114">
        <f t="shared" si="3"/>
        <v>2</v>
      </c>
      <c r="C49" s="55">
        <f t="shared" si="4"/>
        <v>143625000</v>
      </c>
      <c r="D49" s="55"/>
      <c r="E49" s="115">
        <f>E47</f>
        <v>0.061</v>
      </c>
      <c r="F49" s="55">
        <f>((C48+D48)*E49/360*B48)+((C49+D49)*E49/360*B49)</f>
        <v>2326565.4166666665</v>
      </c>
      <c r="G49" s="114"/>
      <c r="H49" s="114"/>
      <c r="I49" s="265"/>
    </row>
    <row r="50" spans="1:9" ht="12.75">
      <c r="A50" s="113">
        <v>39079</v>
      </c>
      <c r="B50" s="114">
        <f t="shared" si="3"/>
        <v>89</v>
      </c>
      <c r="C50" s="55">
        <f t="shared" si="4"/>
        <v>137880000</v>
      </c>
      <c r="D50" s="55">
        <v>5745000</v>
      </c>
      <c r="E50" s="118"/>
      <c r="F50" s="114"/>
      <c r="G50" s="114"/>
      <c r="H50" s="114"/>
      <c r="I50" s="265"/>
    </row>
    <row r="51" spans="1:9" ht="12.75">
      <c r="A51" s="120">
        <v>39082</v>
      </c>
      <c r="B51" s="121">
        <f t="shared" si="3"/>
        <v>3</v>
      </c>
      <c r="C51" s="122">
        <f t="shared" si="4"/>
        <v>137880000</v>
      </c>
      <c r="D51" s="122"/>
      <c r="E51" s="123">
        <f>E49</f>
        <v>0.061</v>
      </c>
      <c r="F51" s="122">
        <f>((C50+D50)*E51/360*B50)+((C51+D51)*E51/360*B51)</f>
        <v>2236033.7916666665</v>
      </c>
      <c r="G51" s="124">
        <f>SUM(F45:F51)</f>
        <v>9402634.041666666</v>
      </c>
      <c r="H51" s="124">
        <f>SUM(D44:D51)</f>
        <v>22980000</v>
      </c>
      <c r="I51" s="125">
        <f>SUM(G51:H51)</f>
        <v>32382634.041666664</v>
      </c>
    </row>
    <row r="52" spans="1:9" ht="12.75">
      <c r="A52" s="126">
        <v>39169</v>
      </c>
      <c r="B52" s="127">
        <f t="shared" si="3"/>
        <v>87</v>
      </c>
      <c r="C52" s="56">
        <f t="shared" si="4"/>
        <v>132135000</v>
      </c>
      <c r="D52" s="56">
        <v>5745000</v>
      </c>
      <c r="E52" s="128"/>
      <c r="F52" s="127"/>
      <c r="G52" s="127"/>
      <c r="H52" s="127"/>
      <c r="I52" s="276"/>
    </row>
    <row r="53" spans="1:9" ht="12.75">
      <c r="A53" s="113">
        <v>39172</v>
      </c>
      <c r="B53" s="114">
        <f t="shared" si="3"/>
        <v>3</v>
      </c>
      <c r="C53" s="55">
        <f t="shared" si="4"/>
        <v>132135000</v>
      </c>
      <c r="D53" s="55"/>
      <c r="E53" s="115">
        <f>E51</f>
        <v>0.061</v>
      </c>
      <c r="F53" s="55">
        <f>((C52+D52)*E53/360*B52)+((C53+D53)*E53/360*B53)</f>
        <v>2099749.625</v>
      </c>
      <c r="G53" s="114"/>
      <c r="H53" s="114"/>
      <c r="I53" s="265"/>
    </row>
    <row r="54" spans="1:9" ht="12.75">
      <c r="A54" s="113">
        <v>39261</v>
      </c>
      <c r="B54" s="114">
        <f t="shared" si="3"/>
        <v>89</v>
      </c>
      <c r="C54" s="55">
        <f t="shared" si="4"/>
        <v>126390000</v>
      </c>
      <c r="D54" s="55">
        <v>5745000</v>
      </c>
      <c r="E54" s="118"/>
      <c r="F54" s="114"/>
      <c r="G54" s="114"/>
      <c r="H54" s="114"/>
      <c r="I54" s="265"/>
    </row>
    <row r="55" spans="1:9" ht="12.75">
      <c r="A55" s="113">
        <v>39263</v>
      </c>
      <c r="B55" s="114">
        <f t="shared" si="3"/>
        <v>2</v>
      </c>
      <c r="C55" s="55">
        <f t="shared" si="4"/>
        <v>126390000</v>
      </c>
      <c r="D55" s="55"/>
      <c r="E55" s="115">
        <f>E53</f>
        <v>0.061</v>
      </c>
      <c r="F55" s="55">
        <f>((C54+D54)*E55/360*B54)+((C55+D55)*E55/360*B55)</f>
        <v>2035501.3750000002</v>
      </c>
      <c r="G55" s="114"/>
      <c r="H55" s="114"/>
      <c r="I55" s="265"/>
    </row>
    <row r="56" spans="1:9" ht="12.75">
      <c r="A56" s="113">
        <v>39353</v>
      </c>
      <c r="B56" s="114">
        <f t="shared" si="3"/>
        <v>90</v>
      </c>
      <c r="C56" s="55">
        <f t="shared" si="4"/>
        <v>120645000</v>
      </c>
      <c r="D56" s="55">
        <v>5745000</v>
      </c>
      <c r="E56" s="118"/>
      <c r="F56" s="114"/>
      <c r="G56" s="114"/>
      <c r="H56" s="114"/>
      <c r="I56" s="265"/>
    </row>
    <row r="57" spans="1:9" ht="12.75">
      <c r="A57" s="113">
        <v>39355</v>
      </c>
      <c r="B57" s="114">
        <f t="shared" si="3"/>
        <v>2</v>
      </c>
      <c r="C57" s="55">
        <f t="shared" si="4"/>
        <v>120645000</v>
      </c>
      <c r="D57" s="55"/>
      <c r="E57" s="115">
        <f>E55</f>
        <v>0.061</v>
      </c>
      <c r="F57" s="55">
        <f>((C56+D56)*E57/360*B56)+((C57+D57)*E57/360*B57)</f>
        <v>1968332.75</v>
      </c>
      <c r="G57" s="114"/>
      <c r="H57" s="114"/>
      <c r="I57" s="265"/>
    </row>
    <row r="58" spans="1:9" ht="12.75">
      <c r="A58" s="113">
        <v>39444</v>
      </c>
      <c r="B58" s="114">
        <f t="shared" si="3"/>
        <v>89</v>
      </c>
      <c r="C58" s="55">
        <f t="shared" si="4"/>
        <v>114900000</v>
      </c>
      <c r="D58" s="55">
        <v>5745000</v>
      </c>
      <c r="E58" s="118"/>
      <c r="F58" s="114"/>
      <c r="G58" s="114"/>
      <c r="H58" s="114"/>
      <c r="I58" s="265"/>
    </row>
    <row r="59" spans="1:9" ht="12.75">
      <c r="A59" s="120">
        <v>39447</v>
      </c>
      <c r="B59" s="121">
        <f t="shared" si="3"/>
        <v>3</v>
      </c>
      <c r="C59" s="122">
        <f t="shared" si="4"/>
        <v>114900000</v>
      </c>
      <c r="D59" s="122"/>
      <c r="E59" s="123">
        <f>E57</f>
        <v>0.061</v>
      </c>
      <c r="F59" s="122">
        <f>((C58+D58)*E59/360*B58)+((C59+D59)*E59/360*B59)</f>
        <v>1877801.125</v>
      </c>
      <c r="G59" s="124">
        <f>SUM(F53:F59)</f>
        <v>7981384.875</v>
      </c>
      <c r="H59" s="124">
        <f>SUM(D52:D59)</f>
        <v>22980000</v>
      </c>
      <c r="I59" s="125">
        <f>SUM(G59:H59)</f>
        <v>30961384.875</v>
      </c>
    </row>
    <row r="60" spans="1:9" ht="12.75">
      <c r="A60" s="126">
        <v>39535</v>
      </c>
      <c r="B60" s="127">
        <f t="shared" si="3"/>
        <v>88</v>
      </c>
      <c r="C60" s="56">
        <f t="shared" si="4"/>
        <v>109155000</v>
      </c>
      <c r="D60" s="56">
        <v>5745000</v>
      </c>
      <c r="E60" s="128"/>
      <c r="F60" s="127"/>
      <c r="G60" s="127"/>
      <c r="H60" s="127"/>
      <c r="I60" s="276"/>
    </row>
    <row r="61" spans="1:9" ht="12.75">
      <c r="A61" s="113">
        <v>39538</v>
      </c>
      <c r="B61" s="114">
        <f t="shared" si="3"/>
        <v>3</v>
      </c>
      <c r="C61" s="55">
        <f t="shared" si="4"/>
        <v>109155000</v>
      </c>
      <c r="D61" s="55"/>
      <c r="E61" s="115">
        <f>E59</f>
        <v>0.061</v>
      </c>
      <c r="F61" s="55">
        <f>((C60+D60)*E61/360*B60)+((C61+D61)*E61/360*B61)</f>
        <v>1768773.7916666667</v>
      </c>
      <c r="G61" s="114"/>
      <c r="H61" s="114"/>
      <c r="I61" s="265"/>
    </row>
    <row r="62" spans="1:9" ht="12.75">
      <c r="A62" s="113">
        <v>39627</v>
      </c>
      <c r="B62" s="114">
        <f t="shared" si="3"/>
        <v>89</v>
      </c>
      <c r="C62" s="55">
        <f t="shared" si="4"/>
        <v>103410000</v>
      </c>
      <c r="D62" s="55">
        <v>5745000</v>
      </c>
      <c r="E62" s="118"/>
      <c r="F62" s="114"/>
      <c r="G62" s="114"/>
      <c r="H62" s="114"/>
      <c r="I62" s="265"/>
    </row>
    <row r="63" spans="1:9" ht="12.75">
      <c r="A63" s="113">
        <v>39629</v>
      </c>
      <c r="B63" s="114">
        <f t="shared" si="3"/>
        <v>2</v>
      </c>
      <c r="C63" s="55">
        <f t="shared" si="4"/>
        <v>103410000</v>
      </c>
      <c r="D63" s="55"/>
      <c r="E63" s="115">
        <f>E61</f>
        <v>0.061</v>
      </c>
      <c r="F63" s="55">
        <f>((C62+D62)*E63/360*B62)+((C63+D63)*E63/360*B63)</f>
        <v>1681162.5416666665</v>
      </c>
      <c r="G63" s="114"/>
      <c r="H63" s="114"/>
      <c r="I63" s="265"/>
    </row>
    <row r="64" spans="1:9" ht="12.75">
      <c r="A64" s="113">
        <v>39719</v>
      </c>
      <c r="B64" s="114">
        <f t="shared" si="3"/>
        <v>90</v>
      </c>
      <c r="C64" s="55">
        <f t="shared" si="4"/>
        <v>97665000</v>
      </c>
      <c r="D64" s="55">
        <v>5745000</v>
      </c>
      <c r="E64" s="118"/>
      <c r="F64" s="114"/>
      <c r="G64" s="114"/>
      <c r="H64" s="114"/>
      <c r="I64" s="265"/>
    </row>
    <row r="65" spans="1:9" ht="12.75">
      <c r="A65" s="113">
        <v>39721</v>
      </c>
      <c r="B65" s="114">
        <f t="shared" si="3"/>
        <v>2</v>
      </c>
      <c r="C65" s="55">
        <f t="shared" si="4"/>
        <v>97665000</v>
      </c>
      <c r="D65" s="55"/>
      <c r="E65" s="115">
        <f>E63</f>
        <v>0.061</v>
      </c>
      <c r="F65" s="55">
        <f>((C64+D64)*E65/360*B64)+((C65+D65)*E65/360*B65)</f>
        <v>1610100.0833333333</v>
      </c>
      <c r="G65" s="114"/>
      <c r="H65" s="114"/>
      <c r="I65" s="265"/>
    </row>
    <row r="66" spans="1:9" ht="12.75">
      <c r="A66" s="113">
        <v>39810</v>
      </c>
      <c r="B66" s="114">
        <f t="shared" si="3"/>
        <v>89</v>
      </c>
      <c r="C66" s="55">
        <f t="shared" si="4"/>
        <v>91920000</v>
      </c>
      <c r="D66" s="55">
        <v>5745000</v>
      </c>
      <c r="E66" s="118"/>
      <c r="F66" s="114"/>
      <c r="G66" s="114"/>
      <c r="H66" s="114"/>
      <c r="I66" s="265"/>
    </row>
    <row r="67" spans="1:9" ht="12.75">
      <c r="A67" s="120">
        <v>39813</v>
      </c>
      <c r="B67" s="121">
        <f t="shared" si="3"/>
        <v>3</v>
      </c>
      <c r="C67" s="122">
        <f t="shared" si="4"/>
        <v>91920000</v>
      </c>
      <c r="D67" s="122"/>
      <c r="E67" s="123">
        <f>E65</f>
        <v>0.061</v>
      </c>
      <c r="F67" s="55">
        <f>((C66+D66)*E67/360*B66)+((C67+D67)*E67/360*B67)</f>
        <v>1519568.4583333335</v>
      </c>
      <c r="G67" s="124">
        <f>SUM(F61:F67)</f>
        <v>6579604.875</v>
      </c>
      <c r="H67" s="124">
        <f>SUM(D60:D67)</f>
        <v>22980000</v>
      </c>
      <c r="I67" s="125">
        <f>SUM(G67:H67)</f>
        <v>29559604.875</v>
      </c>
    </row>
    <row r="68" spans="1:9" ht="12.75">
      <c r="A68" s="126">
        <v>39900</v>
      </c>
      <c r="B68" s="127">
        <f t="shared" si="3"/>
        <v>87</v>
      </c>
      <c r="C68" s="56">
        <f t="shared" si="4"/>
        <v>86175000</v>
      </c>
      <c r="D68" s="55">
        <v>5745000</v>
      </c>
      <c r="E68" s="128"/>
      <c r="F68" s="127"/>
      <c r="G68" s="127"/>
      <c r="H68" s="127"/>
      <c r="I68" s="276"/>
    </row>
    <row r="69" spans="1:9" ht="12.75">
      <c r="A69" s="113">
        <v>39903</v>
      </c>
      <c r="B69" s="114">
        <f t="shared" si="3"/>
        <v>3</v>
      </c>
      <c r="C69" s="55">
        <f t="shared" si="4"/>
        <v>86175000</v>
      </c>
      <c r="D69" s="55"/>
      <c r="E69" s="115">
        <f>E67</f>
        <v>0.061</v>
      </c>
      <c r="F69" s="55">
        <f>((C68+D68)*E69/360*B68)+((C69+D69)*E69/360*B69)</f>
        <v>1398859.625</v>
      </c>
      <c r="G69" s="114"/>
      <c r="H69" s="114"/>
      <c r="I69" s="265"/>
    </row>
    <row r="70" spans="1:9" ht="12.75">
      <c r="A70" s="113">
        <v>39992</v>
      </c>
      <c r="B70" s="114">
        <f t="shared" si="3"/>
        <v>89</v>
      </c>
      <c r="C70" s="55">
        <f t="shared" si="4"/>
        <v>80430000</v>
      </c>
      <c r="D70" s="55">
        <v>5745000</v>
      </c>
      <c r="E70" s="118"/>
      <c r="F70" s="114"/>
      <c r="G70" s="114"/>
      <c r="H70" s="114"/>
      <c r="I70" s="265"/>
    </row>
    <row r="71" spans="1:9" ht="12.75">
      <c r="A71" s="113">
        <v>39994</v>
      </c>
      <c r="B71" s="114">
        <f t="shared" si="3"/>
        <v>2</v>
      </c>
      <c r="C71" s="55">
        <f t="shared" si="4"/>
        <v>80430000</v>
      </c>
      <c r="D71" s="55"/>
      <c r="E71" s="115">
        <f>E69</f>
        <v>0.061</v>
      </c>
      <c r="F71" s="55">
        <f>((C70+D70)*E71/360*B70)+((C71+D71)*E71/360*B71)</f>
        <v>1326823.7083333333</v>
      </c>
      <c r="G71" s="114"/>
      <c r="H71" s="114"/>
      <c r="I71" s="265"/>
    </row>
    <row r="72" spans="1:9" ht="12.75">
      <c r="A72" s="113">
        <v>40084</v>
      </c>
      <c r="B72" s="114">
        <f t="shared" si="3"/>
        <v>90</v>
      </c>
      <c r="C72" s="55">
        <f t="shared" si="4"/>
        <v>74685000</v>
      </c>
      <c r="D72" s="55">
        <v>5745000</v>
      </c>
      <c r="E72" s="118"/>
      <c r="F72" s="114"/>
      <c r="G72" s="114"/>
      <c r="H72" s="114"/>
      <c r="I72" s="265"/>
    </row>
    <row r="73" spans="1:9" ht="12.75">
      <c r="A73" s="113">
        <v>40086</v>
      </c>
      <c r="B73" s="114">
        <f t="shared" si="3"/>
        <v>2</v>
      </c>
      <c r="C73" s="55">
        <f t="shared" si="4"/>
        <v>74685000</v>
      </c>
      <c r="D73" s="55"/>
      <c r="E73" s="115">
        <f>E71</f>
        <v>0.061</v>
      </c>
      <c r="F73" s="55">
        <f>((C72+D72)*E73/360*B72)+((C73+D73)*E73/360*B73)</f>
        <v>1251867.4166666667</v>
      </c>
      <c r="G73" s="114"/>
      <c r="H73" s="114"/>
      <c r="I73" s="265"/>
    </row>
    <row r="74" spans="1:9" ht="12.75">
      <c r="A74" s="113">
        <v>40175</v>
      </c>
      <c r="B74" s="114">
        <f t="shared" si="3"/>
        <v>89</v>
      </c>
      <c r="C74" s="55">
        <f t="shared" si="4"/>
        <v>68940000</v>
      </c>
      <c r="D74" s="55">
        <v>5745000</v>
      </c>
      <c r="E74" s="118"/>
      <c r="F74" s="114"/>
      <c r="G74" s="114"/>
      <c r="H74" s="114"/>
      <c r="I74" s="265"/>
    </row>
    <row r="75" spans="1:9" ht="12.75">
      <c r="A75" s="120">
        <v>40178</v>
      </c>
      <c r="B75" s="121">
        <f t="shared" si="3"/>
        <v>3</v>
      </c>
      <c r="C75" s="122">
        <f t="shared" si="4"/>
        <v>68940000</v>
      </c>
      <c r="D75" s="122"/>
      <c r="E75" s="123">
        <f>E73</f>
        <v>0.061</v>
      </c>
      <c r="F75" s="55">
        <f>((C74+D74)*E75/360*B74)+((C75+D75)*E75/360*B75)</f>
        <v>1161335.7916666667</v>
      </c>
      <c r="G75" s="124">
        <f>SUM(F69:F75)</f>
        <v>5138886.541666667</v>
      </c>
      <c r="H75" s="124">
        <f>SUM(D68:D75)</f>
        <v>22980000</v>
      </c>
      <c r="I75" s="125">
        <f>SUM(G75:H75)</f>
        <v>28118886.541666668</v>
      </c>
    </row>
    <row r="76" spans="1:9" ht="12.75">
      <c r="A76" s="126">
        <v>40265</v>
      </c>
      <c r="B76" s="127">
        <f t="shared" si="3"/>
        <v>87</v>
      </c>
      <c r="C76" s="56">
        <f t="shared" si="4"/>
        <v>63195000</v>
      </c>
      <c r="D76" s="55">
        <v>5745000</v>
      </c>
      <c r="E76" s="128"/>
      <c r="F76" s="127"/>
      <c r="G76" s="127"/>
      <c r="H76" s="127"/>
      <c r="I76" s="276"/>
    </row>
    <row r="77" spans="1:9" ht="12.75">
      <c r="A77" s="113">
        <v>40268</v>
      </c>
      <c r="B77" s="114">
        <f t="shared" si="3"/>
        <v>3</v>
      </c>
      <c r="C77" s="55">
        <f t="shared" si="4"/>
        <v>63195000</v>
      </c>
      <c r="D77" s="55"/>
      <c r="E77" s="115">
        <f>E75</f>
        <v>0.061</v>
      </c>
      <c r="F77" s="55">
        <f>((C76+D76)*E77/360*B76)+((C77+D77)*E77/360*B77)</f>
        <v>1048414.625</v>
      </c>
      <c r="G77" s="114"/>
      <c r="H77" s="114"/>
      <c r="I77" s="265"/>
    </row>
    <row r="78" spans="1:9" ht="12.75">
      <c r="A78" s="113">
        <v>40357</v>
      </c>
      <c r="B78" s="114">
        <f t="shared" si="3"/>
        <v>89</v>
      </c>
      <c r="C78" s="55">
        <f t="shared" si="4"/>
        <v>57450000</v>
      </c>
      <c r="D78" s="55">
        <v>5745000</v>
      </c>
      <c r="E78" s="118"/>
      <c r="F78" s="114"/>
      <c r="G78" s="114"/>
      <c r="H78" s="114"/>
      <c r="I78" s="265"/>
    </row>
    <row r="79" spans="1:9" ht="12.75">
      <c r="A79" s="113">
        <v>40359</v>
      </c>
      <c r="B79" s="114">
        <f t="shared" si="3"/>
        <v>2</v>
      </c>
      <c r="C79" s="55">
        <f t="shared" si="4"/>
        <v>57450000</v>
      </c>
      <c r="D79" s="55"/>
      <c r="E79" s="115">
        <f>E77</f>
        <v>0.061</v>
      </c>
      <c r="F79" s="55">
        <f>((C78+D78)*E79/360*B78)+((C79+D79)*E79/360*B79)</f>
        <v>972484.8749999999</v>
      </c>
      <c r="G79" s="114"/>
      <c r="H79" s="114"/>
      <c r="I79" s="265"/>
    </row>
    <row r="80" spans="1:9" ht="12.75">
      <c r="A80" s="113">
        <v>40449</v>
      </c>
      <c r="B80" s="114">
        <f t="shared" si="3"/>
        <v>90</v>
      </c>
      <c r="C80" s="55">
        <f t="shared" si="4"/>
        <v>51705000</v>
      </c>
      <c r="D80" s="55">
        <v>5745000</v>
      </c>
      <c r="E80" s="118"/>
      <c r="F80" s="114"/>
      <c r="G80" s="114"/>
      <c r="H80" s="114"/>
      <c r="I80" s="265"/>
    </row>
    <row r="81" spans="1:9" ht="12.75">
      <c r="A81" s="113">
        <v>40451</v>
      </c>
      <c r="B81" s="114">
        <f t="shared" si="3"/>
        <v>2</v>
      </c>
      <c r="C81" s="55">
        <f t="shared" si="4"/>
        <v>51705000</v>
      </c>
      <c r="D81" s="55"/>
      <c r="E81" s="115">
        <f>E79</f>
        <v>0.061</v>
      </c>
      <c r="F81" s="55">
        <f>((C80+D80)*E81/360*B80)+((C81+D81)*E81/360*B81)</f>
        <v>893634.75</v>
      </c>
      <c r="G81" s="114"/>
      <c r="H81" s="114"/>
      <c r="I81" s="265"/>
    </row>
    <row r="82" spans="1:9" ht="12.75">
      <c r="A82" s="113">
        <v>40540</v>
      </c>
      <c r="B82" s="114">
        <f t="shared" si="3"/>
        <v>89</v>
      </c>
      <c r="C82" s="55">
        <f t="shared" si="4"/>
        <v>45960000</v>
      </c>
      <c r="D82" s="55">
        <v>5745000</v>
      </c>
      <c r="E82" s="118"/>
      <c r="F82" s="114"/>
      <c r="G82" s="114"/>
      <c r="H82" s="114"/>
      <c r="I82" s="265"/>
    </row>
    <row r="83" spans="1:9" ht="12.75">
      <c r="A83" s="120">
        <v>40543</v>
      </c>
      <c r="B83" s="121">
        <f t="shared" si="3"/>
        <v>3</v>
      </c>
      <c r="C83" s="122">
        <f t="shared" si="4"/>
        <v>45960000</v>
      </c>
      <c r="D83" s="122"/>
      <c r="E83" s="123">
        <f>E81</f>
        <v>0.061</v>
      </c>
      <c r="F83" s="55">
        <f>((C82+D82)*E83/360*B82)+((C83+D83)*E83/360*B83)</f>
        <v>803103.125</v>
      </c>
      <c r="G83" s="124">
        <f>SUM(F77:F83)</f>
        <v>3717637.375</v>
      </c>
      <c r="H83" s="124">
        <f>SUM(D76:D83)</f>
        <v>22980000</v>
      </c>
      <c r="I83" s="125">
        <f>SUM(G83:H83)</f>
        <v>26697637.375</v>
      </c>
    </row>
    <row r="84" spans="1:9" ht="12.75">
      <c r="A84" s="126">
        <v>40630</v>
      </c>
      <c r="B84" s="127">
        <f aca="true" t="shared" si="5" ref="B84:B98">A84-A83</f>
        <v>87</v>
      </c>
      <c r="C84" s="56">
        <f aca="true" t="shared" si="6" ref="C84:C98">C83-D84</f>
        <v>40215000</v>
      </c>
      <c r="D84" s="55">
        <v>5745000</v>
      </c>
      <c r="E84" s="128"/>
      <c r="F84" s="127"/>
      <c r="G84" s="127"/>
      <c r="H84" s="127"/>
      <c r="I84" s="276"/>
    </row>
    <row r="85" spans="1:9" ht="12.75">
      <c r="A85" s="113">
        <v>40633</v>
      </c>
      <c r="B85" s="114">
        <f t="shared" si="5"/>
        <v>3</v>
      </c>
      <c r="C85" s="55">
        <f t="shared" si="6"/>
        <v>40215000</v>
      </c>
      <c r="D85" s="55"/>
      <c r="E85" s="115">
        <f>E83</f>
        <v>0.061</v>
      </c>
      <c r="F85" s="55">
        <f>((C84+D84)*E85/360*B84)+((C85+D85)*E85/360*B85)</f>
        <v>697969.625</v>
      </c>
      <c r="G85" s="114"/>
      <c r="H85" s="114"/>
      <c r="I85" s="265"/>
    </row>
    <row r="86" spans="1:9" ht="12.75">
      <c r="A86" s="113">
        <v>40722</v>
      </c>
      <c r="B86" s="114">
        <f t="shared" si="5"/>
        <v>89</v>
      </c>
      <c r="C86" s="55">
        <f t="shared" si="6"/>
        <v>34470000</v>
      </c>
      <c r="D86" s="55">
        <v>5745000</v>
      </c>
      <c r="E86" s="118"/>
      <c r="F86" s="55"/>
      <c r="G86" s="114"/>
      <c r="H86" s="114"/>
      <c r="I86" s="265"/>
    </row>
    <row r="87" spans="1:9" ht="12.75">
      <c r="A87" s="113">
        <v>40724</v>
      </c>
      <c r="B87" s="114">
        <f t="shared" si="5"/>
        <v>2</v>
      </c>
      <c r="C87" s="55">
        <f t="shared" si="6"/>
        <v>34470000</v>
      </c>
      <c r="D87" s="55"/>
      <c r="E87" s="115">
        <f>E85</f>
        <v>0.061</v>
      </c>
      <c r="F87" s="55">
        <f>((C86+D86)*E87/360*B86)+((C87+D87)*E87/360*B87)</f>
        <v>618146.0416666666</v>
      </c>
      <c r="G87" s="114"/>
      <c r="H87" s="114"/>
      <c r="I87" s="265"/>
    </row>
    <row r="88" spans="1:9" ht="12.75">
      <c r="A88" s="113">
        <v>40814</v>
      </c>
      <c r="B88" s="114">
        <f t="shared" si="5"/>
        <v>90</v>
      </c>
      <c r="C88" s="55">
        <f t="shared" si="6"/>
        <v>28725000</v>
      </c>
      <c r="D88" s="55">
        <v>5745000</v>
      </c>
      <c r="E88" s="118"/>
      <c r="F88" s="114"/>
      <c r="G88" s="114"/>
      <c r="H88" s="114"/>
      <c r="I88" s="265"/>
    </row>
    <row r="89" spans="1:9" ht="12.75">
      <c r="A89" s="113">
        <v>40816</v>
      </c>
      <c r="B89" s="114">
        <f t="shared" si="5"/>
        <v>2</v>
      </c>
      <c r="C89" s="55">
        <f t="shared" si="6"/>
        <v>28725000</v>
      </c>
      <c r="D89" s="55"/>
      <c r="E89" s="115">
        <f>E87</f>
        <v>0.061</v>
      </c>
      <c r="F89" s="55">
        <f>((C88+D88)*E89/360*B88)+((C89+D89)*E89/360*B89)</f>
        <v>535402.0833333334</v>
      </c>
      <c r="G89" s="114"/>
      <c r="H89" s="114"/>
      <c r="I89" s="265"/>
    </row>
    <row r="90" spans="1:9" ht="12.75">
      <c r="A90" s="113">
        <v>40905</v>
      </c>
      <c r="B90" s="114">
        <f t="shared" si="5"/>
        <v>89</v>
      </c>
      <c r="C90" s="55">
        <f t="shared" si="6"/>
        <v>22980000</v>
      </c>
      <c r="D90" s="55">
        <v>5745000</v>
      </c>
      <c r="E90" s="118"/>
      <c r="F90" s="114"/>
      <c r="G90" s="114"/>
      <c r="H90" s="114"/>
      <c r="I90" s="265"/>
    </row>
    <row r="91" spans="1:9" ht="12.75">
      <c r="A91" s="120">
        <v>40908</v>
      </c>
      <c r="B91" s="121">
        <f t="shared" si="5"/>
        <v>3</v>
      </c>
      <c r="C91" s="122">
        <f t="shared" si="6"/>
        <v>22980000</v>
      </c>
      <c r="D91" s="122"/>
      <c r="E91" s="123">
        <f>E89</f>
        <v>0.061</v>
      </c>
      <c r="F91" s="55">
        <f>((C90+D90)*E91/360*B90)+((C91+D91)*E91/360*B91)</f>
        <v>444870.4583333334</v>
      </c>
      <c r="G91" s="124">
        <f>SUM(F85:F91)</f>
        <v>2296388.2083333335</v>
      </c>
      <c r="H91" s="124">
        <f>SUM(D84:D91)</f>
        <v>22980000</v>
      </c>
      <c r="I91" s="125">
        <f>SUM(G91:H91)</f>
        <v>25276388.208333332</v>
      </c>
    </row>
    <row r="92" spans="1:9" ht="12.75">
      <c r="A92" s="126">
        <v>40996</v>
      </c>
      <c r="B92" s="127">
        <f t="shared" si="5"/>
        <v>88</v>
      </c>
      <c r="C92" s="56">
        <f t="shared" si="6"/>
        <v>17235000</v>
      </c>
      <c r="D92" s="56">
        <v>5745000</v>
      </c>
      <c r="E92" s="128"/>
      <c r="F92" s="127"/>
      <c r="G92" s="127"/>
      <c r="H92" s="127"/>
      <c r="I92" s="276"/>
    </row>
    <row r="93" spans="1:9" ht="12.75">
      <c r="A93" s="113">
        <v>40999</v>
      </c>
      <c r="B93" s="114">
        <f t="shared" si="5"/>
        <v>3</v>
      </c>
      <c r="C93" s="55">
        <f t="shared" si="6"/>
        <v>17235000</v>
      </c>
      <c r="D93" s="55"/>
      <c r="E93" s="115">
        <f>E91</f>
        <v>0.061</v>
      </c>
      <c r="F93" s="55">
        <f>((C92+D92)*E93/360*B92)+((C93+D93)*E93/360*B93)</f>
        <v>351418.4583333334</v>
      </c>
      <c r="G93" s="114"/>
      <c r="H93" s="114"/>
      <c r="I93" s="265"/>
    </row>
    <row r="94" spans="1:9" ht="12.75">
      <c r="A94" s="113">
        <v>41088</v>
      </c>
      <c r="B94" s="114">
        <f t="shared" si="5"/>
        <v>89</v>
      </c>
      <c r="C94" s="55">
        <f t="shared" si="6"/>
        <v>11490000</v>
      </c>
      <c r="D94" s="55">
        <v>5745000</v>
      </c>
      <c r="E94" s="305"/>
      <c r="F94" s="135"/>
      <c r="G94" s="114"/>
      <c r="H94" s="114"/>
      <c r="I94" s="265"/>
    </row>
    <row r="95" spans="1:9" ht="12.75">
      <c r="A95" s="113">
        <v>41090</v>
      </c>
      <c r="B95" s="114">
        <f t="shared" si="5"/>
        <v>2</v>
      </c>
      <c r="C95" s="55">
        <f t="shared" si="6"/>
        <v>11490000</v>
      </c>
      <c r="D95" s="55"/>
      <c r="E95" s="115">
        <f>E93</f>
        <v>0.061</v>
      </c>
      <c r="F95" s="55">
        <f>((C94+D94)*E95/360*B94)+((C95+D95)*E95/360*B95)</f>
        <v>263807.2083333333</v>
      </c>
      <c r="G95" s="114"/>
      <c r="H95" s="114"/>
      <c r="I95" s="265"/>
    </row>
    <row r="96" spans="1:9" ht="12.75">
      <c r="A96" s="113">
        <v>41180</v>
      </c>
      <c r="B96" s="114">
        <f t="shared" si="5"/>
        <v>90</v>
      </c>
      <c r="C96" s="55">
        <f t="shared" si="6"/>
        <v>5745000</v>
      </c>
      <c r="D96" s="55">
        <v>5745000</v>
      </c>
      <c r="E96" s="115"/>
      <c r="F96" s="55"/>
      <c r="G96" s="114"/>
      <c r="H96" s="114"/>
      <c r="I96" s="265"/>
    </row>
    <row r="97" spans="1:9" ht="12.75">
      <c r="A97" s="113">
        <v>41182</v>
      </c>
      <c r="B97" s="114">
        <f t="shared" si="5"/>
        <v>2</v>
      </c>
      <c r="C97" s="55">
        <f t="shared" si="6"/>
        <v>5745000</v>
      </c>
      <c r="D97" s="55"/>
      <c r="E97" s="115">
        <f>E95</f>
        <v>0.061</v>
      </c>
      <c r="F97" s="55">
        <f>((C96+D96)*E97/360*B96)+((C97+D97)*E97/360*B97)</f>
        <v>177169.41666666666</v>
      </c>
      <c r="G97" s="114"/>
      <c r="H97" s="114"/>
      <c r="I97" s="265"/>
    </row>
    <row r="98" spans="1:9" ht="13.5" thickBot="1">
      <c r="A98" s="137">
        <v>41271</v>
      </c>
      <c r="B98" s="138">
        <f t="shared" si="5"/>
        <v>89</v>
      </c>
      <c r="C98" s="139">
        <f t="shared" si="6"/>
        <v>0</v>
      </c>
      <c r="D98" s="139">
        <v>5745000</v>
      </c>
      <c r="E98" s="140">
        <f>E97</f>
        <v>0.061</v>
      </c>
      <c r="F98" s="139">
        <f>((C98+D98)*E98/360*B98)</f>
        <v>86637.79166666667</v>
      </c>
      <c r="G98" s="293">
        <f>SUM(F93:F98)</f>
        <v>879032.875</v>
      </c>
      <c r="H98" s="293">
        <f>SUM(D92:D98)</f>
        <v>22980000</v>
      </c>
      <c r="I98" s="294">
        <f>SUM(G98:H98)</f>
        <v>23859032.875</v>
      </c>
    </row>
    <row r="99" spans="1:9" ht="13.5" thickTop="1">
      <c r="A99" s="425" t="s">
        <v>14</v>
      </c>
      <c r="B99" s="426"/>
      <c r="C99" s="427"/>
      <c r="D99" s="143">
        <f>SUM(D8:D98)</f>
        <v>247450000</v>
      </c>
      <c r="E99" s="144"/>
      <c r="F99" s="143">
        <f>SUM(F8:F98)</f>
        <v>106038097.25</v>
      </c>
      <c r="G99" s="143">
        <f>SUM(G8:G98)</f>
        <v>106038097.25</v>
      </c>
      <c r="H99" s="143">
        <f>SUM(H8:H98)</f>
        <v>247450000</v>
      </c>
      <c r="I99" s="145">
        <f>SUM(I8:I98)</f>
        <v>353488097.25</v>
      </c>
    </row>
    <row r="100" spans="1:2" ht="12.75">
      <c r="A100" s="146"/>
      <c r="B100" s="79"/>
    </row>
    <row r="101" spans="1:2" ht="12.75">
      <c r="A101" s="146"/>
      <c r="B101" s="79"/>
    </row>
    <row r="102" spans="2:6" ht="12.75">
      <c r="B102" s="81" t="s">
        <v>142</v>
      </c>
      <c r="C102" s="81"/>
      <c r="D102" s="81"/>
      <c r="E102" s="81"/>
      <c r="F102" s="329">
        <v>143500000</v>
      </c>
    </row>
    <row r="103" spans="2:6" ht="12.75">
      <c r="B103" s="81" t="s">
        <v>143</v>
      </c>
      <c r="D103" s="81"/>
      <c r="E103" s="81"/>
      <c r="F103" s="329">
        <v>71550000</v>
      </c>
    </row>
    <row r="104" spans="2:6" ht="13.5" thickBot="1">
      <c r="B104" s="327" t="s">
        <v>144</v>
      </c>
      <c r="C104" s="333"/>
      <c r="D104" s="327"/>
      <c r="E104" s="327"/>
      <c r="F104" s="330">
        <v>32400000</v>
      </c>
    </row>
    <row r="105" spans="1:6" ht="13.5" thickTop="1">
      <c r="A105" s="79"/>
      <c r="B105" s="332" t="s">
        <v>139</v>
      </c>
      <c r="C105" s="189"/>
      <c r="D105" s="189"/>
      <c r="E105" s="428">
        <f>SUM(F102:F104)</f>
        <v>247450000</v>
      </c>
      <c r="F105" s="428"/>
    </row>
    <row r="108" spans="5:6" ht="12.75">
      <c r="E108" s="81"/>
      <c r="F108" s="147"/>
    </row>
    <row r="109" spans="5:6" ht="12.75">
      <c r="E109" s="81"/>
      <c r="F109" s="147"/>
    </row>
    <row r="110" ht="12.75">
      <c r="E110" s="81"/>
    </row>
    <row r="111" ht="12.75">
      <c r="E111" s="81"/>
    </row>
    <row r="112" spans="5:6" ht="12.75">
      <c r="E112" s="81"/>
      <c r="F112" s="147"/>
    </row>
  </sheetData>
  <mergeCells count="2">
    <mergeCell ref="A99:C99"/>
    <mergeCell ref="E105:F105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 xml:space="preserve">&amp;C&amp;"Times New Roman CE,Félkövér"&amp;12Adósságszolgálat számítása az OTP tájékoztatása alapján&amp;"Times New Roman CE,Félkövér dőlt"
Na 600-as vezeték kiváltásához felvett 247.450 eFt hitel </oddHeader>
    <oddFooter>&amp;L&amp;9Nyomtatás dátuma: &amp;D
C:\Andi\adósságszolgálat\&amp;F\&amp;A&amp;R&amp;P/&amp;N</oddFooter>
  </headerFooter>
  <rowBreaks count="2" manualBreakCount="2">
    <brk id="51" max="255" man="1"/>
    <brk id="9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pane ySplit="7" topLeftCell="BM2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625" style="81" customWidth="1"/>
    <col min="2" max="2" width="5.875" style="81" customWidth="1"/>
    <col min="3" max="3" width="11.50390625" style="147" customWidth="1"/>
    <col min="4" max="4" width="12.625" style="147" customWidth="1"/>
    <col min="5" max="5" width="8.00390625" style="148" customWidth="1"/>
    <col min="6" max="6" width="14.00390625" style="81" bestFit="1" customWidth="1"/>
    <col min="7" max="7" width="13.00390625" style="81" customWidth="1"/>
    <col min="8" max="9" width="12.625" style="81" bestFit="1" customWidth="1"/>
    <col min="10" max="10" width="9.375" style="81" customWidth="1"/>
    <col min="11" max="11" width="11.125" style="81" bestFit="1" customWidth="1"/>
    <col min="12" max="16384" width="9.375" style="81" customWidth="1"/>
  </cols>
  <sheetData>
    <row r="1" spans="1:9" ht="12.75">
      <c r="A1" s="189" t="s">
        <v>101</v>
      </c>
      <c r="B1" s="188"/>
      <c r="C1" s="189"/>
      <c r="D1" s="189"/>
      <c r="E1" s="190"/>
      <c r="H1" s="189"/>
      <c r="I1" s="189"/>
    </row>
    <row r="2" spans="1:9" ht="12.75">
      <c r="A2" s="161" t="s">
        <v>15</v>
      </c>
      <c r="B2" s="159"/>
      <c r="C2" s="158"/>
      <c r="D2" s="158"/>
      <c r="E2" s="191"/>
      <c r="F2" s="158"/>
      <c r="G2" s="158"/>
      <c r="H2" s="158"/>
      <c r="I2" s="158"/>
    </row>
    <row r="3" spans="1:9" ht="12.75">
      <c r="A3" s="158" t="s">
        <v>67</v>
      </c>
      <c r="B3" s="159"/>
      <c r="C3" s="158"/>
      <c r="D3" s="158"/>
      <c r="F3" s="158"/>
      <c r="G3" s="158"/>
      <c r="H3" s="158"/>
      <c r="I3" s="158"/>
    </row>
    <row r="4" spans="1:9" ht="12.75">
      <c r="A4" s="160" t="s">
        <v>76</v>
      </c>
      <c r="B4" s="159"/>
      <c r="C4" s="158"/>
      <c r="D4" s="158"/>
      <c r="E4" s="191"/>
      <c r="F4" s="158"/>
      <c r="G4" s="158"/>
      <c r="H4" s="158"/>
      <c r="I4" s="158" t="s">
        <v>2</v>
      </c>
    </row>
    <row r="5" spans="1:9" ht="12.75">
      <c r="A5" s="89" t="s">
        <v>3</v>
      </c>
      <c r="B5" s="90" t="s">
        <v>4</v>
      </c>
      <c r="C5" s="91" t="s">
        <v>5</v>
      </c>
      <c r="D5" s="91" t="s">
        <v>21</v>
      </c>
      <c r="E5" s="91" t="s">
        <v>18</v>
      </c>
      <c r="F5" s="92" t="s">
        <v>20</v>
      </c>
      <c r="G5" s="93" t="s">
        <v>6</v>
      </c>
      <c r="H5" s="93" t="s">
        <v>6</v>
      </c>
      <c r="I5" s="94" t="s">
        <v>6</v>
      </c>
    </row>
    <row r="6" spans="1:9" ht="12.75">
      <c r="A6" s="95"/>
      <c r="B6" s="96" t="s">
        <v>7</v>
      </c>
      <c r="C6" s="97" t="s">
        <v>8</v>
      </c>
      <c r="D6" s="97" t="s">
        <v>13</v>
      </c>
      <c r="E6" s="97" t="s">
        <v>19</v>
      </c>
      <c r="F6" s="98" t="s">
        <v>13</v>
      </c>
      <c r="G6" s="99" t="s">
        <v>9</v>
      </c>
      <c r="H6" s="99" t="s">
        <v>11</v>
      </c>
      <c r="I6" s="100" t="s">
        <v>10</v>
      </c>
    </row>
    <row r="7" spans="1:9" ht="12.75">
      <c r="A7" s="101"/>
      <c r="B7" s="102"/>
      <c r="C7" s="103"/>
      <c r="D7" s="103"/>
      <c r="E7" s="103"/>
      <c r="F7" s="104"/>
      <c r="G7" s="104"/>
      <c r="H7" s="105" t="s">
        <v>13</v>
      </c>
      <c r="I7" s="106" t="s">
        <v>12</v>
      </c>
    </row>
    <row r="8" spans="1:9" ht="12.75">
      <c r="A8" s="107">
        <v>37251</v>
      </c>
      <c r="B8" s="163"/>
      <c r="C8" s="164">
        <v>139059100</v>
      </c>
      <c r="D8" s="164"/>
      <c r="E8" s="164"/>
      <c r="F8" s="164"/>
      <c r="G8" s="174"/>
      <c r="H8" s="174"/>
      <c r="I8" s="175"/>
    </row>
    <row r="9" spans="1:9" ht="12.75">
      <c r="A9" s="120">
        <v>37253</v>
      </c>
      <c r="B9" s="121">
        <f aca="true" t="shared" si="0" ref="B9:B15">A9-A8</f>
        <v>2</v>
      </c>
      <c r="C9" s="170">
        <f>C8-D9</f>
        <v>139059100</v>
      </c>
      <c r="D9" s="170"/>
      <c r="E9" s="123">
        <f>F9/(C9*B9)*365</f>
        <v>0.11173046208410668</v>
      </c>
      <c r="F9" s="170">
        <v>85135</v>
      </c>
      <c r="G9" s="171">
        <f>SUM(F8:F9)</f>
        <v>85135</v>
      </c>
      <c r="H9" s="171">
        <f>SUM(D8:D9)</f>
        <v>0</v>
      </c>
      <c r="I9" s="172">
        <f>SUM(G9:H9)</f>
        <v>85135</v>
      </c>
    </row>
    <row r="10" spans="1:9" ht="12.75">
      <c r="A10" s="107">
        <v>37344</v>
      </c>
      <c r="B10" s="108">
        <f t="shared" si="0"/>
        <v>91</v>
      </c>
      <c r="C10" s="164">
        <f>C9-D10</f>
        <v>139059100</v>
      </c>
      <c r="D10" s="164"/>
      <c r="E10" s="110">
        <f>F10/(C10*B10)*365</f>
        <v>0.0989087563299535</v>
      </c>
      <c r="F10" s="164">
        <v>3429120</v>
      </c>
      <c r="G10" s="174"/>
      <c r="H10" s="174"/>
      <c r="I10" s="175"/>
    </row>
    <row r="11" spans="1:9" ht="13.5" thickBot="1">
      <c r="A11" s="301">
        <v>37437</v>
      </c>
      <c r="B11" s="302">
        <f t="shared" si="0"/>
        <v>93</v>
      </c>
      <c r="C11" s="220">
        <f>(C10-D11)+147603900</f>
        <v>286663000</v>
      </c>
      <c r="D11" s="220"/>
      <c r="E11" s="306">
        <v>0.085</v>
      </c>
      <c r="F11" s="220">
        <v>3003020</v>
      </c>
      <c r="G11" s="222"/>
      <c r="H11" s="222"/>
      <c r="I11" s="223"/>
    </row>
    <row r="12" spans="1:9" ht="12.75">
      <c r="A12" s="307">
        <v>37527</v>
      </c>
      <c r="B12" s="308">
        <f t="shared" si="0"/>
        <v>90</v>
      </c>
      <c r="C12" s="237">
        <f>C11-D12</f>
        <v>272329850</v>
      </c>
      <c r="D12" s="237">
        <v>14333150</v>
      </c>
      <c r="E12" s="309"/>
      <c r="F12" s="237"/>
      <c r="G12" s="239"/>
      <c r="H12" s="239"/>
      <c r="I12" s="240"/>
    </row>
    <row r="13" spans="1:9" ht="12.75">
      <c r="A13" s="113">
        <v>37529</v>
      </c>
      <c r="B13" s="114">
        <f t="shared" si="0"/>
        <v>2</v>
      </c>
      <c r="C13" s="55">
        <f>C12-D13</f>
        <v>272329850</v>
      </c>
      <c r="D13" s="55"/>
      <c r="E13" s="115">
        <v>0.0931</v>
      </c>
      <c r="F13" s="55">
        <v>6949269</v>
      </c>
      <c r="G13" s="116"/>
      <c r="H13" s="116"/>
      <c r="I13" s="117"/>
    </row>
    <row r="14" spans="1:9" ht="12.75">
      <c r="A14" s="113">
        <v>37618</v>
      </c>
      <c r="B14" s="114">
        <f t="shared" si="0"/>
        <v>89</v>
      </c>
      <c r="C14" s="55">
        <f>C13-D14</f>
        <v>257996700</v>
      </c>
      <c r="D14" s="55">
        <v>14333150</v>
      </c>
      <c r="E14" s="115"/>
      <c r="F14" s="55"/>
      <c r="G14" s="116"/>
      <c r="H14" s="116"/>
      <c r="I14" s="117"/>
    </row>
    <row r="15" spans="1:9" ht="12.75">
      <c r="A15" s="120">
        <v>37621</v>
      </c>
      <c r="B15" s="114">
        <f t="shared" si="0"/>
        <v>3</v>
      </c>
      <c r="C15" s="273">
        <v>257996700</v>
      </c>
      <c r="D15" s="122"/>
      <c r="E15" s="123">
        <v>0.098</v>
      </c>
      <c r="F15" s="122">
        <v>6804938</v>
      </c>
      <c r="G15" s="124">
        <f>SUM(F10:F15)</f>
        <v>20186347</v>
      </c>
      <c r="H15" s="124">
        <f>SUM(D10:D15)</f>
        <v>28666300</v>
      </c>
      <c r="I15" s="125">
        <f>SUM(G15:H15)</f>
        <v>48852647</v>
      </c>
    </row>
    <row r="16" spans="1:9" ht="12.75">
      <c r="A16" s="126">
        <v>37708</v>
      </c>
      <c r="B16" s="127">
        <f aca="true" t="shared" si="1" ref="B16:B78">A16-A15</f>
        <v>87</v>
      </c>
      <c r="C16" s="56">
        <f aca="true" t="shared" si="2" ref="C16:C78">C15-D16</f>
        <v>249953000</v>
      </c>
      <c r="D16" s="56">
        <v>8043700</v>
      </c>
      <c r="E16" s="128"/>
      <c r="F16" s="127"/>
      <c r="G16" s="127"/>
      <c r="H16" s="127"/>
      <c r="I16" s="276"/>
    </row>
    <row r="17" spans="1:9" ht="12.75">
      <c r="A17" s="113">
        <v>37711</v>
      </c>
      <c r="B17" s="114">
        <f t="shared" si="1"/>
        <v>3</v>
      </c>
      <c r="C17" s="55">
        <f t="shared" si="2"/>
        <v>249953000</v>
      </c>
      <c r="D17" s="55"/>
      <c r="E17" s="115">
        <v>0.0847</v>
      </c>
      <c r="F17" s="55">
        <v>5466934</v>
      </c>
      <c r="G17" s="114"/>
      <c r="H17" s="114"/>
      <c r="I17" s="265"/>
    </row>
    <row r="18" spans="1:9" ht="12.75">
      <c r="A18" s="113">
        <v>37800</v>
      </c>
      <c r="B18" s="114">
        <f t="shared" si="1"/>
        <v>89</v>
      </c>
      <c r="C18" s="55">
        <f t="shared" si="2"/>
        <v>241890000</v>
      </c>
      <c r="D18" s="55">
        <v>8063000</v>
      </c>
      <c r="E18" s="118"/>
      <c r="F18" s="114"/>
      <c r="G18" s="114"/>
      <c r="H18" s="114"/>
      <c r="I18" s="265"/>
    </row>
    <row r="19" spans="1:11" ht="12.75">
      <c r="A19" s="113">
        <v>37802</v>
      </c>
      <c r="B19" s="114">
        <f t="shared" si="1"/>
        <v>2</v>
      </c>
      <c r="C19" s="55">
        <f t="shared" si="2"/>
        <v>241890000</v>
      </c>
      <c r="D19" s="55"/>
      <c r="E19" s="115">
        <v>0.0665</v>
      </c>
      <c r="F19" s="55">
        <v>4214277</v>
      </c>
      <c r="G19" s="114"/>
      <c r="H19" s="114"/>
      <c r="I19" s="265"/>
      <c r="K19" s="147"/>
    </row>
    <row r="20" spans="1:9" ht="12.75">
      <c r="A20" s="113">
        <v>37892</v>
      </c>
      <c r="B20" s="114">
        <f t="shared" si="1"/>
        <v>90</v>
      </c>
      <c r="C20" s="55">
        <f t="shared" si="2"/>
        <v>233827000</v>
      </c>
      <c r="D20" s="55">
        <v>8063000</v>
      </c>
      <c r="E20" s="118"/>
      <c r="F20" s="114"/>
      <c r="G20" s="114"/>
      <c r="H20" s="114"/>
      <c r="I20" s="265"/>
    </row>
    <row r="21" spans="1:9" ht="12.75">
      <c r="A21" s="113">
        <v>37894</v>
      </c>
      <c r="B21" s="114">
        <f t="shared" si="1"/>
        <v>2</v>
      </c>
      <c r="C21" s="55">
        <f t="shared" si="2"/>
        <v>233827000</v>
      </c>
      <c r="D21" s="55"/>
      <c r="E21" s="115">
        <v>0.0893</v>
      </c>
      <c r="F21" s="55">
        <v>5500879</v>
      </c>
      <c r="G21" s="114"/>
      <c r="H21" s="114"/>
      <c r="I21" s="265"/>
    </row>
    <row r="22" spans="1:11" ht="12.75">
      <c r="A22" s="113">
        <v>37983</v>
      </c>
      <c r="B22" s="114">
        <f t="shared" si="1"/>
        <v>89</v>
      </c>
      <c r="C22" s="55">
        <f t="shared" si="2"/>
        <v>225764000</v>
      </c>
      <c r="D22" s="55">
        <v>8063000</v>
      </c>
      <c r="E22" s="118"/>
      <c r="F22" s="114"/>
      <c r="G22" s="114"/>
      <c r="H22" s="114"/>
      <c r="I22" s="265"/>
      <c r="K22" s="147"/>
    </row>
    <row r="23" spans="1:9" ht="12.75">
      <c r="A23" s="120">
        <v>37986</v>
      </c>
      <c r="B23" s="121">
        <f t="shared" si="1"/>
        <v>3</v>
      </c>
      <c r="C23" s="122">
        <f t="shared" si="2"/>
        <v>225764000</v>
      </c>
      <c r="D23" s="122"/>
      <c r="E23" s="123">
        <v>0.0961</v>
      </c>
      <c r="F23" s="55">
        <v>5731657</v>
      </c>
      <c r="G23" s="124">
        <f>SUM(F17:F23)</f>
        <v>20913747</v>
      </c>
      <c r="H23" s="124">
        <f>SUM(D16:D23)</f>
        <v>32232700</v>
      </c>
      <c r="I23" s="125">
        <f>SUM(G23:H23)</f>
        <v>53146447</v>
      </c>
    </row>
    <row r="24" spans="1:9" ht="12.75">
      <c r="A24" s="126">
        <v>38074</v>
      </c>
      <c r="B24" s="127">
        <f t="shared" si="1"/>
        <v>88</v>
      </c>
      <c r="C24" s="56">
        <f t="shared" si="2"/>
        <v>217701000</v>
      </c>
      <c r="D24" s="55">
        <v>8063000</v>
      </c>
      <c r="E24" s="128"/>
      <c r="F24" s="127"/>
      <c r="G24" s="127"/>
      <c r="H24" s="127"/>
      <c r="I24" s="276"/>
    </row>
    <row r="25" spans="1:9" ht="12.75">
      <c r="A25" s="113">
        <v>38077</v>
      </c>
      <c r="B25" s="114">
        <f t="shared" si="1"/>
        <v>3</v>
      </c>
      <c r="C25" s="55">
        <f t="shared" si="2"/>
        <v>217701000</v>
      </c>
      <c r="D25" s="55"/>
      <c r="E25" s="115">
        <v>0.1255</v>
      </c>
      <c r="F25" s="55">
        <v>7137990</v>
      </c>
      <c r="G25" s="114"/>
      <c r="H25" s="114"/>
      <c r="I25" s="265"/>
    </row>
    <row r="26" spans="1:9" ht="12.75">
      <c r="A26" s="113">
        <v>38166</v>
      </c>
      <c r="B26" s="114">
        <f t="shared" si="1"/>
        <v>89</v>
      </c>
      <c r="C26" s="55">
        <f t="shared" si="2"/>
        <v>209638000</v>
      </c>
      <c r="D26" s="55">
        <v>8063000</v>
      </c>
      <c r="E26" s="118"/>
      <c r="F26" s="114"/>
      <c r="G26" s="114"/>
      <c r="H26" s="114"/>
      <c r="I26" s="265"/>
    </row>
    <row r="27" spans="1:9" ht="12.75">
      <c r="A27" s="113">
        <v>38168</v>
      </c>
      <c r="B27" s="114">
        <f t="shared" si="1"/>
        <v>2</v>
      </c>
      <c r="C27" s="55">
        <f t="shared" si="2"/>
        <v>209638000</v>
      </c>
      <c r="D27" s="55"/>
      <c r="E27" s="115">
        <v>0.1197</v>
      </c>
      <c r="F27" s="55">
        <v>6585234</v>
      </c>
      <c r="G27" s="114"/>
      <c r="H27" s="114"/>
      <c r="I27" s="265"/>
    </row>
    <row r="28" spans="1:9" ht="12.75">
      <c r="A28" s="113">
        <v>38258</v>
      </c>
      <c r="B28" s="114">
        <f t="shared" si="1"/>
        <v>90</v>
      </c>
      <c r="C28" s="55">
        <f t="shared" si="2"/>
        <v>201575000</v>
      </c>
      <c r="D28" s="55">
        <v>8063000</v>
      </c>
      <c r="E28" s="118"/>
      <c r="F28" s="114"/>
      <c r="G28" s="114"/>
      <c r="H28" s="114"/>
      <c r="I28" s="265"/>
    </row>
    <row r="29" spans="1:9" ht="12.75">
      <c r="A29" s="113">
        <v>38260</v>
      </c>
      <c r="B29" s="114">
        <f t="shared" si="1"/>
        <v>2</v>
      </c>
      <c r="C29" s="55">
        <f t="shared" si="2"/>
        <v>201575000</v>
      </c>
      <c r="D29" s="55"/>
      <c r="E29" s="115">
        <v>0.1167</v>
      </c>
      <c r="F29" s="55">
        <v>6248623</v>
      </c>
      <c r="G29" s="114"/>
      <c r="H29" s="114"/>
      <c r="I29" s="265"/>
    </row>
    <row r="30" spans="1:9" ht="12.75">
      <c r="A30" s="113">
        <v>38349</v>
      </c>
      <c r="B30" s="114">
        <f t="shared" si="1"/>
        <v>89</v>
      </c>
      <c r="C30" s="55">
        <f t="shared" si="2"/>
        <v>193512000</v>
      </c>
      <c r="D30" s="55">
        <v>8063000</v>
      </c>
      <c r="E30" s="118"/>
      <c r="F30" s="114"/>
      <c r="G30" s="114"/>
      <c r="H30" s="114"/>
      <c r="I30" s="265"/>
    </row>
    <row r="31" spans="1:9" ht="12.75">
      <c r="A31" s="120">
        <v>38352</v>
      </c>
      <c r="B31" s="121">
        <f t="shared" si="1"/>
        <v>3</v>
      </c>
      <c r="C31" s="122">
        <f t="shared" si="2"/>
        <v>193512000</v>
      </c>
      <c r="D31" s="122"/>
      <c r="E31" s="123">
        <v>0.111</v>
      </c>
      <c r="F31" s="55">
        <v>5713744</v>
      </c>
      <c r="G31" s="124">
        <f>SUM(F25:F31)</f>
        <v>25685591</v>
      </c>
      <c r="H31" s="124">
        <f>SUM(D24:D31)</f>
        <v>32252000</v>
      </c>
      <c r="I31" s="125">
        <f>SUM(G31:H31)</f>
        <v>57937591</v>
      </c>
    </row>
    <row r="32" spans="1:9" ht="12.75">
      <c r="A32" s="126">
        <v>38440</v>
      </c>
      <c r="B32" s="127">
        <f t="shared" si="1"/>
        <v>88</v>
      </c>
      <c r="C32" s="56">
        <f t="shared" si="2"/>
        <v>185449000</v>
      </c>
      <c r="D32" s="55">
        <v>8063000</v>
      </c>
      <c r="E32" s="128"/>
      <c r="F32" s="127"/>
      <c r="G32" s="127"/>
      <c r="H32" s="127"/>
      <c r="I32" s="276"/>
    </row>
    <row r="33" spans="1:9" ht="12.75">
      <c r="A33" s="113">
        <v>38442</v>
      </c>
      <c r="B33" s="114">
        <f t="shared" si="1"/>
        <v>2</v>
      </c>
      <c r="C33" s="55">
        <f t="shared" si="2"/>
        <v>185449000</v>
      </c>
      <c r="D33" s="55"/>
      <c r="E33" s="115">
        <v>0.0946</v>
      </c>
      <c r="F33" s="55">
        <v>4581137</v>
      </c>
      <c r="G33" s="114"/>
      <c r="H33" s="114"/>
      <c r="I33" s="265"/>
    </row>
    <row r="34" spans="1:9" ht="12.75">
      <c r="A34" s="113">
        <v>38531</v>
      </c>
      <c r="B34" s="114">
        <f t="shared" si="1"/>
        <v>89</v>
      </c>
      <c r="C34" s="55">
        <f t="shared" si="2"/>
        <v>177386000</v>
      </c>
      <c r="D34" s="55">
        <v>8063000</v>
      </c>
      <c r="E34" s="118"/>
      <c r="F34" s="114"/>
      <c r="G34" s="114"/>
      <c r="H34" s="114"/>
      <c r="I34" s="265"/>
    </row>
    <row r="35" spans="1:9" ht="12.75">
      <c r="A35" s="113">
        <v>38533</v>
      </c>
      <c r="B35" s="114">
        <f t="shared" si="1"/>
        <v>2</v>
      </c>
      <c r="C35" s="55">
        <f t="shared" si="2"/>
        <v>177386000</v>
      </c>
      <c r="D35" s="55"/>
      <c r="E35" s="115">
        <v>0.0784</v>
      </c>
      <c r="F35" s="55">
        <v>3680020</v>
      </c>
      <c r="G35" s="114"/>
      <c r="H35" s="114"/>
      <c r="I35" s="265"/>
    </row>
    <row r="36" spans="1:9" ht="12.75">
      <c r="A36" s="113">
        <v>38623</v>
      </c>
      <c r="B36" s="114">
        <f t="shared" si="1"/>
        <v>90</v>
      </c>
      <c r="C36" s="55">
        <f t="shared" si="2"/>
        <v>169323000</v>
      </c>
      <c r="D36" s="55">
        <v>8063000</v>
      </c>
      <c r="E36" s="118"/>
      <c r="F36" s="114"/>
      <c r="G36" s="114"/>
      <c r="H36" s="114"/>
      <c r="I36" s="265"/>
    </row>
    <row r="37" spans="1:9" ht="12.75">
      <c r="A37" s="113">
        <v>38625</v>
      </c>
      <c r="B37" s="114">
        <f t="shared" si="1"/>
        <v>2</v>
      </c>
      <c r="C37" s="55">
        <f t="shared" si="2"/>
        <v>169323000</v>
      </c>
      <c r="D37" s="55"/>
      <c r="E37" s="115">
        <v>0.0702</v>
      </c>
      <c r="F37" s="55">
        <v>3183201</v>
      </c>
      <c r="G37" s="114"/>
      <c r="H37" s="114"/>
      <c r="I37" s="265"/>
    </row>
    <row r="38" spans="1:9" ht="12.75">
      <c r="A38" s="113">
        <v>38714</v>
      </c>
      <c r="B38" s="114">
        <f t="shared" si="1"/>
        <v>89</v>
      </c>
      <c r="C38" s="55">
        <f t="shared" si="2"/>
        <v>161260000</v>
      </c>
      <c r="D38" s="55">
        <v>8063000</v>
      </c>
      <c r="E38" s="118"/>
      <c r="F38" s="114"/>
      <c r="G38" s="114"/>
      <c r="H38" s="114"/>
      <c r="I38" s="265"/>
    </row>
    <row r="39" spans="1:9" ht="12.75">
      <c r="A39" s="120">
        <v>38717</v>
      </c>
      <c r="B39" s="121">
        <f t="shared" si="1"/>
        <v>3</v>
      </c>
      <c r="C39" s="122">
        <f t="shared" si="2"/>
        <v>161260000</v>
      </c>
      <c r="D39" s="122"/>
      <c r="E39" s="123">
        <v>0.061</v>
      </c>
      <c r="F39" s="55">
        <f>((C38+D38)*E39/360*B38)+((C39+D39)*E39/360*B39)</f>
        <v>2635458.7416666667</v>
      </c>
      <c r="G39" s="124">
        <f>SUM(F33:F39)</f>
        <v>14079816.741666667</v>
      </c>
      <c r="H39" s="124">
        <f>SUM(D32:D39)</f>
        <v>32252000</v>
      </c>
      <c r="I39" s="125">
        <f>SUM(G39:H39)</f>
        <v>46331816.74166667</v>
      </c>
    </row>
    <row r="40" spans="1:9" ht="12.75">
      <c r="A40" s="126">
        <v>38804</v>
      </c>
      <c r="B40" s="127">
        <f t="shared" si="1"/>
        <v>87</v>
      </c>
      <c r="C40" s="56">
        <f t="shared" si="2"/>
        <v>153197000</v>
      </c>
      <c r="D40" s="55">
        <v>8063000</v>
      </c>
      <c r="E40" s="128"/>
      <c r="F40" s="127"/>
      <c r="G40" s="127"/>
      <c r="H40" s="127"/>
      <c r="I40" s="276"/>
    </row>
    <row r="41" spans="1:9" ht="12.75">
      <c r="A41" s="113">
        <v>38807</v>
      </c>
      <c r="B41" s="114">
        <f t="shared" si="1"/>
        <v>3</v>
      </c>
      <c r="C41" s="55">
        <f t="shared" si="2"/>
        <v>153197000</v>
      </c>
      <c r="D41" s="55"/>
      <c r="E41" s="115">
        <f>E39</f>
        <v>0.061</v>
      </c>
      <c r="F41" s="55">
        <f>((C40+D40)*E41/360*B40)+((C41+D41)*E41/360*B41)</f>
        <v>2455116.308333333</v>
      </c>
      <c r="G41" s="114"/>
      <c r="H41" s="114"/>
      <c r="I41" s="265"/>
    </row>
    <row r="42" spans="1:9" ht="12.75">
      <c r="A42" s="113">
        <v>38896</v>
      </c>
      <c r="B42" s="114">
        <f t="shared" si="1"/>
        <v>89</v>
      </c>
      <c r="C42" s="55">
        <f t="shared" si="2"/>
        <v>145134000</v>
      </c>
      <c r="D42" s="55">
        <v>8063000</v>
      </c>
      <c r="E42" s="118"/>
      <c r="F42" s="114"/>
      <c r="G42" s="114"/>
      <c r="H42" s="114"/>
      <c r="I42" s="265"/>
    </row>
    <row r="43" spans="1:9" ht="12.75">
      <c r="A43" s="113">
        <v>38898</v>
      </c>
      <c r="B43" s="114">
        <f t="shared" si="1"/>
        <v>2</v>
      </c>
      <c r="C43" s="55">
        <f t="shared" si="2"/>
        <v>145134000</v>
      </c>
      <c r="D43" s="55"/>
      <c r="E43" s="115">
        <f>E41</f>
        <v>0.061</v>
      </c>
      <c r="F43" s="55">
        <f>((C42+D42)*E43/360*B42)+((C43+D43)*E43/360*B43)</f>
        <v>2359480.169444444</v>
      </c>
      <c r="G43" s="114"/>
      <c r="H43" s="114"/>
      <c r="I43" s="265"/>
    </row>
    <row r="44" spans="1:9" ht="12.75">
      <c r="A44" s="113">
        <v>38988</v>
      </c>
      <c r="B44" s="114">
        <f t="shared" si="1"/>
        <v>90</v>
      </c>
      <c r="C44" s="55">
        <f t="shared" si="2"/>
        <v>137071000</v>
      </c>
      <c r="D44" s="55">
        <v>8063000</v>
      </c>
      <c r="E44" s="118"/>
      <c r="F44" s="114"/>
      <c r="G44" s="114"/>
      <c r="H44" s="114"/>
      <c r="I44" s="265"/>
    </row>
    <row r="45" spans="1:9" ht="12.75">
      <c r="A45" s="113">
        <v>38990</v>
      </c>
      <c r="B45" s="114">
        <f t="shared" si="1"/>
        <v>2</v>
      </c>
      <c r="C45" s="55">
        <f t="shared" si="2"/>
        <v>137071000</v>
      </c>
      <c r="D45" s="55"/>
      <c r="E45" s="115">
        <f>E43</f>
        <v>0.061</v>
      </c>
      <c r="F45" s="55">
        <f>((C44+D44)*E45/360*B44)+((C45+D45)*E45/360*B45)</f>
        <v>2259745.3388888887</v>
      </c>
      <c r="G45" s="114"/>
      <c r="H45" s="114"/>
      <c r="I45" s="265"/>
    </row>
    <row r="46" spans="1:9" ht="12.75">
      <c r="A46" s="113">
        <v>39079</v>
      </c>
      <c r="B46" s="114">
        <f t="shared" si="1"/>
        <v>89</v>
      </c>
      <c r="C46" s="55">
        <f t="shared" si="2"/>
        <v>129008000</v>
      </c>
      <c r="D46" s="55">
        <v>8063000</v>
      </c>
      <c r="E46" s="118"/>
      <c r="F46" s="114"/>
      <c r="G46" s="114"/>
      <c r="H46" s="114"/>
      <c r="I46" s="265"/>
    </row>
    <row r="47" spans="1:9" ht="12.75">
      <c r="A47" s="120">
        <v>39082</v>
      </c>
      <c r="B47" s="121">
        <f t="shared" si="1"/>
        <v>3</v>
      </c>
      <c r="C47" s="122">
        <f t="shared" si="2"/>
        <v>129008000</v>
      </c>
      <c r="D47" s="122"/>
      <c r="E47" s="123">
        <f>E45</f>
        <v>0.061</v>
      </c>
      <c r="F47" s="55">
        <f>((C46+D46)*E47/360*B46)+((C47+D47)*E47/360*B47)</f>
        <v>2132685.8972222223</v>
      </c>
      <c r="G47" s="124">
        <f>SUM(F41:F47)</f>
        <v>9207027.71388889</v>
      </c>
      <c r="H47" s="124">
        <f>SUM(D40:D47)</f>
        <v>32252000</v>
      </c>
      <c r="I47" s="125">
        <f>SUM(G47:H47)</f>
        <v>41459027.71388889</v>
      </c>
    </row>
    <row r="48" spans="1:9" ht="12.75">
      <c r="A48" s="126">
        <v>39169</v>
      </c>
      <c r="B48" s="127">
        <f t="shared" si="1"/>
        <v>87</v>
      </c>
      <c r="C48" s="56">
        <f t="shared" si="2"/>
        <v>120945000</v>
      </c>
      <c r="D48" s="55">
        <v>8063000</v>
      </c>
      <c r="E48" s="128"/>
      <c r="F48" s="127"/>
      <c r="G48" s="127"/>
      <c r="H48" s="127"/>
      <c r="I48" s="276"/>
    </row>
    <row r="49" spans="1:9" ht="12.75">
      <c r="A49" s="113">
        <v>39172</v>
      </c>
      <c r="B49" s="114">
        <f t="shared" si="1"/>
        <v>3</v>
      </c>
      <c r="C49" s="55">
        <f t="shared" si="2"/>
        <v>120945000</v>
      </c>
      <c r="D49" s="55"/>
      <c r="E49" s="115">
        <f>E47</f>
        <v>0.061</v>
      </c>
      <c r="F49" s="55">
        <f>((C48+D48)*E49/360*B48)+((C49+D49)*E49/360*B49)</f>
        <v>1963273.3083333333</v>
      </c>
      <c r="G49" s="114"/>
      <c r="H49" s="114"/>
      <c r="I49" s="265"/>
    </row>
    <row r="50" spans="1:9" ht="12.75">
      <c r="A50" s="113">
        <v>39261</v>
      </c>
      <c r="B50" s="114">
        <f t="shared" si="1"/>
        <v>89</v>
      </c>
      <c r="C50" s="55">
        <f t="shared" si="2"/>
        <v>112882000</v>
      </c>
      <c r="D50" s="55">
        <v>8063000</v>
      </c>
      <c r="E50" s="118"/>
      <c r="F50" s="114"/>
      <c r="G50" s="114"/>
      <c r="H50" s="114"/>
      <c r="I50" s="265"/>
    </row>
    <row r="51" spans="1:9" ht="12.75">
      <c r="A51" s="113">
        <v>39263</v>
      </c>
      <c r="B51" s="114">
        <f t="shared" si="1"/>
        <v>2</v>
      </c>
      <c r="C51" s="55">
        <f t="shared" si="2"/>
        <v>112882000</v>
      </c>
      <c r="D51" s="55"/>
      <c r="E51" s="115">
        <f>E49</f>
        <v>0.061</v>
      </c>
      <c r="F51" s="55">
        <f>((C50+D50)*E51/360*B50)+((C51+D51)*E51/360*B51)</f>
        <v>1862172.2472222222</v>
      </c>
      <c r="G51" s="114"/>
      <c r="H51" s="114"/>
      <c r="I51" s="265"/>
    </row>
    <row r="52" spans="1:9" ht="12.75">
      <c r="A52" s="113">
        <v>39353</v>
      </c>
      <c r="B52" s="114">
        <f t="shared" si="1"/>
        <v>90</v>
      </c>
      <c r="C52" s="55">
        <f t="shared" si="2"/>
        <v>104819000</v>
      </c>
      <c r="D52" s="55">
        <v>8063000</v>
      </c>
      <c r="E52" s="118"/>
      <c r="F52" s="114"/>
      <c r="G52" s="114"/>
      <c r="H52" s="114"/>
      <c r="I52" s="265"/>
    </row>
    <row r="53" spans="1:9" ht="12.75">
      <c r="A53" s="113">
        <v>39355</v>
      </c>
      <c r="B53" s="114">
        <f t="shared" si="1"/>
        <v>2</v>
      </c>
      <c r="C53" s="55">
        <f t="shared" si="2"/>
        <v>104819000</v>
      </c>
      <c r="D53" s="55"/>
      <c r="E53" s="115">
        <f>E51</f>
        <v>0.061</v>
      </c>
      <c r="F53" s="55">
        <f>((C52+D52)*E53/360*B52)+((C53+D53)*E53/360*B53)</f>
        <v>1756972.4944444445</v>
      </c>
      <c r="G53" s="114"/>
      <c r="H53" s="114"/>
      <c r="I53" s="265"/>
    </row>
    <row r="54" spans="1:9" ht="12.75">
      <c r="A54" s="113">
        <v>39444</v>
      </c>
      <c r="B54" s="114">
        <f t="shared" si="1"/>
        <v>89</v>
      </c>
      <c r="C54" s="55">
        <f t="shared" si="2"/>
        <v>96756000</v>
      </c>
      <c r="D54" s="55">
        <v>8063000</v>
      </c>
      <c r="E54" s="118"/>
      <c r="F54" s="114"/>
      <c r="G54" s="114"/>
      <c r="H54" s="114"/>
      <c r="I54" s="265"/>
    </row>
    <row r="55" spans="1:9" ht="12.75">
      <c r="A55" s="120">
        <v>39447</v>
      </c>
      <c r="B55" s="121">
        <f t="shared" si="1"/>
        <v>3</v>
      </c>
      <c r="C55" s="122">
        <f t="shared" si="2"/>
        <v>96756000</v>
      </c>
      <c r="D55" s="122"/>
      <c r="E55" s="123">
        <f>E53</f>
        <v>0.061</v>
      </c>
      <c r="F55" s="122">
        <f>((C54+D54)*E55/360*B54)+((C55+D55)*E55/360*B55)</f>
        <v>1629913.0527777777</v>
      </c>
      <c r="G55" s="124">
        <f>SUM(F49:F55)</f>
        <v>7212331.102777777</v>
      </c>
      <c r="H55" s="124">
        <f>SUM(D48:D55)</f>
        <v>32252000</v>
      </c>
      <c r="I55" s="125">
        <f>SUM(G55:H55)</f>
        <v>39464331.10277778</v>
      </c>
    </row>
    <row r="56" spans="1:9" ht="12.75">
      <c r="A56" s="126">
        <v>39535</v>
      </c>
      <c r="B56" s="127">
        <f t="shared" si="1"/>
        <v>88</v>
      </c>
      <c r="C56" s="56">
        <f t="shared" si="2"/>
        <v>88693000</v>
      </c>
      <c r="D56" s="56">
        <v>8063000</v>
      </c>
      <c r="E56" s="128"/>
      <c r="F56" s="127"/>
      <c r="G56" s="127"/>
      <c r="H56" s="127"/>
      <c r="I56" s="276"/>
    </row>
    <row r="57" spans="1:9" ht="12.75">
      <c r="A57" s="113">
        <v>39538</v>
      </c>
      <c r="B57" s="114">
        <f t="shared" si="1"/>
        <v>3</v>
      </c>
      <c r="C57" s="55">
        <f t="shared" si="2"/>
        <v>88693000</v>
      </c>
      <c r="D57" s="55"/>
      <c r="E57" s="115">
        <f>E55</f>
        <v>0.061</v>
      </c>
      <c r="F57" s="55">
        <f>((C56+D56)*E57/360*B56)+((C57+D57)*E57/360*B57)</f>
        <v>1487825.075</v>
      </c>
      <c r="G57" s="114"/>
      <c r="H57" s="114"/>
      <c r="I57" s="265"/>
    </row>
    <row r="58" spans="1:9" ht="12.75">
      <c r="A58" s="113">
        <v>39627</v>
      </c>
      <c r="B58" s="114">
        <f t="shared" si="1"/>
        <v>89</v>
      </c>
      <c r="C58" s="55">
        <f t="shared" si="2"/>
        <v>80630000</v>
      </c>
      <c r="D58" s="55">
        <v>8063000</v>
      </c>
      <c r="E58" s="118"/>
      <c r="F58" s="114"/>
      <c r="G58" s="114"/>
      <c r="H58" s="114"/>
      <c r="I58" s="265"/>
    </row>
    <row r="59" spans="1:9" ht="12.75">
      <c r="A59" s="113">
        <v>39629</v>
      </c>
      <c r="B59" s="114">
        <f t="shared" si="1"/>
        <v>2</v>
      </c>
      <c r="C59" s="55">
        <f t="shared" si="2"/>
        <v>80630000</v>
      </c>
      <c r="D59" s="55"/>
      <c r="E59" s="115">
        <f>E57</f>
        <v>0.061</v>
      </c>
      <c r="F59" s="55">
        <f>((C58+D58)*E59/360*B58)+((C59+D59)*E59/360*B59)</f>
        <v>1364864.325</v>
      </c>
      <c r="G59" s="114"/>
      <c r="H59" s="114"/>
      <c r="I59" s="265"/>
    </row>
    <row r="60" spans="1:9" ht="12.75">
      <c r="A60" s="113">
        <v>39719</v>
      </c>
      <c r="B60" s="114">
        <f t="shared" si="1"/>
        <v>90</v>
      </c>
      <c r="C60" s="55">
        <f t="shared" si="2"/>
        <v>72567000</v>
      </c>
      <c r="D60" s="55">
        <v>8063000</v>
      </c>
      <c r="E60" s="118"/>
      <c r="F60" s="114"/>
      <c r="G60" s="114"/>
      <c r="H60" s="114"/>
      <c r="I60" s="265"/>
    </row>
    <row r="61" spans="1:9" ht="12.75">
      <c r="A61" s="113">
        <v>39721</v>
      </c>
      <c r="B61" s="114">
        <f t="shared" si="1"/>
        <v>2</v>
      </c>
      <c r="C61" s="55">
        <f t="shared" si="2"/>
        <v>72567000</v>
      </c>
      <c r="D61" s="55"/>
      <c r="E61" s="115">
        <f>E59</f>
        <v>0.061</v>
      </c>
      <c r="F61" s="55">
        <f>((C60+D60)*E61/360*B60)+((C61+D61)*E61/360*B61)</f>
        <v>1254199.65</v>
      </c>
      <c r="G61" s="114"/>
      <c r="H61" s="114"/>
      <c r="I61" s="265"/>
    </row>
    <row r="62" spans="1:9" ht="12.75">
      <c r="A62" s="113">
        <v>39810</v>
      </c>
      <c r="B62" s="114">
        <f t="shared" si="1"/>
        <v>89</v>
      </c>
      <c r="C62" s="55">
        <f t="shared" si="2"/>
        <v>64504000</v>
      </c>
      <c r="D62" s="55">
        <v>8063000</v>
      </c>
      <c r="E62" s="118"/>
      <c r="F62" s="114"/>
      <c r="G62" s="114"/>
      <c r="H62" s="114"/>
      <c r="I62" s="265"/>
    </row>
    <row r="63" spans="1:9" ht="12.75">
      <c r="A63" s="120">
        <v>39813</v>
      </c>
      <c r="B63" s="121">
        <f t="shared" si="1"/>
        <v>3</v>
      </c>
      <c r="C63" s="122">
        <f t="shared" si="2"/>
        <v>64504000</v>
      </c>
      <c r="D63" s="122"/>
      <c r="E63" s="123">
        <f>E61</f>
        <v>0.061</v>
      </c>
      <c r="F63" s="55">
        <f>((C62+D62)*E63/360*B62)+((C63+D63)*E63/360*B63)</f>
        <v>1127140.2083333335</v>
      </c>
      <c r="G63" s="124">
        <f>SUM(F57:F63)</f>
        <v>5234029.258333333</v>
      </c>
      <c r="H63" s="124">
        <f>SUM(D56:D63)</f>
        <v>32252000</v>
      </c>
      <c r="I63" s="125">
        <f>SUM(G63:H63)</f>
        <v>37486029.25833333</v>
      </c>
    </row>
    <row r="64" spans="1:9" ht="12.75">
      <c r="A64" s="126">
        <v>39900</v>
      </c>
      <c r="B64" s="127">
        <f t="shared" si="1"/>
        <v>87</v>
      </c>
      <c r="C64" s="56">
        <f t="shared" si="2"/>
        <v>56441000</v>
      </c>
      <c r="D64" s="55">
        <v>8063000</v>
      </c>
      <c r="E64" s="128"/>
      <c r="F64" s="127"/>
      <c r="G64" s="127"/>
      <c r="H64" s="127"/>
      <c r="I64" s="276"/>
    </row>
    <row r="65" spans="1:9" ht="12.75">
      <c r="A65" s="113">
        <v>39903</v>
      </c>
      <c r="B65" s="114">
        <f t="shared" si="1"/>
        <v>3</v>
      </c>
      <c r="C65" s="55">
        <f t="shared" si="2"/>
        <v>56441000</v>
      </c>
      <c r="D65" s="55"/>
      <c r="E65" s="115">
        <f>E63</f>
        <v>0.061</v>
      </c>
      <c r="F65" s="55">
        <f>((C64+D64)*E65/360*B64)+((C65+D65)*E65/360*B65)</f>
        <v>979587.3083333333</v>
      </c>
      <c r="G65" s="114"/>
      <c r="H65" s="114"/>
      <c r="I65" s="265"/>
    </row>
    <row r="66" spans="1:9" ht="12.75">
      <c r="A66" s="113">
        <v>39992</v>
      </c>
      <c r="B66" s="114">
        <f t="shared" si="1"/>
        <v>89</v>
      </c>
      <c r="C66" s="55">
        <f t="shared" si="2"/>
        <v>48378000</v>
      </c>
      <c r="D66" s="55">
        <v>8063000</v>
      </c>
      <c r="E66" s="118"/>
      <c r="F66" s="114"/>
      <c r="G66" s="114"/>
      <c r="H66" s="114"/>
      <c r="I66" s="265"/>
    </row>
    <row r="67" spans="1:9" ht="12.75">
      <c r="A67" s="113">
        <v>39994</v>
      </c>
      <c r="B67" s="114">
        <f t="shared" si="1"/>
        <v>2</v>
      </c>
      <c r="C67" s="55">
        <f t="shared" si="2"/>
        <v>48378000</v>
      </c>
      <c r="D67" s="55"/>
      <c r="E67" s="115">
        <f>E65</f>
        <v>0.061</v>
      </c>
      <c r="F67" s="55">
        <f>((C66+D66)*E67/360*B66)+((C67+D67)*E67/360*B67)</f>
        <v>867556.4027777779</v>
      </c>
      <c r="G67" s="114"/>
      <c r="H67" s="114"/>
      <c r="I67" s="265"/>
    </row>
    <row r="68" spans="1:9" ht="12.75">
      <c r="A68" s="113">
        <v>40084</v>
      </c>
      <c r="B68" s="114">
        <f t="shared" si="1"/>
        <v>90</v>
      </c>
      <c r="C68" s="55">
        <f t="shared" si="2"/>
        <v>40315000</v>
      </c>
      <c r="D68" s="55">
        <v>8063000</v>
      </c>
      <c r="E68" s="118"/>
      <c r="F68" s="114"/>
      <c r="G68" s="114"/>
      <c r="H68" s="114"/>
      <c r="I68" s="265"/>
    </row>
    <row r="69" spans="1:9" ht="12.75">
      <c r="A69" s="113">
        <v>40086</v>
      </c>
      <c r="B69" s="114">
        <f t="shared" si="1"/>
        <v>2</v>
      </c>
      <c r="C69" s="55">
        <f t="shared" si="2"/>
        <v>40315000</v>
      </c>
      <c r="D69" s="55"/>
      <c r="E69" s="115">
        <f>E67</f>
        <v>0.061</v>
      </c>
      <c r="F69" s="55">
        <f>((C68+D68)*E69/360*B68)+((C69+D69)*E69/360*B69)</f>
        <v>751426.8055555555</v>
      </c>
      <c r="G69" s="114"/>
      <c r="H69" s="114"/>
      <c r="I69" s="265"/>
    </row>
    <row r="70" spans="1:9" ht="12.75">
      <c r="A70" s="113">
        <v>40175</v>
      </c>
      <c r="B70" s="114">
        <f t="shared" si="1"/>
        <v>89</v>
      </c>
      <c r="C70" s="55">
        <f t="shared" si="2"/>
        <v>32252000</v>
      </c>
      <c r="D70" s="55">
        <v>8063000</v>
      </c>
      <c r="E70" s="118"/>
      <c r="F70" s="114"/>
      <c r="G70" s="114"/>
      <c r="H70" s="114"/>
      <c r="I70" s="265"/>
    </row>
    <row r="71" spans="1:9" ht="12.75">
      <c r="A71" s="120">
        <v>40178</v>
      </c>
      <c r="B71" s="121">
        <f t="shared" si="1"/>
        <v>3</v>
      </c>
      <c r="C71" s="122">
        <f t="shared" si="2"/>
        <v>32252000</v>
      </c>
      <c r="D71" s="122"/>
      <c r="E71" s="123">
        <f>E69</f>
        <v>0.061</v>
      </c>
      <c r="F71" s="55">
        <f>((C70+D70)*E71/360*B70)+((C71+D71)*E71/360*B71)</f>
        <v>624367.3638888889</v>
      </c>
      <c r="G71" s="124">
        <f>SUM(F65:F71)</f>
        <v>3222937.880555555</v>
      </c>
      <c r="H71" s="124">
        <f>SUM(D64:D71)</f>
        <v>32252000</v>
      </c>
      <c r="I71" s="125">
        <f>SUM(G71:H71)</f>
        <v>35474937.880555555</v>
      </c>
    </row>
    <row r="72" spans="1:9" ht="12.75">
      <c r="A72" s="126">
        <v>40265</v>
      </c>
      <c r="B72" s="127">
        <f t="shared" si="1"/>
        <v>87</v>
      </c>
      <c r="C72" s="56">
        <f t="shared" si="2"/>
        <v>24189000</v>
      </c>
      <c r="D72" s="55">
        <v>8063000</v>
      </c>
      <c r="E72" s="128"/>
      <c r="F72" s="127"/>
      <c r="G72" s="127"/>
      <c r="H72" s="127"/>
      <c r="I72" s="276"/>
    </row>
    <row r="73" spans="1:9" ht="12.75">
      <c r="A73" s="113">
        <v>40268</v>
      </c>
      <c r="B73" s="114">
        <f t="shared" si="1"/>
        <v>3</v>
      </c>
      <c r="C73" s="55">
        <f t="shared" si="2"/>
        <v>24189000</v>
      </c>
      <c r="D73" s="55"/>
      <c r="E73" s="115">
        <f>E71</f>
        <v>0.061</v>
      </c>
      <c r="F73" s="55">
        <f>((C72+D72)*E73/360*B72)+((C73+D73)*E73/360*B73)</f>
        <v>487744.30833333335</v>
      </c>
      <c r="G73" s="114"/>
      <c r="H73" s="114"/>
      <c r="I73" s="265"/>
    </row>
    <row r="74" spans="1:9" ht="12.75">
      <c r="A74" s="113">
        <v>40357</v>
      </c>
      <c r="B74" s="114">
        <f t="shared" si="1"/>
        <v>89</v>
      </c>
      <c r="C74" s="55">
        <f t="shared" si="2"/>
        <v>16126000</v>
      </c>
      <c r="D74" s="55">
        <v>8063000</v>
      </c>
      <c r="G74" s="114"/>
      <c r="H74" s="114"/>
      <c r="I74" s="265"/>
    </row>
    <row r="75" spans="1:9" ht="12.75">
      <c r="A75" s="113">
        <v>40359</v>
      </c>
      <c r="B75" s="114">
        <f t="shared" si="1"/>
        <v>2</v>
      </c>
      <c r="C75" s="55">
        <f t="shared" si="2"/>
        <v>16126000</v>
      </c>
      <c r="D75" s="55"/>
      <c r="E75" s="115">
        <f>E73</f>
        <v>0.061</v>
      </c>
      <c r="F75" s="55">
        <f>((C74+D74)*E75/360*B74)+((C75+D75)*E75/360*B75)</f>
        <v>370248.48055555555</v>
      </c>
      <c r="G75" s="114"/>
      <c r="H75" s="114"/>
      <c r="I75" s="265"/>
    </row>
    <row r="76" spans="1:9" ht="12.75">
      <c r="A76" s="113">
        <v>40449</v>
      </c>
      <c r="B76" s="114">
        <f t="shared" si="1"/>
        <v>90</v>
      </c>
      <c r="C76" s="55">
        <f t="shared" si="2"/>
        <v>8063000</v>
      </c>
      <c r="D76" s="55">
        <v>8063000</v>
      </c>
      <c r="E76" s="115"/>
      <c r="F76" s="55"/>
      <c r="G76" s="114"/>
      <c r="H76" s="114"/>
      <c r="I76" s="265"/>
    </row>
    <row r="77" spans="1:9" ht="12.75">
      <c r="A77" s="113">
        <v>40451</v>
      </c>
      <c r="B77" s="114">
        <f t="shared" si="1"/>
        <v>2</v>
      </c>
      <c r="C77" s="55">
        <f t="shared" si="2"/>
        <v>8063000</v>
      </c>
      <c r="D77" s="55"/>
      <c r="E77" s="115">
        <f>E75</f>
        <v>0.061</v>
      </c>
      <c r="F77" s="55">
        <f>((C76+D76)*E77/360*B76)+((C77+D77)*E77/360*B77)</f>
        <v>248653.9611111111</v>
      </c>
      <c r="G77" s="114"/>
      <c r="H77" s="114"/>
      <c r="I77" s="265"/>
    </row>
    <row r="78" spans="1:9" ht="13.5" thickBot="1">
      <c r="A78" s="137">
        <v>40540</v>
      </c>
      <c r="B78" s="114">
        <f t="shared" si="1"/>
        <v>89</v>
      </c>
      <c r="C78" s="55">
        <f t="shared" si="2"/>
        <v>0</v>
      </c>
      <c r="D78" s="55">
        <v>8063000</v>
      </c>
      <c r="E78" s="115">
        <f>E77</f>
        <v>0.061</v>
      </c>
      <c r="F78" s="55">
        <f>((C78+D78)*E78/360*B78)</f>
        <v>121594.51944444445</v>
      </c>
      <c r="G78" s="293">
        <f>SUM(F72:F78)</f>
        <v>1228241.2694444444</v>
      </c>
      <c r="H78" s="293">
        <f>SUM(D72:D78)</f>
        <v>32252000</v>
      </c>
      <c r="I78" s="294">
        <f>SUM(G78:H78)</f>
        <v>33480241.269444443</v>
      </c>
    </row>
    <row r="79" spans="1:9" ht="13.5" thickTop="1">
      <c r="A79" s="425" t="s">
        <v>14</v>
      </c>
      <c r="B79" s="426"/>
      <c r="C79" s="427"/>
      <c r="D79" s="143">
        <f>SUM(D8:D78)</f>
        <v>286663000</v>
      </c>
      <c r="E79" s="144"/>
      <c r="F79" s="143">
        <f>SUM(F8:F78)</f>
        <v>107055203.96666667</v>
      </c>
      <c r="G79" s="143">
        <f>SUM(G8:G78)</f>
        <v>107055203.96666667</v>
      </c>
      <c r="H79" s="143">
        <f>SUM(H8:H78)</f>
        <v>286663000</v>
      </c>
      <c r="I79" s="145">
        <f>SUM(I8:I78)</f>
        <v>393718203.9666667</v>
      </c>
    </row>
    <row r="80" spans="1:2" ht="12.75">
      <c r="A80" s="146"/>
      <c r="B80" s="79"/>
    </row>
    <row r="81" spans="1:2" ht="12.75">
      <c r="A81" s="146"/>
      <c r="B81" s="79"/>
    </row>
    <row r="82" spans="2:6" ht="12.75">
      <c r="B82" s="81" t="s">
        <v>140</v>
      </c>
      <c r="C82" s="81"/>
      <c r="D82" s="81"/>
      <c r="E82" s="81"/>
      <c r="F82" s="329">
        <v>139059100</v>
      </c>
    </row>
    <row r="83" spans="2:6" ht="13.5" thickBot="1">
      <c r="B83" s="327" t="s">
        <v>141</v>
      </c>
      <c r="C83" s="327"/>
      <c r="D83" s="327"/>
      <c r="E83" s="327"/>
      <c r="F83" s="330">
        <v>147603900</v>
      </c>
    </row>
    <row r="84" spans="2:6" ht="13.5" thickTop="1">
      <c r="B84" s="332" t="s">
        <v>139</v>
      </c>
      <c r="C84" s="189"/>
      <c r="D84" s="189"/>
      <c r="E84" s="428">
        <f>SUM(F82:F83)</f>
        <v>286663000</v>
      </c>
      <c r="F84" s="428"/>
    </row>
    <row r="87" spans="5:6" ht="12.75">
      <c r="E87" s="81"/>
      <c r="F87" s="147"/>
    </row>
    <row r="88" spans="5:6" ht="12.75">
      <c r="E88" s="81"/>
      <c r="F88" s="147"/>
    </row>
    <row r="89" ht="12.75">
      <c r="E89" s="81"/>
    </row>
    <row r="90" ht="12.75">
      <c r="E90" s="81"/>
    </row>
    <row r="91" spans="5:6" ht="12.75">
      <c r="E91" s="81"/>
      <c r="F91" s="147"/>
    </row>
  </sheetData>
  <mergeCells count="2">
    <mergeCell ref="A79:C79"/>
    <mergeCell ref="E84:F84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CE,Félkövér"&amp;12Adósságszolgálat számítása az OTP tájékoztatása alapján&amp;"Times New Roman CE,Félkövér dőlt"
2001. decemberben és 2002. júniusban felvett 286.663 eFt hitel</oddHeader>
    <oddFooter>&amp;L&amp;9Nyomtatás dátuma: &amp;D
C:\Andi\adósságszolgálat\&amp;F\&amp;A&amp;R&amp;P/&amp;N</oddFooter>
  </headerFooter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pane ySplit="7" topLeftCell="BM2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625" style="81" customWidth="1"/>
    <col min="2" max="2" width="6.375" style="81" customWidth="1"/>
    <col min="3" max="3" width="10.875" style="81" customWidth="1"/>
    <col min="4" max="4" width="12.375" style="81" customWidth="1"/>
    <col min="5" max="5" width="7.375" style="148" customWidth="1"/>
    <col min="6" max="6" width="12.625" style="81" bestFit="1" customWidth="1"/>
    <col min="7" max="7" width="12.50390625" style="81" customWidth="1"/>
    <col min="8" max="9" width="12.625" style="81" bestFit="1" customWidth="1"/>
    <col min="10" max="10" width="9.375" style="81" customWidth="1"/>
    <col min="11" max="11" width="11.125" style="81" bestFit="1" customWidth="1"/>
    <col min="12" max="16384" width="9.375" style="81" customWidth="1"/>
  </cols>
  <sheetData>
    <row r="1" spans="1:9" ht="12.75">
      <c r="A1" s="189" t="s">
        <v>106</v>
      </c>
      <c r="B1" s="188"/>
      <c r="C1" s="189"/>
      <c r="D1" s="189"/>
      <c r="E1" s="190"/>
      <c r="F1" s="189"/>
      <c r="H1" s="189"/>
      <c r="I1" s="189"/>
    </row>
    <row r="2" spans="1:9" ht="12.75">
      <c r="A2" s="81" t="s">
        <v>65</v>
      </c>
      <c r="C2" s="81" t="s">
        <v>66</v>
      </c>
      <c r="E2" s="191"/>
      <c r="F2" s="158"/>
      <c r="G2" s="158"/>
      <c r="H2" s="158"/>
      <c r="I2" s="158"/>
    </row>
    <row r="3" spans="1:9" ht="12.75">
      <c r="A3" s="161" t="s">
        <v>15</v>
      </c>
      <c r="B3" s="159"/>
      <c r="C3" s="158"/>
      <c r="D3" s="158"/>
      <c r="E3" s="191"/>
      <c r="F3" s="158"/>
      <c r="G3" s="158"/>
      <c r="H3" s="158"/>
      <c r="I3" s="158"/>
    </row>
    <row r="4" spans="1:9" ht="12.75">
      <c r="A4" s="161"/>
      <c r="B4" s="159"/>
      <c r="C4" s="158"/>
      <c r="D4" s="158"/>
      <c r="E4" s="191"/>
      <c r="F4" s="158"/>
      <c r="G4" s="158"/>
      <c r="H4" s="158"/>
      <c r="I4" s="211" t="s">
        <v>2</v>
      </c>
    </row>
    <row r="5" spans="1:9" ht="12.75">
      <c r="A5" s="89" t="s">
        <v>3</v>
      </c>
      <c r="B5" s="90" t="s">
        <v>4</v>
      </c>
      <c r="C5" s="91" t="s">
        <v>5</v>
      </c>
      <c r="D5" s="91" t="s">
        <v>33</v>
      </c>
      <c r="E5" s="192" t="s">
        <v>20</v>
      </c>
      <c r="F5" s="91" t="s">
        <v>43</v>
      </c>
      <c r="G5" s="93" t="s">
        <v>6</v>
      </c>
      <c r="H5" s="93" t="s">
        <v>6</v>
      </c>
      <c r="I5" s="94" t="s">
        <v>6</v>
      </c>
    </row>
    <row r="6" spans="1:9" ht="12.75">
      <c r="A6" s="95"/>
      <c r="B6" s="96" t="s">
        <v>7</v>
      </c>
      <c r="C6" s="97" t="s">
        <v>8</v>
      </c>
      <c r="D6" s="97"/>
      <c r="E6" s="193" t="s">
        <v>64</v>
      </c>
      <c r="F6" s="310"/>
      <c r="G6" s="99" t="s">
        <v>9</v>
      </c>
      <c r="H6" s="99" t="s">
        <v>11</v>
      </c>
      <c r="I6" s="100" t="s">
        <v>10</v>
      </c>
    </row>
    <row r="7" spans="1:9" ht="12.75">
      <c r="A7" s="101"/>
      <c r="B7" s="102"/>
      <c r="C7" s="103"/>
      <c r="D7" s="103"/>
      <c r="E7" s="195" t="s">
        <v>48</v>
      </c>
      <c r="F7" s="103"/>
      <c r="G7" s="105"/>
      <c r="H7" s="105" t="s">
        <v>13</v>
      </c>
      <c r="I7" s="106" t="s">
        <v>12</v>
      </c>
    </row>
    <row r="8" spans="1:9" ht="12.75">
      <c r="A8" s="107">
        <v>37591</v>
      </c>
      <c r="B8" s="163"/>
      <c r="C8" s="164">
        <v>305133000</v>
      </c>
      <c r="D8" s="164"/>
      <c r="E8" s="196"/>
      <c r="F8" s="164"/>
      <c r="G8" s="174"/>
      <c r="H8" s="174"/>
      <c r="I8" s="175"/>
    </row>
    <row r="9" spans="1:9" ht="12.75">
      <c r="A9" s="168">
        <v>37621</v>
      </c>
      <c r="B9" s="131">
        <f>A9-A8</f>
        <v>30</v>
      </c>
      <c r="C9" s="169">
        <f>C8-D9</f>
        <v>305133000</v>
      </c>
      <c r="D9" s="169"/>
      <c r="E9" s="198">
        <v>0.0975</v>
      </c>
      <c r="F9" s="169">
        <v>1156963</v>
      </c>
      <c r="G9" s="176">
        <f>SUM(F8:F9)</f>
        <v>1156963</v>
      </c>
      <c r="H9" s="176">
        <v>0</v>
      </c>
      <c r="I9" s="177">
        <f>SUM(G9:H9)</f>
        <v>1156963</v>
      </c>
    </row>
    <row r="10" spans="1:9" ht="12.75">
      <c r="A10" s="126">
        <v>37711</v>
      </c>
      <c r="B10" s="199">
        <f aca="true" t="shared" si="0" ref="B10:B66">A10-A9</f>
        <v>90</v>
      </c>
      <c r="C10" s="197">
        <f aca="true" t="shared" si="1" ref="C10:C66">C9-D10</f>
        <v>305133000</v>
      </c>
      <c r="D10" s="165"/>
      <c r="E10" s="200">
        <v>0.0847</v>
      </c>
      <c r="F10" s="197">
        <v>6493739</v>
      </c>
      <c r="G10" s="166"/>
      <c r="H10" s="166"/>
      <c r="I10" s="167"/>
    </row>
    <row r="11" spans="1:9" ht="12.75">
      <c r="A11" s="107">
        <v>37802</v>
      </c>
      <c r="B11" s="114">
        <f t="shared" si="0"/>
        <v>91</v>
      </c>
      <c r="C11" s="55">
        <f t="shared" si="1"/>
        <v>305133000</v>
      </c>
      <c r="D11" s="164"/>
      <c r="E11" s="196">
        <v>0.0665</v>
      </c>
      <c r="F11" s="55">
        <v>5144627</v>
      </c>
      <c r="G11" s="174"/>
      <c r="H11" s="174"/>
      <c r="I11" s="175"/>
    </row>
    <row r="12" spans="1:9" ht="12.75">
      <c r="A12" s="107">
        <v>37892</v>
      </c>
      <c r="B12" s="114">
        <f t="shared" si="0"/>
        <v>90</v>
      </c>
      <c r="C12" s="55">
        <f t="shared" si="1"/>
        <v>294959000</v>
      </c>
      <c r="D12" s="164">
        <v>10174000</v>
      </c>
      <c r="E12" s="196"/>
      <c r="F12" s="55"/>
      <c r="G12" s="174"/>
      <c r="H12" s="174"/>
      <c r="I12" s="175"/>
    </row>
    <row r="13" spans="1:11" ht="12.75">
      <c r="A13" s="107">
        <v>37894</v>
      </c>
      <c r="B13" s="114">
        <f t="shared" si="0"/>
        <v>2</v>
      </c>
      <c r="C13" s="55">
        <f t="shared" si="1"/>
        <v>294959000</v>
      </c>
      <c r="D13" s="164"/>
      <c r="E13" s="196">
        <v>0.0893</v>
      </c>
      <c r="F13" s="55">
        <v>6939102</v>
      </c>
      <c r="G13" s="174"/>
      <c r="H13" s="174"/>
      <c r="I13" s="175"/>
      <c r="K13" s="147"/>
    </row>
    <row r="14" spans="1:9" ht="12.75">
      <c r="A14" s="107">
        <v>37983</v>
      </c>
      <c r="B14" s="114">
        <f t="shared" si="0"/>
        <v>89</v>
      </c>
      <c r="C14" s="55">
        <f t="shared" si="1"/>
        <v>284788000</v>
      </c>
      <c r="D14" s="164">
        <v>10171000</v>
      </c>
      <c r="E14" s="196"/>
      <c r="F14" s="55"/>
      <c r="G14" s="174"/>
      <c r="H14" s="174"/>
      <c r="I14" s="175"/>
    </row>
    <row r="15" spans="1:9" ht="12.75">
      <c r="A15" s="168">
        <v>37986</v>
      </c>
      <c r="B15" s="135">
        <f t="shared" si="0"/>
        <v>3</v>
      </c>
      <c r="C15" s="169">
        <f t="shared" si="1"/>
        <v>284788000</v>
      </c>
      <c r="D15" s="169"/>
      <c r="E15" s="198">
        <v>0.0961</v>
      </c>
      <c r="F15" s="122">
        <v>7230149</v>
      </c>
      <c r="G15" s="176">
        <f>SUM(F10:F15)</f>
        <v>25807617</v>
      </c>
      <c r="H15" s="176">
        <f>SUM(D10:D15)</f>
        <v>20345000</v>
      </c>
      <c r="I15" s="177">
        <f>SUM(G15:H15)</f>
        <v>46152617</v>
      </c>
    </row>
    <row r="16" spans="1:9" ht="12.75">
      <c r="A16" s="126">
        <v>38074</v>
      </c>
      <c r="B16" s="127">
        <f t="shared" si="0"/>
        <v>88</v>
      </c>
      <c r="C16" s="197">
        <f t="shared" si="1"/>
        <v>274617000</v>
      </c>
      <c r="D16" s="164">
        <v>10171000</v>
      </c>
      <c r="E16" s="196"/>
      <c r="F16" s="197"/>
      <c r="G16" s="166"/>
      <c r="H16" s="166"/>
      <c r="I16" s="167"/>
    </row>
    <row r="17" spans="1:11" ht="12.75">
      <c r="A17" s="107">
        <v>38077</v>
      </c>
      <c r="B17" s="114">
        <f t="shared" si="0"/>
        <v>3</v>
      </c>
      <c r="C17" s="55">
        <f t="shared" si="1"/>
        <v>274617000</v>
      </c>
      <c r="D17" s="164"/>
      <c r="E17" s="196">
        <v>0.1255</v>
      </c>
      <c r="F17" s="55">
        <v>9004155</v>
      </c>
      <c r="G17" s="174"/>
      <c r="H17" s="174"/>
      <c r="I17" s="175"/>
      <c r="K17" s="147"/>
    </row>
    <row r="18" spans="1:9" ht="12.75">
      <c r="A18" s="107">
        <v>38166</v>
      </c>
      <c r="B18" s="135">
        <f t="shared" si="0"/>
        <v>89</v>
      </c>
      <c r="C18" s="55">
        <f t="shared" si="1"/>
        <v>264446000</v>
      </c>
      <c r="D18" s="164">
        <v>10171000</v>
      </c>
      <c r="E18" s="196"/>
      <c r="F18" s="55"/>
      <c r="G18" s="174"/>
      <c r="H18" s="174"/>
      <c r="I18" s="175"/>
    </row>
    <row r="19" spans="1:9" ht="12.75">
      <c r="A19" s="107">
        <v>38168</v>
      </c>
      <c r="B19" s="131">
        <f t="shared" si="0"/>
        <v>2</v>
      </c>
      <c r="C19" s="55">
        <f t="shared" si="1"/>
        <v>264446000</v>
      </c>
      <c r="D19" s="164"/>
      <c r="E19" s="196">
        <v>0.1197</v>
      </c>
      <c r="F19" s="55">
        <v>8306885</v>
      </c>
      <c r="G19" s="174"/>
      <c r="H19" s="174"/>
      <c r="I19" s="175"/>
    </row>
    <row r="20" spans="1:9" ht="12.75">
      <c r="A20" s="107">
        <v>38258</v>
      </c>
      <c r="B20" s="131">
        <f t="shared" si="0"/>
        <v>90</v>
      </c>
      <c r="C20" s="55">
        <f t="shared" si="1"/>
        <v>254275000</v>
      </c>
      <c r="D20" s="164">
        <v>10171000</v>
      </c>
      <c r="E20" s="196"/>
      <c r="F20" s="55"/>
      <c r="G20" s="174"/>
      <c r="H20" s="174"/>
      <c r="I20" s="175"/>
    </row>
    <row r="21" spans="1:9" ht="12.75">
      <c r="A21" s="107">
        <v>38260</v>
      </c>
      <c r="B21" s="131">
        <f t="shared" si="0"/>
        <v>2</v>
      </c>
      <c r="C21" s="55">
        <f t="shared" si="1"/>
        <v>254275000</v>
      </c>
      <c r="D21" s="164"/>
      <c r="E21" s="196">
        <v>0.1167</v>
      </c>
      <c r="F21" s="55">
        <v>7882271</v>
      </c>
      <c r="G21" s="174"/>
      <c r="H21" s="174"/>
      <c r="I21" s="175"/>
    </row>
    <row r="22" spans="1:9" ht="12.75">
      <c r="A22" s="107">
        <v>38349</v>
      </c>
      <c r="B22" s="131">
        <f t="shared" si="0"/>
        <v>89</v>
      </c>
      <c r="C22" s="55">
        <f t="shared" si="1"/>
        <v>244104000</v>
      </c>
      <c r="D22" s="164">
        <v>10171000</v>
      </c>
      <c r="E22" s="196"/>
      <c r="F22" s="55"/>
      <c r="G22" s="174"/>
      <c r="H22" s="174"/>
      <c r="I22" s="175"/>
    </row>
    <row r="23" spans="1:9" ht="12.75">
      <c r="A23" s="168">
        <v>38352</v>
      </c>
      <c r="B23" s="131">
        <f t="shared" si="0"/>
        <v>3</v>
      </c>
      <c r="C23" s="169">
        <f t="shared" si="1"/>
        <v>244104000</v>
      </c>
      <c r="D23" s="169"/>
      <c r="E23" s="198">
        <v>0.111</v>
      </c>
      <c r="F23" s="122">
        <v>7207552</v>
      </c>
      <c r="G23" s="176">
        <f>SUM(F16:F23)</f>
        <v>32400863</v>
      </c>
      <c r="H23" s="176">
        <f>SUM(D16:D23)</f>
        <v>40684000</v>
      </c>
      <c r="I23" s="177">
        <f>SUM(G23:H23)</f>
        <v>73084863</v>
      </c>
    </row>
    <row r="24" spans="1:9" ht="12.75">
      <c r="A24" s="126">
        <v>38440</v>
      </c>
      <c r="B24" s="199">
        <f t="shared" si="0"/>
        <v>88</v>
      </c>
      <c r="C24" s="197">
        <f t="shared" si="1"/>
        <v>233933000</v>
      </c>
      <c r="D24" s="164">
        <v>10171000</v>
      </c>
      <c r="E24" s="196"/>
      <c r="F24" s="197"/>
      <c r="G24" s="166"/>
      <c r="H24" s="166"/>
      <c r="I24" s="167"/>
    </row>
    <row r="25" spans="1:9" ht="12.75">
      <c r="A25" s="107">
        <v>38442</v>
      </c>
      <c r="B25" s="131">
        <f t="shared" si="0"/>
        <v>2</v>
      </c>
      <c r="C25" s="55">
        <f t="shared" si="1"/>
        <v>233933000</v>
      </c>
      <c r="D25" s="164"/>
      <c r="E25" s="196">
        <v>0.0946</v>
      </c>
      <c r="F25" s="55">
        <v>5778834</v>
      </c>
      <c r="G25" s="174"/>
      <c r="H25" s="174"/>
      <c r="I25" s="175"/>
    </row>
    <row r="26" spans="1:9" ht="12.75">
      <c r="A26" s="107">
        <v>38531</v>
      </c>
      <c r="B26" s="131">
        <f t="shared" si="0"/>
        <v>89</v>
      </c>
      <c r="C26" s="55">
        <f t="shared" si="1"/>
        <v>223762000</v>
      </c>
      <c r="D26" s="164">
        <v>10171000</v>
      </c>
      <c r="E26" s="196"/>
      <c r="F26" s="55"/>
      <c r="G26" s="174"/>
      <c r="H26" s="174"/>
      <c r="I26" s="175"/>
    </row>
    <row r="27" spans="1:9" ht="12.75">
      <c r="A27" s="107">
        <v>38533</v>
      </c>
      <c r="B27" s="131">
        <f t="shared" si="0"/>
        <v>2</v>
      </c>
      <c r="C27" s="55">
        <f t="shared" si="1"/>
        <v>223762000</v>
      </c>
      <c r="D27" s="164"/>
      <c r="E27" s="196">
        <v>0.0784</v>
      </c>
      <c r="F27" s="55">
        <v>4642129</v>
      </c>
      <c r="G27" s="174"/>
      <c r="H27" s="174"/>
      <c r="I27" s="175"/>
    </row>
    <row r="28" spans="1:9" ht="12.75">
      <c r="A28" s="107">
        <v>38623</v>
      </c>
      <c r="B28" s="131">
        <f t="shared" si="0"/>
        <v>90</v>
      </c>
      <c r="C28" s="55">
        <f t="shared" si="1"/>
        <v>213591000</v>
      </c>
      <c r="D28" s="164">
        <v>10171000</v>
      </c>
      <c r="E28" s="196"/>
      <c r="F28" s="55"/>
      <c r="G28" s="174"/>
      <c r="H28" s="174"/>
      <c r="I28" s="175"/>
    </row>
    <row r="29" spans="1:9" ht="12.75">
      <c r="A29" s="107">
        <v>38625</v>
      </c>
      <c r="B29" s="131">
        <f t="shared" si="0"/>
        <v>2</v>
      </c>
      <c r="C29" s="55">
        <f t="shared" si="1"/>
        <v>213591000</v>
      </c>
      <c r="D29" s="164"/>
      <c r="E29" s="196">
        <v>0.0702</v>
      </c>
      <c r="F29" s="55">
        <v>4015420</v>
      </c>
      <c r="G29" s="174"/>
      <c r="H29" s="174"/>
      <c r="I29" s="175"/>
    </row>
    <row r="30" spans="1:9" ht="12.75">
      <c r="A30" s="107">
        <v>38714</v>
      </c>
      <c r="B30" s="131">
        <f t="shared" si="0"/>
        <v>89</v>
      </c>
      <c r="C30" s="55">
        <f t="shared" si="1"/>
        <v>203420000</v>
      </c>
      <c r="D30" s="164">
        <v>10171000</v>
      </c>
      <c r="E30" s="196"/>
      <c r="F30" s="55"/>
      <c r="G30" s="174"/>
      <c r="H30" s="174"/>
      <c r="I30" s="175"/>
    </row>
    <row r="31" spans="1:9" ht="12.75">
      <c r="A31" s="168">
        <v>38717</v>
      </c>
      <c r="B31" s="121">
        <f t="shared" si="0"/>
        <v>3</v>
      </c>
      <c r="C31" s="169">
        <f t="shared" si="1"/>
        <v>203420000</v>
      </c>
      <c r="D31" s="169"/>
      <c r="E31" s="198">
        <v>0.061</v>
      </c>
      <c r="F31" s="122">
        <f>((C30+D30)*E31/360*B30)+((C31+D31)*E31/360*B31)</f>
        <v>3324476.1083333334</v>
      </c>
      <c r="G31" s="176">
        <f>SUM(F24:F31)</f>
        <v>17760859.108333334</v>
      </c>
      <c r="H31" s="176">
        <f>SUM(D24:D31)</f>
        <v>40684000</v>
      </c>
      <c r="I31" s="177">
        <f>SUM(G31:H31)</f>
        <v>58444859.108333334</v>
      </c>
    </row>
    <row r="32" spans="1:9" ht="12.75">
      <c r="A32" s="126">
        <v>38804</v>
      </c>
      <c r="B32" s="135">
        <f t="shared" si="0"/>
        <v>87</v>
      </c>
      <c r="C32" s="197">
        <f t="shared" si="1"/>
        <v>193249000</v>
      </c>
      <c r="D32" s="164">
        <v>10171000</v>
      </c>
      <c r="E32" s="196"/>
      <c r="F32" s="197"/>
      <c r="G32" s="166"/>
      <c r="H32" s="166"/>
      <c r="I32" s="167"/>
    </row>
    <row r="33" spans="1:9" ht="12.75">
      <c r="A33" s="107">
        <v>38807</v>
      </c>
      <c r="B33" s="131">
        <f t="shared" si="0"/>
        <v>3</v>
      </c>
      <c r="C33" s="55">
        <f t="shared" si="1"/>
        <v>193249000</v>
      </c>
      <c r="D33" s="164"/>
      <c r="E33" s="196">
        <f>E31</f>
        <v>0.061</v>
      </c>
      <c r="F33" s="55">
        <f>((C32+D32)*E33/360*B32)+((C33+D33)*E33/360*B33)</f>
        <v>3096984.7416666667</v>
      </c>
      <c r="G33" s="174"/>
      <c r="H33" s="174"/>
      <c r="I33" s="175"/>
    </row>
    <row r="34" spans="1:9" ht="12.75">
      <c r="A34" s="107">
        <v>38896</v>
      </c>
      <c r="B34" s="131">
        <f t="shared" si="0"/>
        <v>89</v>
      </c>
      <c r="C34" s="55">
        <f t="shared" si="1"/>
        <v>183078000</v>
      </c>
      <c r="D34" s="164">
        <v>10171000</v>
      </c>
      <c r="E34" s="196"/>
      <c r="F34" s="55"/>
      <c r="G34" s="174"/>
      <c r="H34" s="174"/>
      <c r="I34" s="175"/>
    </row>
    <row r="35" spans="1:9" ht="12.75">
      <c r="A35" s="107">
        <v>38898</v>
      </c>
      <c r="B35" s="131">
        <f t="shared" si="0"/>
        <v>2</v>
      </c>
      <c r="C35" s="55">
        <f t="shared" si="1"/>
        <v>183078000</v>
      </c>
      <c r="D35" s="164"/>
      <c r="E35" s="196">
        <f>E33</f>
        <v>0.061</v>
      </c>
      <c r="F35" s="55">
        <f>((C34+D34)*E35/360*B34)+((C35+D35)*E35/360*B35)</f>
        <v>2976345.3805555557</v>
      </c>
      <c r="G35" s="174"/>
      <c r="H35" s="174"/>
      <c r="I35" s="175"/>
    </row>
    <row r="36" spans="1:9" ht="12.75">
      <c r="A36" s="107">
        <v>38988</v>
      </c>
      <c r="B36" s="131">
        <f t="shared" si="0"/>
        <v>90</v>
      </c>
      <c r="C36" s="55">
        <f t="shared" si="1"/>
        <v>172907000</v>
      </c>
      <c r="D36" s="164">
        <v>10171000</v>
      </c>
      <c r="E36" s="196"/>
      <c r="F36" s="55"/>
      <c r="G36" s="174"/>
      <c r="H36" s="174"/>
      <c r="I36" s="175"/>
    </row>
    <row r="37" spans="1:9" ht="12.75">
      <c r="A37" s="107">
        <v>38990</v>
      </c>
      <c r="B37" s="131">
        <f t="shared" si="0"/>
        <v>2</v>
      </c>
      <c r="C37" s="55">
        <f t="shared" si="1"/>
        <v>172907000</v>
      </c>
      <c r="D37" s="164"/>
      <c r="E37" s="196">
        <f>E35</f>
        <v>0.061</v>
      </c>
      <c r="F37" s="55">
        <f>((C36+D36)*E37/360*B36)+((C37+D37)*E37/360*B37)</f>
        <v>2850535.761111111</v>
      </c>
      <c r="G37" s="174"/>
      <c r="H37" s="174"/>
      <c r="I37" s="175"/>
    </row>
    <row r="38" spans="1:9" ht="12.75">
      <c r="A38" s="107">
        <v>39079</v>
      </c>
      <c r="B38" s="131">
        <f t="shared" si="0"/>
        <v>89</v>
      </c>
      <c r="C38" s="55">
        <f t="shared" si="1"/>
        <v>162736000</v>
      </c>
      <c r="D38" s="164">
        <v>10171000</v>
      </c>
      <c r="E38" s="196"/>
      <c r="F38" s="55"/>
      <c r="G38" s="174"/>
      <c r="H38" s="174"/>
      <c r="I38" s="175"/>
    </row>
    <row r="39" spans="1:9" ht="12.75">
      <c r="A39" s="168">
        <v>39082</v>
      </c>
      <c r="B39" s="131">
        <f t="shared" si="0"/>
        <v>3</v>
      </c>
      <c r="C39" s="169">
        <f t="shared" si="1"/>
        <v>162736000</v>
      </c>
      <c r="D39" s="169"/>
      <c r="E39" s="198">
        <f>E37</f>
        <v>0.061</v>
      </c>
      <c r="F39" s="122">
        <f>((C38+D38)*E39/360*B38)+((C39+D39)*E39/360*B39)</f>
        <v>2690257.7527777776</v>
      </c>
      <c r="G39" s="176">
        <f>SUM(F32:F39)</f>
        <v>11614123.63611111</v>
      </c>
      <c r="H39" s="176">
        <f>SUM(D32:D39)</f>
        <v>40684000</v>
      </c>
      <c r="I39" s="177">
        <f>SUM(G39:H39)</f>
        <v>52298123.63611111</v>
      </c>
    </row>
    <row r="40" spans="1:9" ht="12.75">
      <c r="A40" s="126">
        <v>39169</v>
      </c>
      <c r="B40" s="199">
        <f t="shared" si="0"/>
        <v>87</v>
      </c>
      <c r="C40" s="197">
        <f t="shared" si="1"/>
        <v>152565000</v>
      </c>
      <c r="D40" s="164">
        <v>10171000</v>
      </c>
      <c r="E40" s="196"/>
      <c r="F40" s="197"/>
      <c r="G40" s="166"/>
      <c r="H40" s="166"/>
      <c r="I40" s="167"/>
    </row>
    <row r="41" spans="1:9" ht="12.75">
      <c r="A41" s="107">
        <v>39172</v>
      </c>
      <c r="B41" s="131">
        <f t="shared" si="0"/>
        <v>3</v>
      </c>
      <c r="C41" s="55">
        <f t="shared" si="1"/>
        <v>152565000</v>
      </c>
      <c r="D41" s="164"/>
      <c r="E41" s="196">
        <f>E39</f>
        <v>0.061</v>
      </c>
      <c r="F41" s="55">
        <f>((C40+D40)*E41/360*B40)+((C41+D41)*E41/360*B41)</f>
        <v>2476553.7416666667</v>
      </c>
      <c r="G41" s="174"/>
      <c r="H41" s="174"/>
      <c r="I41" s="175"/>
    </row>
    <row r="42" spans="1:9" ht="12.75">
      <c r="A42" s="107">
        <v>39261</v>
      </c>
      <c r="B42" s="131">
        <f t="shared" si="0"/>
        <v>89</v>
      </c>
      <c r="C42" s="55">
        <f t="shared" si="1"/>
        <v>142394000</v>
      </c>
      <c r="D42" s="164">
        <v>10171000</v>
      </c>
      <c r="E42" s="196"/>
      <c r="F42" s="55"/>
      <c r="G42" s="174"/>
      <c r="H42" s="174"/>
      <c r="I42" s="175"/>
    </row>
    <row r="43" spans="1:9" ht="12.75">
      <c r="A43" s="107">
        <v>39263</v>
      </c>
      <c r="B43" s="131">
        <f t="shared" si="0"/>
        <v>2</v>
      </c>
      <c r="C43" s="55">
        <f t="shared" si="1"/>
        <v>142394000</v>
      </c>
      <c r="D43" s="164"/>
      <c r="E43" s="196">
        <f>E41</f>
        <v>0.061</v>
      </c>
      <c r="F43" s="55">
        <f>((C42+D42)*E43/360*B42)+((C43+D43)*E43/360*B43)</f>
        <v>2349020.702777778</v>
      </c>
      <c r="G43" s="174"/>
      <c r="H43" s="174"/>
      <c r="I43" s="175"/>
    </row>
    <row r="44" spans="1:9" ht="12.75">
      <c r="A44" s="107">
        <v>39353</v>
      </c>
      <c r="B44" s="131">
        <f t="shared" si="0"/>
        <v>90</v>
      </c>
      <c r="C44" s="55">
        <f t="shared" si="1"/>
        <v>132223000</v>
      </c>
      <c r="D44" s="164">
        <v>10171000</v>
      </c>
      <c r="E44" s="196"/>
      <c r="F44" s="55"/>
      <c r="G44" s="174"/>
      <c r="H44" s="174"/>
      <c r="I44" s="175"/>
    </row>
    <row r="45" spans="1:9" ht="12.75">
      <c r="A45" s="107">
        <v>39355</v>
      </c>
      <c r="B45" s="131">
        <f t="shared" si="0"/>
        <v>2</v>
      </c>
      <c r="C45" s="55">
        <f t="shared" si="1"/>
        <v>132223000</v>
      </c>
      <c r="D45" s="164"/>
      <c r="E45" s="196">
        <f>E43</f>
        <v>0.061</v>
      </c>
      <c r="F45" s="55">
        <f>((C44+D44)*E45/360*B44)+((C45+D45)*E45/360*B45)</f>
        <v>2216317.4055555556</v>
      </c>
      <c r="G45" s="174"/>
      <c r="H45" s="174"/>
      <c r="I45" s="175"/>
    </row>
    <row r="46" spans="1:9" ht="12.75">
      <c r="A46" s="107">
        <v>39444</v>
      </c>
      <c r="B46" s="131">
        <f t="shared" si="0"/>
        <v>89</v>
      </c>
      <c r="C46" s="55">
        <f t="shared" si="1"/>
        <v>122052000</v>
      </c>
      <c r="D46" s="164">
        <v>10171000</v>
      </c>
      <c r="E46" s="196"/>
      <c r="F46" s="55"/>
      <c r="G46" s="174"/>
      <c r="H46" s="174"/>
      <c r="I46" s="175"/>
    </row>
    <row r="47" spans="1:9" ht="12.75">
      <c r="A47" s="168">
        <v>39447</v>
      </c>
      <c r="B47" s="121">
        <f t="shared" si="0"/>
        <v>3</v>
      </c>
      <c r="C47" s="169">
        <f t="shared" si="1"/>
        <v>122052000</v>
      </c>
      <c r="D47" s="169"/>
      <c r="E47" s="198">
        <f>E45</f>
        <v>0.061</v>
      </c>
      <c r="F47" s="122">
        <f>((C46+D46)*E47/360*B46)+((C47+D47)*E47/360*B47)</f>
        <v>2056039.3972222223</v>
      </c>
      <c r="G47" s="176">
        <f>SUM(F40:F47)</f>
        <v>9097931.247222222</v>
      </c>
      <c r="H47" s="176">
        <f>SUM(D40:D47)</f>
        <v>40684000</v>
      </c>
      <c r="I47" s="177">
        <f>SUM(G47:H47)</f>
        <v>49781931.24722222</v>
      </c>
    </row>
    <row r="48" spans="1:9" ht="12.75">
      <c r="A48" s="126">
        <v>39535</v>
      </c>
      <c r="B48" s="135">
        <f t="shared" si="0"/>
        <v>88</v>
      </c>
      <c r="C48" s="197">
        <f t="shared" si="1"/>
        <v>111881000</v>
      </c>
      <c r="D48" s="164">
        <v>10171000</v>
      </c>
      <c r="E48" s="196"/>
      <c r="F48" s="197"/>
      <c r="G48" s="166"/>
      <c r="H48" s="166"/>
      <c r="I48" s="167"/>
    </row>
    <row r="49" spans="1:9" ht="12.75">
      <c r="A49" s="107">
        <v>39538</v>
      </c>
      <c r="B49" s="131">
        <f t="shared" si="0"/>
        <v>3</v>
      </c>
      <c r="C49" s="55">
        <f t="shared" si="1"/>
        <v>111881000</v>
      </c>
      <c r="D49" s="164"/>
      <c r="E49" s="196">
        <f>E47</f>
        <v>0.061</v>
      </c>
      <c r="F49" s="55">
        <f>((C48+D48)*E49/360*B48)+((C49+D49)*E49/360*B49)</f>
        <v>1876803.775</v>
      </c>
      <c r="G49" s="174"/>
      <c r="H49" s="174"/>
      <c r="I49" s="175"/>
    </row>
    <row r="50" spans="1:9" ht="12.75">
      <c r="A50" s="107">
        <v>39627</v>
      </c>
      <c r="B50" s="131">
        <f t="shared" si="0"/>
        <v>89</v>
      </c>
      <c r="C50" s="55">
        <f t="shared" si="1"/>
        <v>101710000</v>
      </c>
      <c r="D50" s="164">
        <v>10171000</v>
      </c>
      <c r="E50" s="196"/>
      <c r="F50" s="55"/>
      <c r="G50" s="174"/>
      <c r="H50" s="174"/>
      <c r="I50" s="175"/>
    </row>
    <row r="51" spans="1:9" ht="12.75">
      <c r="A51" s="113">
        <v>39629</v>
      </c>
      <c r="B51" s="131">
        <f t="shared" si="0"/>
        <v>2</v>
      </c>
      <c r="C51" s="55">
        <f t="shared" si="1"/>
        <v>101710000</v>
      </c>
      <c r="D51" s="180"/>
      <c r="E51" s="202">
        <f>E49</f>
        <v>0.061</v>
      </c>
      <c r="F51" s="55">
        <f>((C50+D50)*E51/360*B50)+((C51+D51)*E51/360*B51)</f>
        <v>1721696.0250000001</v>
      </c>
      <c r="G51" s="181"/>
      <c r="H51" s="181"/>
      <c r="I51" s="182"/>
    </row>
    <row r="52" spans="1:9" ht="12.75">
      <c r="A52" s="107">
        <v>39719</v>
      </c>
      <c r="B52" s="131">
        <f t="shared" si="0"/>
        <v>90</v>
      </c>
      <c r="C52" s="55">
        <f t="shared" si="1"/>
        <v>91539000</v>
      </c>
      <c r="D52" s="164">
        <v>10171000</v>
      </c>
      <c r="E52" s="196"/>
      <c r="F52" s="55"/>
      <c r="G52" s="116"/>
      <c r="H52" s="181"/>
      <c r="I52" s="182"/>
    </row>
    <row r="53" spans="1:9" ht="12.75">
      <c r="A53" s="107">
        <v>39721</v>
      </c>
      <c r="B53" s="131">
        <f t="shared" si="0"/>
        <v>2</v>
      </c>
      <c r="C53" s="55">
        <f t="shared" si="1"/>
        <v>91539000</v>
      </c>
      <c r="D53" s="164"/>
      <c r="E53" s="196">
        <f>E51</f>
        <v>0.061</v>
      </c>
      <c r="F53" s="55">
        <f>((C52+D52)*E53/360*B52)+((C53+D53)*E53/360*B53)</f>
        <v>1582099.05</v>
      </c>
      <c r="G53" s="116"/>
      <c r="H53" s="181"/>
      <c r="I53" s="182"/>
    </row>
    <row r="54" spans="1:9" ht="12.75">
      <c r="A54" s="107">
        <v>39810</v>
      </c>
      <c r="B54" s="131">
        <f t="shared" si="0"/>
        <v>89</v>
      </c>
      <c r="C54" s="55">
        <f t="shared" si="1"/>
        <v>81368000</v>
      </c>
      <c r="D54" s="164">
        <v>10171000</v>
      </c>
      <c r="E54" s="196"/>
      <c r="F54" s="55"/>
      <c r="G54" s="174"/>
      <c r="H54" s="174"/>
      <c r="I54" s="175"/>
    </row>
    <row r="55" spans="1:9" ht="12.75">
      <c r="A55" s="120">
        <v>39813</v>
      </c>
      <c r="B55" s="121">
        <f t="shared" si="0"/>
        <v>3</v>
      </c>
      <c r="C55" s="170">
        <f t="shared" si="1"/>
        <v>81368000</v>
      </c>
      <c r="D55" s="170"/>
      <c r="E55" s="203">
        <f>E53</f>
        <v>0.061</v>
      </c>
      <c r="F55" s="122">
        <f>((C54+D54)*E55/360*B54)+((C55+D55)*E55/360*B55)</f>
        <v>1421821.0416666665</v>
      </c>
      <c r="G55" s="171">
        <f>SUM(F48:F55)</f>
        <v>6602419.891666666</v>
      </c>
      <c r="H55" s="171">
        <f>SUM(D48:D55)</f>
        <v>40684000</v>
      </c>
      <c r="I55" s="172">
        <f>SUM(G55:H55)</f>
        <v>47286419.891666666</v>
      </c>
    </row>
    <row r="56" spans="1:9" ht="12.75">
      <c r="A56" s="126">
        <v>39900</v>
      </c>
      <c r="B56" s="127">
        <f t="shared" si="0"/>
        <v>87</v>
      </c>
      <c r="C56" s="165">
        <f t="shared" si="1"/>
        <v>71197000</v>
      </c>
      <c r="D56" s="165">
        <v>10171000</v>
      </c>
      <c r="E56" s="200"/>
      <c r="F56" s="165"/>
      <c r="G56" s="166"/>
      <c r="H56" s="166"/>
      <c r="I56" s="167"/>
    </row>
    <row r="57" spans="1:9" ht="12.75">
      <c r="A57" s="107">
        <v>39903</v>
      </c>
      <c r="B57" s="131">
        <f t="shared" si="0"/>
        <v>3</v>
      </c>
      <c r="C57" s="55">
        <f t="shared" si="1"/>
        <v>71197000</v>
      </c>
      <c r="D57" s="164"/>
      <c r="E57" s="196">
        <f>E55</f>
        <v>0.061</v>
      </c>
      <c r="F57" s="55">
        <f>((C56+D56)*E57/360*B56)+((C57+D57)*E57/360*B57)</f>
        <v>1235691.7416666667</v>
      </c>
      <c r="G57" s="174"/>
      <c r="H57" s="174"/>
      <c r="I57" s="175"/>
    </row>
    <row r="58" spans="1:9" ht="12.75">
      <c r="A58" s="107">
        <v>39992</v>
      </c>
      <c r="B58" s="131">
        <f t="shared" si="0"/>
        <v>89</v>
      </c>
      <c r="C58" s="55">
        <f t="shared" si="1"/>
        <v>61026000</v>
      </c>
      <c r="D58" s="164">
        <v>10171000</v>
      </c>
      <c r="E58" s="196"/>
      <c r="F58" s="55"/>
      <c r="G58" s="174"/>
      <c r="H58" s="174"/>
      <c r="I58" s="175"/>
    </row>
    <row r="59" spans="1:9" ht="12.75">
      <c r="A59" s="113">
        <v>39994</v>
      </c>
      <c r="B59" s="131">
        <f t="shared" si="0"/>
        <v>2</v>
      </c>
      <c r="C59" s="55">
        <f t="shared" si="1"/>
        <v>61026000</v>
      </c>
      <c r="D59" s="180"/>
      <c r="E59" s="202">
        <f>E57</f>
        <v>0.061</v>
      </c>
      <c r="F59" s="55">
        <f>((C58+D58)*E59/360*B58)+((C59+D59)*E59/360*B59)</f>
        <v>1094371.3472222222</v>
      </c>
      <c r="G59" s="181"/>
      <c r="H59" s="181"/>
      <c r="I59" s="182"/>
    </row>
    <row r="60" spans="1:9" ht="12.75">
      <c r="A60" s="107">
        <v>40084</v>
      </c>
      <c r="B60" s="131">
        <f t="shared" si="0"/>
        <v>90</v>
      </c>
      <c r="C60" s="55">
        <f t="shared" si="1"/>
        <v>50855000</v>
      </c>
      <c r="D60" s="164">
        <v>10171000</v>
      </c>
      <c r="E60" s="196"/>
      <c r="F60" s="55"/>
      <c r="G60" s="116"/>
      <c r="H60" s="181"/>
      <c r="I60" s="182"/>
    </row>
    <row r="61" spans="1:9" ht="12.75">
      <c r="A61" s="107">
        <v>40086</v>
      </c>
      <c r="B61" s="131">
        <f t="shared" si="0"/>
        <v>2</v>
      </c>
      <c r="C61" s="55">
        <f t="shared" si="1"/>
        <v>50855000</v>
      </c>
      <c r="D61" s="164"/>
      <c r="E61" s="196">
        <f>E59</f>
        <v>0.061</v>
      </c>
      <c r="F61" s="55">
        <f>((C60+D60)*E61/360*B60)+((C61+D61)*E61/360*B61)</f>
        <v>947880.6944444445</v>
      </c>
      <c r="G61" s="174"/>
      <c r="H61" s="174"/>
      <c r="I61" s="175"/>
    </row>
    <row r="62" spans="1:9" ht="12.75">
      <c r="A62" s="107">
        <v>40175</v>
      </c>
      <c r="B62" s="131">
        <f t="shared" si="0"/>
        <v>89</v>
      </c>
      <c r="C62" s="55">
        <f t="shared" si="1"/>
        <v>40684000</v>
      </c>
      <c r="D62" s="164">
        <v>10171000</v>
      </c>
      <c r="E62" s="196"/>
      <c r="F62" s="55"/>
      <c r="G62" s="174"/>
      <c r="H62" s="174"/>
      <c r="I62" s="175"/>
    </row>
    <row r="63" spans="1:9" ht="12.75">
      <c r="A63" s="168">
        <v>40178</v>
      </c>
      <c r="B63" s="121">
        <f t="shared" si="0"/>
        <v>3</v>
      </c>
      <c r="C63" s="169">
        <f t="shared" si="1"/>
        <v>40684000</v>
      </c>
      <c r="D63" s="169"/>
      <c r="E63" s="198">
        <f>E61</f>
        <v>0.061</v>
      </c>
      <c r="F63" s="122">
        <f>((C62+D62)*E63/360*B62)+((C63+D63)*E63/360*B63)</f>
        <v>787602.6861111112</v>
      </c>
      <c r="G63" s="176">
        <f>SUM(F56:F63)</f>
        <v>4065546.469444445</v>
      </c>
      <c r="H63" s="176">
        <f>SUM(D56:D63)</f>
        <v>40684000</v>
      </c>
      <c r="I63" s="177">
        <f>SUM(G63:H63)</f>
        <v>44749546.469444446</v>
      </c>
    </row>
    <row r="64" spans="1:9" ht="12.75">
      <c r="A64" s="126">
        <v>40265</v>
      </c>
      <c r="B64" s="135">
        <f t="shared" si="0"/>
        <v>87</v>
      </c>
      <c r="C64" s="197">
        <f t="shared" si="1"/>
        <v>30513000</v>
      </c>
      <c r="D64" s="164">
        <v>10171000</v>
      </c>
      <c r="E64" s="196"/>
      <c r="F64" s="197"/>
      <c r="G64" s="166"/>
      <c r="H64" s="166"/>
      <c r="I64" s="167"/>
    </row>
    <row r="65" spans="1:9" ht="12.75">
      <c r="A65" s="107">
        <v>40268</v>
      </c>
      <c r="B65" s="131">
        <f t="shared" si="0"/>
        <v>3</v>
      </c>
      <c r="C65" s="55">
        <f t="shared" si="1"/>
        <v>30513000</v>
      </c>
      <c r="D65" s="164"/>
      <c r="E65" s="196">
        <f>E63</f>
        <v>0.061</v>
      </c>
      <c r="F65" s="55">
        <f>((C64+D64)*E65/360*B64)+((C65+D65)*E65/360*B65)</f>
        <v>615260.7416666667</v>
      </c>
      <c r="G65" s="174"/>
      <c r="H65" s="174"/>
      <c r="I65" s="175"/>
    </row>
    <row r="66" spans="1:9" ht="12.75">
      <c r="A66" s="107">
        <v>40357</v>
      </c>
      <c r="B66" s="131">
        <f t="shared" si="0"/>
        <v>89</v>
      </c>
      <c r="C66" s="55">
        <f t="shared" si="1"/>
        <v>20342000</v>
      </c>
      <c r="D66" s="164">
        <v>10171000</v>
      </c>
      <c r="E66" s="196"/>
      <c r="F66" s="55"/>
      <c r="G66" s="174"/>
      <c r="H66" s="174"/>
      <c r="I66" s="175"/>
    </row>
    <row r="67" spans="1:9" ht="12.75">
      <c r="A67" s="113">
        <v>40359</v>
      </c>
      <c r="B67" s="131">
        <f>A67-A66</f>
        <v>2</v>
      </c>
      <c r="C67" s="55">
        <f>C66-D67</f>
        <v>20342000</v>
      </c>
      <c r="D67" s="180"/>
      <c r="E67" s="202">
        <f>E65</f>
        <v>0.061</v>
      </c>
      <c r="F67" s="55">
        <f>((C66+D66)*E67/360*B66)+((C67+D67)*E67/360*B67)</f>
        <v>467046.6694444444</v>
      </c>
      <c r="G67" s="174"/>
      <c r="H67" s="174"/>
      <c r="I67" s="175"/>
    </row>
    <row r="68" spans="1:9" ht="12.75">
      <c r="A68" s="255">
        <v>40449</v>
      </c>
      <c r="B68" s="131">
        <f>A68-A67</f>
        <v>90</v>
      </c>
      <c r="C68" s="197">
        <f>C67-D68</f>
        <v>10171000</v>
      </c>
      <c r="D68" s="197">
        <v>10171000</v>
      </c>
      <c r="E68" s="257"/>
      <c r="F68" s="134"/>
      <c r="G68" s="181"/>
      <c r="H68" s="181"/>
      <c r="I68" s="182"/>
    </row>
    <row r="69" spans="1:9" ht="12.75">
      <c r="A69" s="113">
        <v>40451</v>
      </c>
      <c r="B69" s="114">
        <f>A69-A68</f>
        <v>2</v>
      </c>
      <c r="C69" s="55">
        <f>C68-D69</f>
        <v>10171000</v>
      </c>
      <c r="D69" s="114"/>
      <c r="E69" s="118">
        <f>E67</f>
        <v>0.061</v>
      </c>
      <c r="F69" s="55">
        <f>((C68+D68)*E69/360*B68)+((C69+D69)*E69/360*B69)</f>
        <v>313662.3388888889</v>
      </c>
      <c r="G69" s="116"/>
      <c r="H69" s="116"/>
      <c r="I69" s="117"/>
    </row>
    <row r="70" spans="1:9" ht="13.5" thickBot="1">
      <c r="A70" s="137">
        <v>40540</v>
      </c>
      <c r="B70" s="138">
        <f>A70-A69</f>
        <v>89</v>
      </c>
      <c r="C70" s="139">
        <f>C69-D70</f>
        <v>0</v>
      </c>
      <c r="D70" s="139">
        <v>10171000</v>
      </c>
      <c r="E70" s="266">
        <f>E69</f>
        <v>0.061</v>
      </c>
      <c r="F70" s="139">
        <f>((C70+D70)*E70/360*B70)</f>
        <v>153384.33055555556</v>
      </c>
      <c r="G70" s="258">
        <f>SUM(F64:F70)</f>
        <v>1549354.0805555556</v>
      </c>
      <c r="H70" s="258">
        <f>SUM(D64:D70)</f>
        <v>40684000</v>
      </c>
      <c r="I70" s="259">
        <f>SUM(G70:H70)</f>
        <v>42233354.08055556</v>
      </c>
    </row>
    <row r="71" spans="1:9" ht="13.5" thickTop="1">
      <c r="A71" s="311" t="s">
        <v>14</v>
      </c>
      <c r="B71" s="312"/>
      <c r="C71" s="313"/>
      <c r="D71" s="176">
        <f>SUM(D8:D70)</f>
        <v>305133000</v>
      </c>
      <c r="E71" s="314"/>
      <c r="F71" s="176">
        <f>SUM(F8:F70)</f>
        <v>110055677.43333331</v>
      </c>
      <c r="G71" s="281">
        <f>SUM(G8:G70)</f>
        <v>110055677.43333334</v>
      </c>
      <c r="H71" s="281">
        <f>SUM(H8:H70)</f>
        <v>305133000</v>
      </c>
      <c r="I71" s="205">
        <f>SUM(I8:I70)</f>
        <v>415188677.43333334</v>
      </c>
    </row>
    <row r="74" spans="3:6" ht="12.75">
      <c r="C74" s="147"/>
      <c r="D74" s="147"/>
      <c r="E74" s="81"/>
      <c r="F74" s="147"/>
    </row>
    <row r="75" spans="3:6" ht="12.75">
      <c r="C75" s="147"/>
      <c r="D75" s="147"/>
      <c r="E75" s="81"/>
      <c r="F75" s="147"/>
    </row>
    <row r="76" spans="3:5" ht="12.75">
      <c r="C76" s="147"/>
      <c r="D76" s="147"/>
      <c r="E76" s="81"/>
    </row>
    <row r="77" spans="3:5" ht="12.75">
      <c r="C77" s="147"/>
      <c r="D77" s="147"/>
      <c r="E77" s="81"/>
    </row>
    <row r="78" spans="3:6" ht="12.75">
      <c r="C78" s="147"/>
      <c r="D78" s="147"/>
      <c r="E78" s="81"/>
      <c r="F78" s="147"/>
    </row>
  </sheetData>
  <printOptions horizontalCentered="1"/>
  <pageMargins left="0.5905511811023623" right="0.5905511811023623" top="0.7874015748031497" bottom="0.5905511811023623" header="0.1968503937007874" footer="0.1968503937007874"/>
  <pageSetup horizontalDpi="300" verticalDpi="300" orientation="portrait" paperSize="9" r:id="rId1"/>
  <headerFooter alignWithMargins="0">
    <oddHeader xml:space="preserve">&amp;C&amp;"Times New Roman CE,Félkövér"&amp;12Adósságszolgálat számítása az OTP tájékoztatása alapján &amp;"Times New Roman CE,Félkövér dőlt"
2002. decemberben felvett 305.133 eFt hitel </oddHeader>
    <oddFooter>&amp;L&amp;9Nyomtatás dátuma: &amp;D
C:\Andi\adósságszolgálat\&amp;F\&amp;A&amp;R&amp;P/&amp;N</oddFooter>
  </headerFooter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1">
      <pane ySplit="7" topLeftCell="BM1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1.375" style="81" customWidth="1"/>
    <col min="2" max="2" width="6.875" style="147" customWidth="1"/>
    <col min="3" max="3" width="12.125" style="147" customWidth="1"/>
    <col min="4" max="4" width="12.625" style="147" customWidth="1"/>
    <col min="5" max="5" width="8.00390625" style="148" customWidth="1"/>
    <col min="6" max="6" width="12.625" style="81" bestFit="1" customWidth="1"/>
    <col min="7" max="7" width="14.625" style="147" customWidth="1"/>
    <col min="8" max="8" width="12.625" style="81" bestFit="1" customWidth="1"/>
    <col min="9" max="9" width="14.375" style="147" customWidth="1"/>
    <col min="10" max="10" width="9.375" style="81" customWidth="1"/>
    <col min="11" max="11" width="11.125" style="81" bestFit="1" customWidth="1"/>
    <col min="12" max="16384" width="9.375" style="81" customWidth="1"/>
  </cols>
  <sheetData>
    <row r="1" spans="1:6" ht="12.75">
      <c r="A1" s="77" t="s">
        <v>108</v>
      </c>
      <c r="B1" s="77"/>
      <c r="C1" s="315"/>
      <c r="D1" s="80"/>
      <c r="E1" s="78"/>
      <c r="F1" s="79"/>
    </row>
    <row r="2" spans="1:9" ht="12.75">
      <c r="A2" s="82" t="s">
        <v>15</v>
      </c>
      <c r="B2" s="83"/>
      <c r="C2" s="83"/>
      <c r="D2" s="83"/>
      <c r="E2" s="84"/>
      <c r="F2" s="83"/>
      <c r="G2" s="83"/>
      <c r="H2" s="83"/>
      <c r="I2" s="83"/>
    </row>
    <row r="3" spans="1:9" ht="12.75">
      <c r="A3" s="82" t="s">
        <v>79</v>
      </c>
      <c r="B3" s="83"/>
      <c r="C3" s="83"/>
      <c r="D3" s="83"/>
      <c r="E3" s="84"/>
      <c r="F3" s="83"/>
      <c r="G3" s="83"/>
      <c r="H3" s="83"/>
      <c r="I3" s="83"/>
    </row>
    <row r="4" spans="1:9" ht="12.75">
      <c r="A4" s="85"/>
      <c r="B4" s="86"/>
      <c r="C4" s="86"/>
      <c r="D4" s="87"/>
      <c r="E4" s="88"/>
      <c r="F4" s="87"/>
      <c r="G4" s="87"/>
      <c r="H4" s="87"/>
      <c r="I4" s="87" t="s">
        <v>2</v>
      </c>
    </row>
    <row r="5" spans="1:9" ht="12.75">
      <c r="A5" s="89" t="s">
        <v>3</v>
      </c>
      <c r="B5" s="90" t="s">
        <v>4</v>
      </c>
      <c r="C5" s="91" t="s">
        <v>5</v>
      </c>
      <c r="D5" s="91" t="s">
        <v>21</v>
      </c>
      <c r="E5" s="91" t="s">
        <v>18</v>
      </c>
      <c r="F5" s="92" t="s">
        <v>20</v>
      </c>
      <c r="G5" s="93" t="s">
        <v>6</v>
      </c>
      <c r="H5" s="93" t="s">
        <v>6</v>
      </c>
      <c r="I5" s="94" t="s">
        <v>6</v>
      </c>
    </row>
    <row r="6" spans="1:9" ht="12.75">
      <c r="A6" s="95"/>
      <c r="B6" s="96" t="s">
        <v>7</v>
      </c>
      <c r="C6" s="97" t="s">
        <v>8</v>
      </c>
      <c r="D6" s="97" t="s">
        <v>13</v>
      </c>
      <c r="E6" s="97" t="s">
        <v>19</v>
      </c>
      <c r="F6" s="98" t="s">
        <v>13</v>
      </c>
      <c r="G6" s="99" t="s">
        <v>9</v>
      </c>
      <c r="H6" s="99" t="s">
        <v>11</v>
      </c>
      <c r="I6" s="100" t="s">
        <v>10</v>
      </c>
    </row>
    <row r="7" spans="1:9" ht="12.75">
      <c r="A7" s="101"/>
      <c r="B7" s="102"/>
      <c r="C7" s="103"/>
      <c r="D7" s="103"/>
      <c r="E7" s="103"/>
      <c r="F7" s="104"/>
      <c r="G7" s="104"/>
      <c r="H7" s="105" t="s">
        <v>13</v>
      </c>
      <c r="I7" s="106" t="s">
        <v>12</v>
      </c>
    </row>
    <row r="8" spans="1:9" ht="12.75">
      <c r="A8" s="277">
        <v>37915</v>
      </c>
      <c r="B8" s="131"/>
      <c r="C8" s="130">
        <v>301781952</v>
      </c>
      <c r="D8" s="130"/>
      <c r="E8" s="278"/>
      <c r="F8" s="130"/>
      <c r="G8" s="279"/>
      <c r="H8" s="279"/>
      <c r="I8" s="280"/>
    </row>
    <row r="9" spans="1:9" ht="13.5" thickBot="1">
      <c r="A9" s="301">
        <v>37959</v>
      </c>
      <c r="B9" s="302">
        <f aca="true" t="shared" si="0" ref="B9:B46">A9-A8</f>
        <v>44</v>
      </c>
      <c r="C9" s="61">
        <f>(C8-D9)+312908472</f>
        <v>614690424</v>
      </c>
      <c r="D9" s="61"/>
      <c r="E9" s="303"/>
      <c r="F9" s="61"/>
      <c r="G9" s="241"/>
      <c r="H9" s="241"/>
      <c r="I9" s="242"/>
    </row>
    <row r="10" spans="1:9" ht="12.75">
      <c r="A10" s="249">
        <v>37977</v>
      </c>
      <c r="B10" s="316">
        <f t="shared" si="0"/>
        <v>18</v>
      </c>
      <c r="C10" s="250">
        <f>C9-D10</f>
        <v>614690424</v>
      </c>
      <c r="D10" s="250"/>
      <c r="E10" s="317"/>
      <c r="F10" s="250"/>
      <c r="G10" s="318"/>
      <c r="H10" s="318"/>
      <c r="I10" s="319"/>
    </row>
    <row r="11" spans="1:9" ht="13.5" thickBot="1">
      <c r="A11" s="301">
        <v>37986</v>
      </c>
      <c r="B11" s="302">
        <f t="shared" si="0"/>
        <v>9</v>
      </c>
      <c r="C11" s="61">
        <f>(C10-D11)+66348184</f>
        <v>681038608</v>
      </c>
      <c r="D11" s="61"/>
      <c r="E11" s="303">
        <v>0.0961</v>
      </c>
      <c r="F11" s="61">
        <v>7974978</v>
      </c>
      <c r="G11" s="241">
        <f>SUM(F8:F11)</f>
        <v>7974978</v>
      </c>
      <c r="H11" s="241">
        <f>SUM(D8:D11)</f>
        <v>0</v>
      </c>
      <c r="I11" s="242">
        <f>SUM(G11:H11)</f>
        <v>7974978</v>
      </c>
    </row>
    <row r="12" spans="1:11" ht="13.5" thickBot="1">
      <c r="A12" s="320">
        <v>38077</v>
      </c>
      <c r="B12" s="321">
        <f t="shared" si="0"/>
        <v>91</v>
      </c>
      <c r="C12" s="63">
        <f>(C11-D12)</f>
        <v>681038608</v>
      </c>
      <c r="D12" s="63"/>
      <c r="E12" s="322">
        <v>0.1255</v>
      </c>
      <c r="F12" s="63">
        <v>21549386</v>
      </c>
      <c r="G12" s="243"/>
      <c r="H12" s="243"/>
      <c r="I12" s="244"/>
      <c r="K12" s="147"/>
    </row>
    <row r="13" spans="1:11" ht="13.5" thickBot="1">
      <c r="A13" s="320">
        <v>38142</v>
      </c>
      <c r="B13" s="321">
        <f>A13-A12</f>
        <v>65</v>
      </c>
      <c r="C13" s="63">
        <f>C11-D13+13675934</f>
        <v>694714542</v>
      </c>
      <c r="D13" s="63"/>
      <c r="E13" s="322"/>
      <c r="F13" s="63"/>
      <c r="G13" s="243"/>
      <c r="H13" s="243"/>
      <c r="I13" s="244"/>
      <c r="K13" s="147"/>
    </row>
    <row r="14" spans="1:9" ht="12.75">
      <c r="A14" s="107">
        <v>38168</v>
      </c>
      <c r="B14" s="108">
        <f>A14-A13</f>
        <v>26</v>
      </c>
      <c r="C14" s="109">
        <f>C13-D14</f>
        <v>694714542</v>
      </c>
      <c r="D14" s="109"/>
      <c r="E14" s="110">
        <v>0.1197</v>
      </c>
      <c r="F14" s="55">
        <v>20735726</v>
      </c>
      <c r="G14" s="111"/>
      <c r="H14" s="111"/>
      <c r="I14" s="112"/>
    </row>
    <row r="15" spans="1:9" ht="12.75">
      <c r="A15" s="107">
        <v>38254</v>
      </c>
      <c r="B15" s="108">
        <f>A15-A14</f>
        <v>86</v>
      </c>
      <c r="C15" s="109">
        <v>704770956</v>
      </c>
      <c r="D15" s="109"/>
      <c r="E15" s="110"/>
      <c r="F15" s="55"/>
      <c r="G15" s="111"/>
      <c r="H15" s="111"/>
      <c r="I15" s="112"/>
    </row>
    <row r="16" spans="1:9" ht="12.75">
      <c r="A16" s="107">
        <v>38258</v>
      </c>
      <c r="B16" s="108">
        <f>A16-A15</f>
        <v>4</v>
      </c>
      <c r="C16" s="55">
        <f aca="true" t="shared" si="1" ref="C16:C26">C15-D16</f>
        <v>684949956</v>
      </c>
      <c r="D16" s="109">
        <v>19821000</v>
      </c>
      <c r="E16" s="110"/>
      <c r="F16" s="55"/>
      <c r="G16" s="111"/>
      <c r="H16" s="111"/>
      <c r="I16" s="112"/>
    </row>
    <row r="17" spans="1:9" ht="12.75">
      <c r="A17" s="113">
        <v>38260</v>
      </c>
      <c r="B17" s="108">
        <f>A17-A15</f>
        <v>6</v>
      </c>
      <c r="C17" s="55">
        <f t="shared" si="1"/>
        <v>684949956</v>
      </c>
      <c r="D17" s="55"/>
      <c r="E17" s="115">
        <v>0.1167</v>
      </c>
      <c r="F17" s="55">
        <v>20731202</v>
      </c>
      <c r="G17" s="116"/>
      <c r="H17" s="116"/>
      <c r="I17" s="117"/>
    </row>
    <row r="18" spans="1:9" ht="12.75">
      <c r="A18" s="113">
        <v>38293</v>
      </c>
      <c r="B18" s="114">
        <f t="shared" si="0"/>
        <v>33</v>
      </c>
      <c r="C18" s="55">
        <v>693350000</v>
      </c>
      <c r="D18" s="55"/>
      <c r="E18" s="115"/>
      <c r="F18" s="55"/>
      <c r="G18" s="116"/>
      <c r="H18" s="116"/>
      <c r="I18" s="117"/>
    </row>
    <row r="19" spans="1:9" ht="12.75">
      <c r="A19" s="113">
        <v>38349</v>
      </c>
      <c r="B19" s="114">
        <f t="shared" si="0"/>
        <v>56</v>
      </c>
      <c r="C19" s="55">
        <f>C18-D19</f>
        <v>673540000</v>
      </c>
      <c r="D19" s="55">
        <v>19810000</v>
      </c>
      <c r="E19" s="118"/>
      <c r="F19" s="114"/>
      <c r="G19" s="55"/>
      <c r="H19" s="114"/>
      <c r="I19" s="119"/>
    </row>
    <row r="20" spans="1:9" ht="12.75">
      <c r="A20" s="120">
        <v>38352</v>
      </c>
      <c r="B20" s="121">
        <f t="shared" si="0"/>
        <v>3</v>
      </c>
      <c r="C20" s="122">
        <f t="shared" si="1"/>
        <v>673540000</v>
      </c>
      <c r="D20" s="122"/>
      <c r="E20" s="123">
        <v>0.111</v>
      </c>
      <c r="F20" s="55">
        <v>19466298</v>
      </c>
      <c r="G20" s="124">
        <f>SUM(F12:F20)</f>
        <v>82482612</v>
      </c>
      <c r="H20" s="124">
        <f>SUM(D12:D20)</f>
        <v>39631000</v>
      </c>
      <c r="I20" s="125">
        <f>SUM(G20:H20)</f>
        <v>122113612</v>
      </c>
    </row>
    <row r="21" spans="1:9" ht="12.75">
      <c r="A21" s="126">
        <v>38440</v>
      </c>
      <c r="B21" s="108">
        <f t="shared" si="0"/>
        <v>88</v>
      </c>
      <c r="C21" s="109">
        <f t="shared" si="1"/>
        <v>653730000</v>
      </c>
      <c r="D21" s="56">
        <f>D19</f>
        <v>19810000</v>
      </c>
      <c r="E21" s="173"/>
      <c r="F21" s="56"/>
      <c r="G21" s="178"/>
      <c r="H21" s="178"/>
      <c r="I21" s="179"/>
    </row>
    <row r="22" spans="1:9" ht="12.75">
      <c r="A22" s="113">
        <v>38442</v>
      </c>
      <c r="B22" s="114">
        <f t="shared" si="0"/>
        <v>2</v>
      </c>
      <c r="C22" s="55">
        <f t="shared" si="1"/>
        <v>653730000</v>
      </c>
      <c r="D22" s="55"/>
      <c r="E22" s="115">
        <v>0.0946</v>
      </c>
      <c r="F22" s="55">
        <v>15949493</v>
      </c>
      <c r="G22" s="116"/>
      <c r="H22" s="116"/>
      <c r="I22" s="117"/>
    </row>
    <row r="23" spans="1:9" ht="12.75">
      <c r="A23" s="113">
        <v>38531</v>
      </c>
      <c r="B23" s="114">
        <f t="shared" si="0"/>
        <v>89</v>
      </c>
      <c r="C23" s="55">
        <f t="shared" si="1"/>
        <v>633920000</v>
      </c>
      <c r="D23" s="55">
        <f>D21</f>
        <v>19810000</v>
      </c>
      <c r="E23" s="115"/>
      <c r="F23" s="55"/>
      <c r="G23" s="116"/>
      <c r="H23" s="116"/>
      <c r="I23" s="117"/>
    </row>
    <row r="24" spans="1:9" ht="12.75">
      <c r="A24" s="113">
        <v>38533</v>
      </c>
      <c r="B24" s="114">
        <f t="shared" si="0"/>
        <v>2</v>
      </c>
      <c r="C24" s="55">
        <f t="shared" si="1"/>
        <v>633920000</v>
      </c>
      <c r="D24" s="55"/>
      <c r="E24" s="115">
        <v>0.0784</v>
      </c>
      <c r="F24" s="55">
        <v>12976265</v>
      </c>
      <c r="G24" s="116"/>
      <c r="H24" s="116"/>
      <c r="I24" s="117"/>
    </row>
    <row r="25" spans="1:9" ht="12.75">
      <c r="A25" s="113">
        <v>38623</v>
      </c>
      <c r="B25" s="114">
        <f t="shared" si="0"/>
        <v>90</v>
      </c>
      <c r="C25" s="55">
        <f t="shared" si="1"/>
        <v>614110000</v>
      </c>
      <c r="D25" s="55">
        <f>D23</f>
        <v>19810000</v>
      </c>
      <c r="E25" s="115"/>
      <c r="F25" s="55"/>
      <c r="G25" s="116"/>
      <c r="H25" s="116"/>
      <c r="I25" s="117"/>
    </row>
    <row r="26" spans="1:9" ht="12.75">
      <c r="A26" s="113">
        <v>38625</v>
      </c>
      <c r="B26" s="114">
        <f t="shared" si="0"/>
        <v>2</v>
      </c>
      <c r="C26" s="55">
        <f t="shared" si="1"/>
        <v>614110000</v>
      </c>
      <c r="D26" s="55"/>
      <c r="E26" s="115">
        <v>0.0702</v>
      </c>
      <c r="F26" s="55">
        <v>11379238</v>
      </c>
      <c r="G26" s="116"/>
      <c r="H26" s="116"/>
      <c r="I26" s="117"/>
    </row>
    <row r="27" spans="1:9" ht="12.75">
      <c r="A27" s="113">
        <v>38714</v>
      </c>
      <c r="B27" s="114">
        <f t="shared" si="0"/>
        <v>89</v>
      </c>
      <c r="C27" s="55">
        <f>C26-D27</f>
        <v>594300000</v>
      </c>
      <c r="D27" s="55">
        <f>D25</f>
        <v>19810000</v>
      </c>
      <c r="E27" s="115"/>
      <c r="F27" s="55"/>
      <c r="G27" s="116"/>
      <c r="H27" s="116"/>
      <c r="I27" s="117"/>
    </row>
    <row r="28" spans="1:9" ht="12.75">
      <c r="A28" s="120">
        <v>38717</v>
      </c>
      <c r="B28" s="121">
        <f t="shared" si="0"/>
        <v>3</v>
      </c>
      <c r="C28" s="122">
        <f>C27-D28</f>
        <v>594300000</v>
      </c>
      <c r="D28" s="122"/>
      <c r="E28" s="123">
        <v>0.061</v>
      </c>
      <c r="F28" s="122">
        <f>((C27+D27)*E28/360*B27)+((C28+D28)*E28/360*B28)</f>
        <v>9563222.472222222</v>
      </c>
      <c r="G28" s="124">
        <f>SUM(F22:F28)</f>
        <v>49868218.472222224</v>
      </c>
      <c r="H28" s="124">
        <f>SUM(D21:D28)</f>
        <v>79240000</v>
      </c>
      <c r="I28" s="125">
        <f>SUM(G28:H28)</f>
        <v>129108218.47222222</v>
      </c>
    </row>
    <row r="29" spans="1:9" ht="12.75">
      <c r="A29" s="126">
        <v>38804</v>
      </c>
      <c r="B29" s="127">
        <f t="shared" si="0"/>
        <v>87</v>
      </c>
      <c r="C29" s="56">
        <f aca="true" t="shared" si="2" ref="C29:C66">C28-D29</f>
        <v>574490000</v>
      </c>
      <c r="D29" s="56">
        <f>D27</f>
        <v>19810000</v>
      </c>
      <c r="E29" s="128"/>
      <c r="F29" s="127"/>
      <c r="G29" s="56"/>
      <c r="H29" s="127"/>
      <c r="I29" s="129"/>
    </row>
    <row r="30" spans="1:9" ht="12.75">
      <c r="A30" s="113">
        <v>38807</v>
      </c>
      <c r="B30" s="114">
        <f t="shared" si="0"/>
        <v>3</v>
      </c>
      <c r="C30" s="55">
        <f t="shared" si="2"/>
        <v>574490000</v>
      </c>
      <c r="D30" s="55"/>
      <c r="E30" s="115">
        <f>E28</f>
        <v>0.061</v>
      </c>
      <c r="F30" s="55">
        <f>((C29+D29)*E30/360*B29)+((C30+D30)*E30/360*B30)</f>
        <v>9053004.916666666</v>
      </c>
      <c r="G30" s="55"/>
      <c r="H30" s="114"/>
      <c r="I30" s="119"/>
    </row>
    <row r="31" spans="1:9" ht="12.75">
      <c r="A31" s="113">
        <v>38896</v>
      </c>
      <c r="B31" s="114">
        <f t="shared" si="0"/>
        <v>89</v>
      </c>
      <c r="C31" s="55">
        <f t="shared" si="2"/>
        <v>554680000</v>
      </c>
      <c r="D31" s="55">
        <f>D29</f>
        <v>19810000</v>
      </c>
      <c r="E31" s="118"/>
      <c r="F31" s="114"/>
      <c r="G31" s="55"/>
      <c r="H31" s="114"/>
      <c r="I31" s="119"/>
    </row>
    <row r="32" spans="1:9" ht="12.75">
      <c r="A32" s="113">
        <v>38898</v>
      </c>
      <c r="B32" s="114">
        <f t="shared" si="0"/>
        <v>2</v>
      </c>
      <c r="C32" s="55">
        <f t="shared" si="2"/>
        <v>554680000</v>
      </c>
      <c r="D32" s="55"/>
      <c r="E32" s="115">
        <f>E30</f>
        <v>0.061</v>
      </c>
      <c r="F32" s="55">
        <f>((C31+D31)*E32/360*B31)+((C32+D32)*E32/360*B32)</f>
        <v>8851603.25</v>
      </c>
      <c r="G32" s="55"/>
      <c r="H32" s="114"/>
      <c r="I32" s="119"/>
    </row>
    <row r="33" spans="1:9" ht="12.75">
      <c r="A33" s="113">
        <v>38988</v>
      </c>
      <c r="B33" s="114">
        <f t="shared" si="0"/>
        <v>90</v>
      </c>
      <c r="C33" s="55">
        <f t="shared" si="2"/>
        <v>534870000</v>
      </c>
      <c r="D33" s="55">
        <f>D31</f>
        <v>19810000</v>
      </c>
      <c r="E33" s="118"/>
      <c r="F33" s="114"/>
      <c r="G33" s="55"/>
      <c r="H33" s="114"/>
      <c r="I33" s="119"/>
    </row>
    <row r="34" spans="1:9" ht="12.75">
      <c r="A34" s="113">
        <v>38990</v>
      </c>
      <c r="B34" s="114">
        <f t="shared" si="0"/>
        <v>2</v>
      </c>
      <c r="C34" s="55">
        <f t="shared" si="2"/>
        <v>534870000</v>
      </c>
      <c r="D34" s="55"/>
      <c r="E34" s="115">
        <f>E32</f>
        <v>0.061</v>
      </c>
      <c r="F34" s="55">
        <f>((C33+D33)*E34/360*B33)+((C34+D34)*E34/360*B34)</f>
        <v>8640131.5</v>
      </c>
      <c r="G34" s="55"/>
      <c r="H34" s="114"/>
      <c r="I34" s="119"/>
    </row>
    <row r="35" spans="1:9" ht="12.75">
      <c r="A35" s="113">
        <v>39079</v>
      </c>
      <c r="B35" s="114">
        <f t="shared" si="0"/>
        <v>89</v>
      </c>
      <c r="C35" s="55">
        <f t="shared" si="2"/>
        <v>515060000</v>
      </c>
      <c r="D35" s="55">
        <f>D33</f>
        <v>19810000</v>
      </c>
      <c r="E35" s="118"/>
      <c r="F35" s="114"/>
      <c r="G35" s="55"/>
      <c r="H35" s="114"/>
      <c r="I35" s="119"/>
    </row>
    <row r="36" spans="1:9" ht="12.75">
      <c r="A36" s="120">
        <v>39082</v>
      </c>
      <c r="B36" s="121">
        <f t="shared" si="0"/>
        <v>3</v>
      </c>
      <c r="C36" s="122">
        <f t="shared" si="2"/>
        <v>515060000</v>
      </c>
      <c r="D36" s="122"/>
      <c r="E36" s="123">
        <f>E34</f>
        <v>0.061</v>
      </c>
      <c r="F36" s="122">
        <f>((C35+D35)*E36/360*B35)+((C36+D36)*E36/360*B36)</f>
        <v>8327958.916666667</v>
      </c>
      <c r="G36" s="124">
        <f>SUM(F30:F36)</f>
        <v>34872698.58333333</v>
      </c>
      <c r="H36" s="124">
        <f>SUM(D29:D36)</f>
        <v>79240000</v>
      </c>
      <c r="I36" s="125">
        <f>SUM(G36:H36)</f>
        <v>114112698.58333333</v>
      </c>
    </row>
    <row r="37" spans="1:9" ht="12.75">
      <c r="A37" s="126">
        <v>39169</v>
      </c>
      <c r="B37" s="127">
        <f t="shared" si="0"/>
        <v>87</v>
      </c>
      <c r="C37" s="56">
        <f t="shared" si="2"/>
        <v>495250000</v>
      </c>
      <c r="D37" s="56">
        <f>D35</f>
        <v>19810000</v>
      </c>
      <c r="E37" s="128"/>
      <c r="F37" s="127"/>
      <c r="G37" s="56"/>
      <c r="H37" s="127"/>
      <c r="I37" s="129"/>
    </row>
    <row r="38" spans="1:9" ht="12.75">
      <c r="A38" s="113">
        <v>39172</v>
      </c>
      <c r="B38" s="114">
        <f t="shared" si="0"/>
        <v>3</v>
      </c>
      <c r="C38" s="55">
        <f t="shared" si="2"/>
        <v>495250000</v>
      </c>
      <c r="D38" s="55"/>
      <c r="E38" s="115">
        <f>E36</f>
        <v>0.061</v>
      </c>
      <c r="F38" s="55">
        <f>((C37+D37)*E38/360*B37)+((C38+D38)*E38/360*B38)</f>
        <v>7844594.916666667</v>
      </c>
      <c r="G38" s="55"/>
      <c r="H38" s="114"/>
      <c r="I38" s="119"/>
    </row>
    <row r="39" spans="1:9" ht="12.75">
      <c r="A39" s="113">
        <v>39261</v>
      </c>
      <c r="B39" s="114">
        <f t="shared" si="0"/>
        <v>89</v>
      </c>
      <c r="C39" s="55">
        <f t="shared" si="2"/>
        <v>475440000</v>
      </c>
      <c r="D39" s="55">
        <f>D37</f>
        <v>19810000</v>
      </c>
      <c r="E39" s="118"/>
      <c r="F39" s="114"/>
      <c r="G39" s="55"/>
      <c r="H39" s="114"/>
      <c r="I39" s="119"/>
    </row>
    <row r="40" spans="1:9" ht="12.75">
      <c r="A40" s="113">
        <v>39263</v>
      </c>
      <c r="B40" s="114">
        <f t="shared" si="0"/>
        <v>2</v>
      </c>
      <c r="C40" s="55">
        <f t="shared" si="2"/>
        <v>475440000</v>
      </c>
      <c r="D40" s="55"/>
      <c r="E40" s="115">
        <f>E38</f>
        <v>0.061</v>
      </c>
      <c r="F40" s="55">
        <f>((C39+D39)*E40/360*B39)+((C40+D40)*E40/360*B40)</f>
        <v>7629766.472222222</v>
      </c>
      <c r="G40" s="55"/>
      <c r="H40" s="114"/>
      <c r="I40" s="119"/>
    </row>
    <row r="41" spans="1:9" ht="12.75">
      <c r="A41" s="113">
        <v>39353</v>
      </c>
      <c r="B41" s="114">
        <f t="shared" si="0"/>
        <v>90</v>
      </c>
      <c r="C41" s="55">
        <f t="shared" si="2"/>
        <v>455630000</v>
      </c>
      <c r="D41" s="55">
        <f>D39</f>
        <v>19810000</v>
      </c>
      <c r="E41" s="118"/>
      <c r="F41" s="114"/>
      <c r="G41" s="55"/>
      <c r="H41" s="114"/>
      <c r="I41" s="119"/>
    </row>
    <row r="42" spans="1:9" ht="12.75">
      <c r="A42" s="113">
        <v>39355</v>
      </c>
      <c r="B42" s="114">
        <f t="shared" si="0"/>
        <v>2</v>
      </c>
      <c r="C42" s="55">
        <f t="shared" si="2"/>
        <v>455630000</v>
      </c>
      <c r="D42" s="55"/>
      <c r="E42" s="115">
        <f>E40</f>
        <v>0.061</v>
      </c>
      <c r="F42" s="55">
        <f>((C41+D41)*E42/360*B41)+((C42+D42)*E42/360*B42)</f>
        <v>7404867.944444444</v>
      </c>
      <c r="G42" s="55"/>
      <c r="H42" s="114"/>
      <c r="I42" s="119"/>
    </row>
    <row r="43" spans="1:9" ht="12.75">
      <c r="A43" s="113">
        <v>39444</v>
      </c>
      <c r="B43" s="114">
        <f t="shared" si="0"/>
        <v>89</v>
      </c>
      <c r="C43" s="55">
        <f t="shared" si="2"/>
        <v>435820000</v>
      </c>
      <c r="D43" s="55">
        <f>D41</f>
        <v>19810000</v>
      </c>
      <c r="E43" s="118"/>
      <c r="F43" s="114"/>
      <c r="G43" s="55"/>
      <c r="H43" s="114"/>
      <c r="I43" s="119"/>
    </row>
    <row r="44" spans="1:9" ht="12.75">
      <c r="A44" s="120">
        <v>39447</v>
      </c>
      <c r="B44" s="121">
        <f t="shared" si="0"/>
        <v>3</v>
      </c>
      <c r="C44" s="122">
        <f t="shared" si="2"/>
        <v>435820000</v>
      </c>
      <c r="D44" s="122"/>
      <c r="E44" s="123">
        <f>E42</f>
        <v>0.061</v>
      </c>
      <c r="F44" s="122">
        <f>((C43+D43)*E44/360*B43)+((C44+D44)*E44/360*B44)</f>
        <v>7092695.36111111</v>
      </c>
      <c r="G44" s="124">
        <f>SUM(F38:F44)</f>
        <v>29971924.69444444</v>
      </c>
      <c r="H44" s="124">
        <f>SUM(D37:D44)</f>
        <v>79240000</v>
      </c>
      <c r="I44" s="125">
        <f>SUM(G44:H44)</f>
        <v>109211924.69444445</v>
      </c>
    </row>
    <row r="45" spans="1:9" ht="12.75">
      <c r="A45" s="126">
        <v>39535</v>
      </c>
      <c r="B45" s="127">
        <f t="shared" si="0"/>
        <v>88</v>
      </c>
      <c r="C45" s="56">
        <f t="shared" si="2"/>
        <v>416010000</v>
      </c>
      <c r="D45" s="56">
        <f>D43</f>
        <v>19810000</v>
      </c>
      <c r="E45" s="128"/>
      <c r="F45" s="127"/>
      <c r="G45" s="56"/>
      <c r="H45" s="127"/>
      <c r="I45" s="129"/>
    </row>
    <row r="46" spans="1:9" ht="12.75">
      <c r="A46" s="113">
        <v>39538</v>
      </c>
      <c r="B46" s="114">
        <f t="shared" si="0"/>
        <v>3</v>
      </c>
      <c r="C46" s="55">
        <f t="shared" si="2"/>
        <v>416010000</v>
      </c>
      <c r="D46" s="55"/>
      <c r="E46" s="115">
        <f>E44</f>
        <v>0.061</v>
      </c>
      <c r="F46" s="55">
        <f>((C45+D45)*E46/360*B45)+((C46+D46)*E46/360*B46)</f>
        <v>6710032.194444445</v>
      </c>
      <c r="G46" s="55"/>
      <c r="H46" s="114"/>
      <c r="I46" s="119"/>
    </row>
    <row r="47" spans="1:9" ht="12.75">
      <c r="A47" s="113">
        <v>39627</v>
      </c>
      <c r="B47" s="114">
        <f aca="true" t="shared" si="3" ref="B47:B68">A47-A46</f>
        <v>89</v>
      </c>
      <c r="C47" s="55">
        <f t="shared" si="2"/>
        <v>396200000</v>
      </c>
      <c r="D47" s="55">
        <f>D45</f>
        <v>19810000</v>
      </c>
      <c r="E47" s="118"/>
      <c r="F47" s="114"/>
      <c r="G47" s="55"/>
      <c r="H47" s="114"/>
      <c r="I47" s="119"/>
    </row>
    <row r="48" spans="1:9" ht="12.75">
      <c r="A48" s="113">
        <v>39629</v>
      </c>
      <c r="B48" s="114">
        <f t="shared" si="3"/>
        <v>2</v>
      </c>
      <c r="C48" s="55">
        <f t="shared" si="2"/>
        <v>396200000</v>
      </c>
      <c r="D48" s="55"/>
      <c r="E48" s="115">
        <f>E46</f>
        <v>0.061</v>
      </c>
      <c r="F48" s="55">
        <f>((C47+D47)*E48/360*B47)+((C48+D48)*E48/360*B48)</f>
        <v>6407929.694444444</v>
      </c>
      <c r="G48" s="55"/>
      <c r="H48" s="114"/>
      <c r="I48" s="119"/>
    </row>
    <row r="49" spans="1:9" ht="12.75">
      <c r="A49" s="113">
        <v>39719</v>
      </c>
      <c r="B49" s="114">
        <f t="shared" si="3"/>
        <v>90</v>
      </c>
      <c r="C49" s="55">
        <f t="shared" si="2"/>
        <v>376390000</v>
      </c>
      <c r="D49" s="55">
        <f>D47</f>
        <v>19810000</v>
      </c>
      <c r="E49" s="118"/>
      <c r="F49" s="114"/>
      <c r="G49" s="55"/>
      <c r="H49" s="114"/>
      <c r="I49" s="119"/>
    </row>
    <row r="50" spans="1:9" ht="12.75">
      <c r="A50" s="113">
        <v>39721</v>
      </c>
      <c r="B50" s="114">
        <f t="shared" si="3"/>
        <v>2</v>
      </c>
      <c r="C50" s="55">
        <f t="shared" si="2"/>
        <v>376390000</v>
      </c>
      <c r="D50" s="55"/>
      <c r="E50" s="115">
        <f>E48</f>
        <v>0.061</v>
      </c>
      <c r="F50" s="55">
        <f>((C49+D49)*E50/360*B49)+((C50+D50)*E50/360*B50)</f>
        <v>6169604.388888889</v>
      </c>
      <c r="G50" s="55"/>
      <c r="H50" s="114"/>
      <c r="I50" s="119"/>
    </row>
    <row r="51" spans="1:9" ht="12.75">
      <c r="A51" s="113">
        <v>39810</v>
      </c>
      <c r="B51" s="114">
        <f t="shared" si="3"/>
        <v>89</v>
      </c>
      <c r="C51" s="55">
        <f t="shared" si="2"/>
        <v>356580000</v>
      </c>
      <c r="D51" s="55">
        <f>D49</f>
        <v>19810000</v>
      </c>
      <c r="E51" s="118"/>
      <c r="F51" s="114"/>
      <c r="G51" s="55"/>
      <c r="H51" s="114"/>
      <c r="I51" s="119"/>
    </row>
    <row r="52" spans="1:9" ht="12.75">
      <c r="A52" s="120">
        <v>39813</v>
      </c>
      <c r="B52" s="121">
        <f t="shared" si="3"/>
        <v>3</v>
      </c>
      <c r="C52" s="122">
        <f t="shared" si="2"/>
        <v>356580000</v>
      </c>
      <c r="D52" s="122"/>
      <c r="E52" s="123">
        <f>E50</f>
        <v>0.061</v>
      </c>
      <c r="F52" s="122">
        <f>((C51+D51)*E52/360*B51)+((C52+D52)*E52/360*B52)</f>
        <v>5857431.805555556</v>
      </c>
      <c r="G52" s="124">
        <f>SUM(F46:F52)</f>
        <v>25144998.083333332</v>
      </c>
      <c r="H52" s="124">
        <f>SUM(D45:D52)</f>
        <v>79240000</v>
      </c>
      <c r="I52" s="125">
        <f>SUM(G52:H52)</f>
        <v>104384998.08333333</v>
      </c>
    </row>
    <row r="53" spans="1:9" ht="12.75">
      <c r="A53" s="126">
        <v>39900</v>
      </c>
      <c r="B53" s="127">
        <f t="shared" si="3"/>
        <v>87</v>
      </c>
      <c r="C53" s="56">
        <f t="shared" si="2"/>
        <v>336770000</v>
      </c>
      <c r="D53" s="56">
        <f>D51</f>
        <v>19810000</v>
      </c>
      <c r="E53" s="128"/>
      <c r="F53" s="127"/>
      <c r="G53" s="56"/>
      <c r="H53" s="127"/>
      <c r="I53" s="129"/>
    </row>
    <row r="54" spans="1:9" ht="12.75">
      <c r="A54" s="113">
        <v>39903</v>
      </c>
      <c r="B54" s="114">
        <f t="shared" si="3"/>
        <v>3</v>
      </c>
      <c r="C54" s="55">
        <f t="shared" si="2"/>
        <v>336770000</v>
      </c>
      <c r="D54" s="55"/>
      <c r="E54" s="115">
        <f>E52</f>
        <v>0.061</v>
      </c>
      <c r="F54" s="55">
        <f>((C53+D53)*E54/360*B53)+((C54+D54)*E54/360*B54)</f>
        <v>5427774.916666667</v>
      </c>
      <c r="G54" s="55"/>
      <c r="H54" s="114"/>
      <c r="I54" s="119"/>
    </row>
    <row r="55" spans="1:9" ht="12.75">
      <c r="A55" s="113">
        <v>39992</v>
      </c>
      <c r="B55" s="114">
        <f t="shared" si="3"/>
        <v>89</v>
      </c>
      <c r="C55" s="55">
        <f t="shared" si="2"/>
        <v>316960000</v>
      </c>
      <c r="D55" s="55">
        <f>D53</f>
        <v>19810000</v>
      </c>
      <c r="E55" s="118"/>
      <c r="F55" s="114"/>
      <c r="G55" s="55"/>
      <c r="H55" s="114"/>
      <c r="I55" s="119"/>
    </row>
    <row r="56" spans="1:9" ht="12.75">
      <c r="A56" s="113">
        <v>39994</v>
      </c>
      <c r="B56" s="114">
        <f t="shared" si="3"/>
        <v>2</v>
      </c>
      <c r="C56" s="55">
        <f t="shared" si="2"/>
        <v>316960000</v>
      </c>
      <c r="D56" s="55"/>
      <c r="E56" s="115">
        <f>E54</f>
        <v>0.061</v>
      </c>
      <c r="F56" s="55">
        <f>((C55+D55)*E56/360*B55)+((C56+D56)*E56/360*B56)</f>
        <v>5186092.916666666</v>
      </c>
      <c r="G56" s="55"/>
      <c r="H56" s="114"/>
      <c r="I56" s="119"/>
    </row>
    <row r="57" spans="1:9" ht="12.75">
      <c r="A57" s="113">
        <v>40084</v>
      </c>
      <c r="B57" s="114">
        <f t="shared" si="3"/>
        <v>90</v>
      </c>
      <c r="C57" s="55">
        <f t="shared" si="2"/>
        <v>297150000</v>
      </c>
      <c r="D57" s="55">
        <f>D55</f>
        <v>19810000</v>
      </c>
      <c r="E57" s="118"/>
      <c r="F57" s="114"/>
      <c r="G57" s="55"/>
      <c r="H57" s="114"/>
      <c r="I57" s="119"/>
    </row>
    <row r="58" spans="1:9" ht="12.75">
      <c r="A58" s="113">
        <v>40086</v>
      </c>
      <c r="B58" s="114">
        <f t="shared" si="3"/>
        <v>2</v>
      </c>
      <c r="C58" s="55">
        <f t="shared" si="2"/>
        <v>297150000</v>
      </c>
      <c r="D58" s="55"/>
      <c r="E58" s="115">
        <f>E56</f>
        <v>0.061</v>
      </c>
      <c r="F58" s="55">
        <f>((C57+D57)*E58/360*B57)+((C58+D58)*E58/360*B58)</f>
        <v>4934340.833333333</v>
      </c>
      <c r="G58" s="55"/>
      <c r="H58" s="114"/>
      <c r="I58" s="119"/>
    </row>
    <row r="59" spans="1:9" ht="12.75">
      <c r="A59" s="113">
        <v>40175</v>
      </c>
      <c r="B59" s="114">
        <f t="shared" si="3"/>
        <v>89</v>
      </c>
      <c r="C59" s="55">
        <f t="shared" si="2"/>
        <v>277340000</v>
      </c>
      <c r="D59" s="55">
        <f>D57</f>
        <v>19810000</v>
      </c>
      <c r="E59" s="118"/>
      <c r="F59" s="114"/>
      <c r="G59" s="55"/>
      <c r="H59" s="114"/>
      <c r="I59" s="119"/>
    </row>
    <row r="60" spans="1:9" ht="12.75">
      <c r="A60" s="120">
        <v>40178</v>
      </c>
      <c r="B60" s="121">
        <f t="shared" si="3"/>
        <v>3</v>
      </c>
      <c r="C60" s="122">
        <f t="shared" si="2"/>
        <v>277340000</v>
      </c>
      <c r="D60" s="122"/>
      <c r="E60" s="123">
        <f>E58</f>
        <v>0.061</v>
      </c>
      <c r="F60" s="122">
        <f>((C59+D59)*E60/360*B59)+((C60+D60)*E60/360*B60)</f>
        <v>4622168.25</v>
      </c>
      <c r="G60" s="124">
        <f>SUM(F54:F60)</f>
        <v>20170376.916666664</v>
      </c>
      <c r="H60" s="124">
        <f>SUM(D53:D60)</f>
        <v>79240000</v>
      </c>
      <c r="I60" s="125">
        <f>SUM(G60:H60)</f>
        <v>99410376.91666666</v>
      </c>
    </row>
    <row r="61" spans="1:9" ht="12.75">
      <c r="A61" s="126">
        <v>40265</v>
      </c>
      <c r="B61" s="127">
        <f t="shared" si="3"/>
        <v>87</v>
      </c>
      <c r="C61" s="56">
        <f t="shared" si="2"/>
        <v>257530000</v>
      </c>
      <c r="D61" s="56">
        <f>D59</f>
        <v>19810000</v>
      </c>
      <c r="E61" s="128"/>
      <c r="F61" s="127"/>
      <c r="G61" s="56"/>
      <c r="H61" s="127"/>
      <c r="I61" s="129"/>
    </row>
    <row r="62" spans="1:9" ht="12.75">
      <c r="A62" s="113">
        <v>40268</v>
      </c>
      <c r="B62" s="114">
        <f t="shared" si="3"/>
        <v>3</v>
      </c>
      <c r="C62" s="55">
        <f t="shared" si="2"/>
        <v>257530000</v>
      </c>
      <c r="D62" s="55"/>
      <c r="E62" s="115">
        <f>E60</f>
        <v>0.061</v>
      </c>
      <c r="F62" s="55">
        <f>((C61+D61)*E62/360*B61)+((C62+D62)*E62/360*B62)</f>
        <v>4219364.916666666</v>
      </c>
      <c r="G62" s="55"/>
      <c r="H62" s="114"/>
      <c r="I62" s="119"/>
    </row>
    <row r="63" spans="1:9" ht="12.75">
      <c r="A63" s="113">
        <v>40357</v>
      </c>
      <c r="B63" s="114">
        <f t="shared" si="3"/>
        <v>89</v>
      </c>
      <c r="C63" s="55">
        <f t="shared" si="2"/>
        <v>237720000</v>
      </c>
      <c r="D63" s="55">
        <f>D61</f>
        <v>19810000</v>
      </c>
      <c r="E63" s="115"/>
      <c r="F63" s="55"/>
      <c r="G63" s="55"/>
      <c r="H63" s="114"/>
      <c r="I63" s="119"/>
    </row>
    <row r="64" spans="1:9" ht="12.75">
      <c r="A64" s="113">
        <v>40359</v>
      </c>
      <c r="B64" s="114">
        <f t="shared" si="3"/>
        <v>2</v>
      </c>
      <c r="C64" s="55">
        <f t="shared" si="2"/>
        <v>237720000</v>
      </c>
      <c r="D64" s="55"/>
      <c r="E64" s="115">
        <f>E62</f>
        <v>0.061</v>
      </c>
      <c r="F64" s="55">
        <f>((C63+D63)*E64/360*B63)+((C64+D64)*E64/360*B64)</f>
        <v>3964256.138888889</v>
      </c>
      <c r="G64" s="55"/>
      <c r="H64" s="114"/>
      <c r="I64" s="119"/>
    </row>
    <row r="65" spans="1:9" ht="12.75">
      <c r="A65" s="113">
        <v>40449</v>
      </c>
      <c r="B65" s="114">
        <f t="shared" si="3"/>
        <v>90</v>
      </c>
      <c r="C65" s="55">
        <f t="shared" si="2"/>
        <v>217910000</v>
      </c>
      <c r="D65" s="55">
        <f>D63</f>
        <v>19810000</v>
      </c>
      <c r="E65" s="115"/>
      <c r="F65" s="55"/>
      <c r="G65" s="55"/>
      <c r="H65" s="114"/>
      <c r="I65" s="119"/>
    </row>
    <row r="66" spans="1:9" ht="12.75">
      <c r="A66" s="113">
        <v>40451</v>
      </c>
      <c r="B66" s="114">
        <f t="shared" si="3"/>
        <v>2</v>
      </c>
      <c r="C66" s="55">
        <f t="shared" si="2"/>
        <v>217910000</v>
      </c>
      <c r="D66" s="55"/>
      <c r="E66" s="115">
        <f>E64</f>
        <v>0.061</v>
      </c>
      <c r="F66" s="55">
        <f>((C65+D65)*E66/360*B65)+((C66+D66)*E66/360*B66)</f>
        <v>3699077.277777778</v>
      </c>
      <c r="G66" s="55"/>
      <c r="H66" s="114"/>
      <c r="I66" s="119"/>
    </row>
    <row r="67" spans="1:9" ht="12.75">
      <c r="A67" s="113">
        <v>40540</v>
      </c>
      <c r="B67" s="114">
        <f t="shared" si="3"/>
        <v>89</v>
      </c>
      <c r="C67" s="55">
        <f>C66-D67</f>
        <v>198100000</v>
      </c>
      <c r="D67" s="55">
        <f>D65</f>
        <v>19810000</v>
      </c>
      <c r="E67" s="118"/>
      <c r="F67" s="114"/>
      <c r="G67" s="55"/>
      <c r="H67" s="114"/>
      <c r="I67" s="119"/>
    </row>
    <row r="68" spans="1:9" ht="12.75">
      <c r="A68" s="120">
        <v>40543</v>
      </c>
      <c r="B68" s="121">
        <f t="shared" si="3"/>
        <v>3</v>
      </c>
      <c r="C68" s="122">
        <f>C67-D68</f>
        <v>198100000</v>
      </c>
      <c r="D68" s="122"/>
      <c r="E68" s="123">
        <f>E66</f>
        <v>0.061</v>
      </c>
      <c r="F68" s="122">
        <f>((C67+D67)*E68/360*B67)</f>
        <v>3286203.8611111115</v>
      </c>
      <c r="G68" s="124">
        <f>SUM(F61:F68)</f>
        <v>15168902.194444444</v>
      </c>
      <c r="H68" s="124">
        <f>SUM(D61:D68)</f>
        <v>79240000</v>
      </c>
      <c r="I68" s="125">
        <f>SUM(G68:H68)</f>
        <v>94408902.19444445</v>
      </c>
    </row>
    <row r="69" spans="1:9" ht="12.75">
      <c r="A69" s="126">
        <v>40630</v>
      </c>
      <c r="B69" s="127">
        <f aca="true" t="shared" si="4" ref="B69:B74">A69-A68</f>
        <v>87</v>
      </c>
      <c r="C69" s="56">
        <f aca="true" t="shared" si="5" ref="C69:C74">C68-D69</f>
        <v>178290000</v>
      </c>
      <c r="D69" s="56">
        <f>D67</f>
        <v>19810000</v>
      </c>
      <c r="E69" s="128"/>
      <c r="F69" s="127"/>
      <c r="G69" s="56"/>
      <c r="H69" s="127"/>
      <c r="I69" s="129"/>
    </row>
    <row r="70" spans="1:9" ht="12.75">
      <c r="A70" s="113">
        <v>40633</v>
      </c>
      <c r="B70" s="114">
        <f t="shared" si="4"/>
        <v>3</v>
      </c>
      <c r="C70" s="55">
        <f t="shared" si="5"/>
        <v>178290000</v>
      </c>
      <c r="D70" s="55"/>
      <c r="E70" s="115">
        <f>E68</f>
        <v>0.061</v>
      </c>
      <c r="F70" s="55">
        <f>((C69+D69)*E70/360*B69)+((C70+D70)*E70/360*B70)</f>
        <v>3010954.9166666665</v>
      </c>
      <c r="G70" s="55"/>
      <c r="H70" s="114"/>
      <c r="I70" s="119"/>
    </row>
    <row r="71" spans="1:9" ht="12.75">
      <c r="A71" s="113">
        <v>40722</v>
      </c>
      <c r="B71" s="114">
        <f t="shared" si="4"/>
        <v>89</v>
      </c>
      <c r="C71" s="55">
        <f t="shared" si="5"/>
        <v>158480000</v>
      </c>
      <c r="D71" s="55">
        <f>D69</f>
        <v>19810000</v>
      </c>
      <c r="E71" s="115"/>
      <c r="F71" s="55"/>
      <c r="G71" s="55"/>
      <c r="H71" s="114"/>
      <c r="I71" s="119"/>
    </row>
    <row r="72" spans="1:9" ht="12.75">
      <c r="A72" s="113">
        <v>40724</v>
      </c>
      <c r="B72" s="114">
        <f t="shared" si="4"/>
        <v>2</v>
      </c>
      <c r="C72" s="55">
        <f t="shared" si="5"/>
        <v>158480000</v>
      </c>
      <c r="D72" s="55"/>
      <c r="E72" s="115">
        <f>E70</f>
        <v>0.061</v>
      </c>
      <c r="F72" s="55">
        <f>((C71+D71)*E72/360*B71)+((C72+D72)*E72/360*B72)</f>
        <v>2742419.361111111</v>
      </c>
      <c r="G72" s="55"/>
      <c r="H72" s="114"/>
      <c r="I72" s="119"/>
    </row>
    <row r="73" spans="1:9" ht="12.75">
      <c r="A73" s="113">
        <v>40814</v>
      </c>
      <c r="B73" s="114">
        <f t="shared" si="4"/>
        <v>90</v>
      </c>
      <c r="C73" s="55">
        <f t="shared" si="5"/>
        <v>138670000</v>
      </c>
      <c r="D73" s="55">
        <f>D71</f>
        <v>19810000</v>
      </c>
      <c r="E73" s="115"/>
      <c r="F73" s="55"/>
      <c r="G73" s="55"/>
      <c r="H73" s="114"/>
      <c r="I73" s="119"/>
    </row>
    <row r="74" spans="1:9" ht="12.75">
      <c r="A74" s="113">
        <v>40816</v>
      </c>
      <c r="B74" s="114">
        <f t="shared" si="4"/>
        <v>2</v>
      </c>
      <c r="C74" s="55">
        <f t="shared" si="5"/>
        <v>138670000</v>
      </c>
      <c r="D74" s="55"/>
      <c r="E74" s="115">
        <f>E72</f>
        <v>0.061</v>
      </c>
      <c r="F74" s="55">
        <f>((C73+D73)*E74/360*B73)+((C74+D74)*E74/360*B74)</f>
        <v>2463813.722222222</v>
      </c>
      <c r="G74" s="55"/>
      <c r="H74" s="114"/>
      <c r="I74" s="119"/>
    </row>
    <row r="75" spans="1:9" ht="12.75">
      <c r="A75" s="113">
        <v>40905</v>
      </c>
      <c r="B75" s="114">
        <f>A75-A74</f>
        <v>89</v>
      </c>
      <c r="C75" s="55">
        <f>C74-D75</f>
        <v>118860000</v>
      </c>
      <c r="D75" s="55">
        <f>D73</f>
        <v>19810000</v>
      </c>
      <c r="E75" s="118"/>
      <c r="F75" s="114"/>
      <c r="G75" s="55"/>
      <c r="H75" s="114"/>
      <c r="I75" s="119"/>
    </row>
    <row r="76" spans="1:9" ht="12.75">
      <c r="A76" s="120">
        <v>40908</v>
      </c>
      <c r="B76" s="121">
        <f>A76-A75</f>
        <v>3</v>
      </c>
      <c r="C76" s="122">
        <f>C75-D76</f>
        <v>118860000</v>
      </c>
      <c r="D76" s="122"/>
      <c r="E76" s="123">
        <f>E74</f>
        <v>0.061</v>
      </c>
      <c r="F76" s="122">
        <f>((C75+D75)*E76/360*B75)</f>
        <v>2091220.6388888888</v>
      </c>
      <c r="G76" s="124">
        <f>SUM(F69:F76)</f>
        <v>10308408.638888888</v>
      </c>
      <c r="H76" s="124">
        <f>SUM(D69:D76)</f>
        <v>79240000</v>
      </c>
      <c r="I76" s="125">
        <f>SUM(G76:H76)</f>
        <v>89548408.6388889</v>
      </c>
    </row>
    <row r="77" spans="1:9" ht="12.75">
      <c r="A77" s="126">
        <v>40996</v>
      </c>
      <c r="B77" s="127">
        <f aca="true" t="shared" si="6" ref="B77:B82">A77-A76</f>
        <v>88</v>
      </c>
      <c r="C77" s="56">
        <f aca="true" t="shared" si="7" ref="C77:C82">C76-D77</f>
        <v>99050000</v>
      </c>
      <c r="D77" s="56">
        <f>D75</f>
        <v>19810000</v>
      </c>
      <c r="E77" s="128"/>
      <c r="F77" s="127"/>
      <c r="G77" s="56"/>
      <c r="H77" s="127"/>
      <c r="I77" s="129"/>
    </row>
    <row r="78" spans="1:9" ht="12.75">
      <c r="A78" s="113">
        <v>40999</v>
      </c>
      <c r="B78" s="114">
        <f t="shared" si="6"/>
        <v>3</v>
      </c>
      <c r="C78" s="55">
        <f t="shared" si="7"/>
        <v>99050000</v>
      </c>
      <c r="D78" s="55"/>
      <c r="E78" s="115">
        <f>E76</f>
        <v>0.061</v>
      </c>
      <c r="F78" s="55">
        <f>((C77+D77)*E78/360*B77)+((C78+D78)*E78/360*B78)</f>
        <v>1822685.0833333335</v>
      </c>
      <c r="G78" s="55"/>
      <c r="H78" s="114"/>
      <c r="I78" s="119"/>
    </row>
    <row r="79" spans="1:9" ht="12.75">
      <c r="A79" s="113">
        <v>41088</v>
      </c>
      <c r="B79" s="114">
        <f t="shared" si="6"/>
        <v>89</v>
      </c>
      <c r="C79" s="55">
        <f t="shared" si="7"/>
        <v>79240000</v>
      </c>
      <c r="D79" s="55">
        <f>D77</f>
        <v>19810000</v>
      </c>
      <c r="E79" s="115"/>
      <c r="F79" s="55"/>
      <c r="G79" s="55"/>
      <c r="H79" s="114"/>
      <c r="I79" s="119"/>
    </row>
    <row r="80" spans="1:9" ht="12.75">
      <c r="A80" s="113">
        <v>41090</v>
      </c>
      <c r="B80" s="114">
        <f t="shared" si="6"/>
        <v>2</v>
      </c>
      <c r="C80" s="55">
        <f t="shared" si="7"/>
        <v>79240000</v>
      </c>
      <c r="D80" s="55"/>
      <c r="E80" s="115">
        <f>E78</f>
        <v>0.061</v>
      </c>
      <c r="F80" s="55">
        <f>((C79+D79)*E80/360*B79)+((C80+D80)*E80/360*B80)</f>
        <v>1520582.5833333333</v>
      </c>
      <c r="G80" s="55"/>
      <c r="H80" s="114"/>
      <c r="I80" s="119"/>
    </row>
    <row r="81" spans="1:9" ht="12.75">
      <c r="A81" s="113">
        <v>41180</v>
      </c>
      <c r="B81" s="114">
        <f t="shared" si="6"/>
        <v>90</v>
      </c>
      <c r="C81" s="55">
        <f t="shared" si="7"/>
        <v>59430000</v>
      </c>
      <c r="D81" s="55">
        <f>D79</f>
        <v>19810000</v>
      </c>
      <c r="E81" s="115"/>
      <c r="F81" s="55"/>
      <c r="G81" s="55"/>
      <c r="H81" s="114"/>
      <c r="I81" s="119"/>
    </row>
    <row r="82" spans="1:9" ht="12.75">
      <c r="A82" s="113">
        <v>41182</v>
      </c>
      <c r="B82" s="114">
        <f t="shared" si="6"/>
        <v>2</v>
      </c>
      <c r="C82" s="55">
        <f t="shared" si="7"/>
        <v>59430000</v>
      </c>
      <c r="D82" s="55"/>
      <c r="E82" s="115">
        <f>E80</f>
        <v>0.061</v>
      </c>
      <c r="F82" s="55">
        <f>((C81+D81)*E82/360*B81)+((C82+D82)*E82/360*B82)</f>
        <v>1228550.1666666667</v>
      </c>
      <c r="G82" s="55"/>
      <c r="H82" s="114"/>
      <c r="I82" s="119"/>
    </row>
    <row r="83" spans="1:9" ht="12.75">
      <c r="A83" s="113">
        <v>41271</v>
      </c>
      <c r="B83" s="114">
        <f>A83-A82</f>
        <v>89</v>
      </c>
      <c r="C83" s="55">
        <f>C82-D83</f>
        <v>39620000</v>
      </c>
      <c r="D83" s="55">
        <f>D81</f>
        <v>19810000</v>
      </c>
      <c r="E83" s="118"/>
      <c r="F83" s="114"/>
      <c r="G83" s="55"/>
      <c r="H83" s="114"/>
      <c r="I83" s="119"/>
    </row>
    <row r="84" spans="1:9" ht="12.75">
      <c r="A84" s="120">
        <v>41274</v>
      </c>
      <c r="B84" s="121">
        <f>A84-A83</f>
        <v>3</v>
      </c>
      <c r="C84" s="122">
        <f>C83-D84</f>
        <v>39620000</v>
      </c>
      <c r="D84" s="122"/>
      <c r="E84" s="123">
        <f>E82</f>
        <v>0.061</v>
      </c>
      <c r="F84" s="122">
        <f>((C83+D83)*E84/360*B83)</f>
        <v>896237.4166666667</v>
      </c>
      <c r="G84" s="124">
        <f>SUM(F77:F84)</f>
        <v>5468055.250000001</v>
      </c>
      <c r="H84" s="124">
        <f>SUM(D77:D84)</f>
        <v>79240000</v>
      </c>
      <c r="I84" s="125">
        <f>SUM(G84:H84)</f>
        <v>84708055.25</v>
      </c>
    </row>
    <row r="85" spans="1:9" ht="12.75">
      <c r="A85" s="126">
        <v>41361</v>
      </c>
      <c r="B85" s="127">
        <f>A85-A84</f>
        <v>87</v>
      </c>
      <c r="C85" s="56">
        <f>C84-D85</f>
        <v>19810000</v>
      </c>
      <c r="D85" s="56">
        <f>D83</f>
        <v>19810000</v>
      </c>
      <c r="E85" s="128"/>
      <c r="F85" s="127"/>
      <c r="G85" s="56"/>
      <c r="H85" s="127"/>
      <c r="I85" s="129"/>
    </row>
    <row r="86" spans="1:9" ht="12.75">
      <c r="A86" s="113">
        <v>41364</v>
      </c>
      <c r="B86" s="114">
        <f>A86-A85</f>
        <v>3</v>
      </c>
      <c r="C86" s="55">
        <f>C85-D86</f>
        <v>19810000</v>
      </c>
      <c r="D86" s="55"/>
      <c r="E86" s="115">
        <f>E84</f>
        <v>0.061</v>
      </c>
      <c r="F86" s="55">
        <f>((C85+D85)*E86/360*B85)+((C86+D86)*E86/360*B86)</f>
        <v>594134.9166666667</v>
      </c>
      <c r="G86" s="55"/>
      <c r="H86" s="114"/>
      <c r="I86" s="119"/>
    </row>
    <row r="87" spans="1:9" ht="13.5" thickBot="1">
      <c r="A87" s="113">
        <v>41453</v>
      </c>
      <c r="B87" s="114">
        <f>A87-A86</f>
        <v>89</v>
      </c>
      <c r="C87" s="55">
        <f>C86-D87</f>
        <v>0</v>
      </c>
      <c r="D87" s="55">
        <f>D85</f>
        <v>19810000</v>
      </c>
      <c r="E87" s="115">
        <f>E86</f>
        <v>0.061</v>
      </c>
      <c r="F87" s="55">
        <f>((C87+D87)*E87/360*B87)</f>
        <v>298745.80555555556</v>
      </c>
      <c r="G87" s="323">
        <f>SUM(F85:F87)</f>
        <v>892880.7222222222</v>
      </c>
      <c r="H87" s="323">
        <f>SUM(D85:D87)</f>
        <v>39620000</v>
      </c>
      <c r="I87" s="324">
        <f>SUM(G87:H87)</f>
        <v>40512880.722222224</v>
      </c>
    </row>
    <row r="88" spans="1:9" ht="13.5" thickTop="1">
      <c r="A88" s="425" t="s">
        <v>14</v>
      </c>
      <c r="B88" s="426"/>
      <c r="C88" s="427"/>
      <c r="D88" s="143">
        <f>SUM(D8:D87)</f>
        <v>713171000</v>
      </c>
      <c r="E88" s="144"/>
      <c r="F88" s="143">
        <f>SUM(F8:F87)</f>
        <v>282324053.5555555</v>
      </c>
      <c r="G88" s="143">
        <f>SUM(G8:G87)</f>
        <v>282324053.5555555</v>
      </c>
      <c r="H88" s="143">
        <f>SUM(H8:H87)</f>
        <v>713171000</v>
      </c>
      <c r="I88" s="145">
        <f>SUM(I8:I87)</f>
        <v>995495053.5555555</v>
      </c>
    </row>
    <row r="89" ht="12.75">
      <c r="A89" s="146"/>
    </row>
    <row r="90" ht="12.75">
      <c r="A90" s="146"/>
    </row>
    <row r="91" spans="2:7" ht="12.75">
      <c r="B91" s="81"/>
      <c r="C91" s="81" t="s">
        <v>118</v>
      </c>
      <c r="D91" s="81"/>
      <c r="E91" s="148" t="s">
        <v>119</v>
      </c>
      <c r="G91" s="325">
        <v>301781952</v>
      </c>
    </row>
    <row r="92" spans="2:7" ht="12.75">
      <c r="B92" s="81"/>
      <c r="C92" s="81" t="s">
        <v>123</v>
      </c>
      <c r="D92" s="81"/>
      <c r="E92" s="148" t="s">
        <v>120</v>
      </c>
      <c r="G92" s="325">
        <v>312908472</v>
      </c>
    </row>
    <row r="93" spans="3:7" ht="12.75">
      <c r="C93" s="81" t="s">
        <v>124</v>
      </c>
      <c r="E93" s="148" t="s">
        <v>121</v>
      </c>
      <c r="G93" s="325">
        <v>66348184</v>
      </c>
    </row>
    <row r="94" spans="3:7" ht="12.75">
      <c r="C94" s="81" t="s">
        <v>125</v>
      </c>
      <c r="E94" s="148" t="s">
        <v>122</v>
      </c>
      <c r="G94" s="325">
        <v>13675934</v>
      </c>
    </row>
    <row r="95" spans="3:7" ht="12.75">
      <c r="C95" s="81" t="s">
        <v>126</v>
      </c>
      <c r="E95" s="148" t="s">
        <v>128</v>
      </c>
      <c r="G95" s="325">
        <v>10056414</v>
      </c>
    </row>
    <row r="96" spans="3:7" ht="13.5" thickBot="1">
      <c r="C96" s="81" t="s">
        <v>127</v>
      </c>
      <c r="E96" s="148" t="s">
        <v>129</v>
      </c>
      <c r="G96" s="325">
        <v>8400044</v>
      </c>
    </row>
    <row r="97" spans="3:7" ht="13.5" thickTop="1">
      <c r="C97" s="150" t="s">
        <v>14</v>
      </c>
      <c r="D97" s="150"/>
      <c r="E97" s="151"/>
      <c r="F97" s="152"/>
      <c r="G97" s="326">
        <f>SUM(G91:G96)</f>
        <v>713171000</v>
      </c>
    </row>
    <row r="98" ht="12.75">
      <c r="G98" s="325"/>
    </row>
    <row r="99" spans="5:7" ht="12.75">
      <c r="E99" s="148" t="s">
        <v>146</v>
      </c>
      <c r="G99" s="147">
        <f>SUM(G91:G93)</f>
        <v>681038608</v>
      </c>
    </row>
    <row r="100" spans="5:7" ht="12.75">
      <c r="E100" s="148" t="s">
        <v>147</v>
      </c>
      <c r="G100" s="147">
        <f>SUM(G94:G96)</f>
        <v>32132392</v>
      </c>
    </row>
    <row r="102" spans="2:7" ht="12.75">
      <c r="B102" s="81"/>
      <c r="E102" s="81"/>
      <c r="F102" s="147"/>
      <c r="G102" s="81"/>
    </row>
    <row r="103" spans="2:7" ht="12.75">
      <c r="B103" s="81"/>
      <c r="E103" s="81"/>
      <c r="F103" s="147"/>
      <c r="G103" s="81"/>
    </row>
    <row r="104" spans="2:7" ht="12.75">
      <c r="B104" s="81"/>
      <c r="E104" s="81"/>
      <c r="G104" s="81"/>
    </row>
    <row r="105" spans="2:7" ht="12.75">
      <c r="B105" s="81"/>
      <c r="E105" s="81"/>
      <c r="G105" s="81"/>
    </row>
    <row r="106" spans="2:7" ht="12.75">
      <c r="B106" s="81"/>
      <c r="E106" s="81"/>
      <c r="F106" s="147"/>
      <c r="G106" s="81"/>
    </row>
  </sheetData>
  <mergeCells count="1">
    <mergeCell ref="A88:C88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scale="95" r:id="rId1"/>
  <headerFooter alignWithMargins="0">
    <oddHeader xml:space="preserve">&amp;C&amp;"Times New Roman CE,Félkövér"&amp;12Adósságszolgálat számítása az OTP tájékoztatója alapján&amp;"Times New Roman CE,Félkövér dőlt"
2003. októberben és decemberben felvett 713.171 eFt  célhitel </oddHeader>
    <oddFooter>&amp;LNyomtatás dátuma: &amp;D
C:\Andi\adósságszolgálat\&amp;F\&amp;A&amp;R&amp;P/&amp;N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Ötvös László</cp:lastModifiedBy>
  <cp:lastPrinted>2005-11-29T12:37:10Z</cp:lastPrinted>
  <dcterms:created xsi:type="dcterms:W3CDTF">2000-10-04T12:37:09Z</dcterms:created>
  <dcterms:modified xsi:type="dcterms:W3CDTF">2005-11-30T07:53:22Z</dcterms:modified>
  <cp:category/>
  <cp:version/>
  <cp:contentType/>
  <cp:contentStatus/>
</cp:coreProperties>
</file>