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év össz. Felhalm " sheetId="1" r:id="rId1"/>
  </sheets>
  <definedNames>
    <definedName name="_xlnm.Print_Titles" localSheetId="0">'év össz. Felhalm '!$1:$2</definedName>
    <definedName name="_xlnm.Print_Area" localSheetId="0">'év össz. Felhalm '!$A$1:$I$178</definedName>
  </definedNames>
  <calcPr fullCalcOnLoad="1"/>
</workbook>
</file>

<file path=xl/sharedStrings.xml><?xml version="1.0" encoding="utf-8"?>
<sst xmlns="http://schemas.openxmlformats.org/spreadsheetml/2006/main" count="308" uniqueCount="249">
  <si>
    <t>Megnevezés</t>
  </si>
  <si>
    <t>2004. évi eredeti előirányzat</t>
  </si>
  <si>
    <t>2004. évi módosított előirányzat</t>
  </si>
  <si>
    <t>Szerződéses lekötöttség</t>
  </si>
  <si>
    <t xml:space="preserve">2004.évi teljesítés </t>
  </si>
  <si>
    <t>Megjegyzés</t>
  </si>
  <si>
    <t>összege</t>
  </si>
  <si>
    <t>%-a</t>
  </si>
  <si>
    <t>Közlekedés</t>
  </si>
  <si>
    <t>Taszári repülőtér polgári terminál építése I ütem</t>
  </si>
  <si>
    <t xml:space="preserve">Taszári repülőtér polgári terminál építése II. ütem </t>
  </si>
  <si>
    <t>Taszári repülőtér polgári terminál bekötő út tervezéshez hozzájárulás</t>
  </si>
  <si>
    <t>Lórántffy Zs.u. és Rét u. közötti lépcső átépítés és rekonstrukció</t>
  </si>
  <si>
    <t xml:space="preserve"> -</t>
  </si>
  <si>
    <t xml:space="preserve">    -</t>
  </si>
  <si>
    <t>105/03. 9/04.</t>
  </si>
  <si>
    <t>Földút és járdaépítési program 2003.</t>
  </si>
  <si>
    <t>91,92,93,94/03.</t>
  </si>
  <si>
    <t>Buszvárók telepítése 2003.</t>
  </si>
  <si>
    <t>207/03,</t>
  </si>
  <si>
    <t>Kanizsai u.- Malom tó között gyalogút építése</t>
  </si>
  <si>
    <t>95/03.gar.</t>
  </si>
  <si>
    <t>Kossuth tér üzemeltetők által nem vállalt közmű-kiváltásai</t>
  </si>
  <si>
    <t>12, 25, 94,</t>
  </si>
  <si>
    <t>Kecelhegyi bérlakások kapcs. út terv. és eng.</t>
  </si>
  <si>
    <t>189/03.</t>
  </si>
  <si>
    <t>Földút és járdaépítési program 2004.</t>
  </si>
  <si>
    <t>19,825 eft</t>
  </si>
  <si>
    <t xml:space="preserve">   -Semmelweis u útépítés</t>
  </si>
  <si>
    <t>x</t>
  </si>
  <si>
    <t>gar.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</si>
  <si>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</si>
  <si>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</si>
  <si>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</si>
  <si>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</si>
  <si>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76, 88,183,</t>
  </si>
  <si>
    <t>Ideiglenes parkoló építése Teleki u. 12-14.mögött</t>
  </si>
  <si>
    <t>Finomságok Kft-nél buszforduló   kialakítása  önerő</t>
  </si>
  <si>
    <t>Teleki -Városház -Múzeum utcák csatlakozása térburkolat és térvilágítás</t>
  </si>
  <si>
    <t>Közlekedésfejlesztési koncepció készíttetése</t>
  </si>
  <si>
    <t>197,   ei 7.338 áth</t>
  </si>
  <si>
    <t>Ezredév u. útkorszerűsítési terv</t>
  </si>
  <si>
    <t>Toponár-Kaposvár összekötő út PEA pály.önerő és ter.vásárlás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</si>
  <si>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</si>
  <si>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</si>
  <si>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</si>
  <si>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</si>
  <si>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</si>
  <si>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>20/2001. Jan.áth.</t>
  </si>
  <si>
    <t>Házi kisátemelők 2003.áthúzódó kiadás</t>
  </si>
  <si>
    <t>Házi kisátemelők 2004. beszerzés és lakossági bekötés</t>
  </si>
  <si>
    <t>Koppány vezér u csapadékvíz elvez. terv</t>
  </si>
  <si>
    <t>138/03.</t>
  </si>
  <si>
    <t xml:space="preserve">Ivánfahegyalja vízvezeték építése </t>
  </si>
  <si>
    <t>Kanizsai u és egyéb csatornázatlan utcák szvízcsat.tervezése</t>
  </si>
  <si>
    <t>Ammóniamentesítés megvalósíthatósági tanulmány</t>
  </si>
  <si>
    <t>30.</t>
  </si>
  <si>
    <t xml:space="preserve">Szennyvízcsat. Sz.jakab és egyéb utcák                    </t>
  </si>
  <si>
    <t>114, 195-196,</t>
  </si>
  <si>
    <t>Szennyvízcsat.Töröcske városrész céltám.pályázathoz önerő</t>
  </si>
  <si>
    <t>Ammónia-mentesítés eng.tervei</t>
  </si>
  <si>
    <t>Toponári víztoronynál védterület megvásárlása</t>
  </si>
  <si>
    <t>Toponári víztorony megközelítési lehetőség biztosítása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</si>
  <si>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</si>
  <si>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</si>
  <si>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</si>
  <si>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G.és Budai NA  u.csapadékvíz elvezetési terv </t>
  </si>
  <si>
    <t>Fenyves köz vízellátási terv és vízjogi létesítési engedély</t>
  </si>
  <si>
    <t>Ezredév u. vízvezeték rekonstrukció terv</t>
  </si>
  <si>
    <t>Körte u. ívóvízvezeték építése (Építőközösség bonyolításában)</t>
  </si>
  <si>
    <t>Ivánfahegyalja u. ívóvízvezeték építése (Építőközösség bony.)</t>
  </si>
  <si>
    <t>Vízgazdálkodás összesen</t>
  </si>
  <si>
    <t>Közvilágítás</t>
  </si>
  <si>
    <t>Kisebb közvilágítási fejl. ésToponári városrészben közvilágítási feladatok</t>
  </si>
  <si>
    <t>Áfonya u  és Zöldfodorka u közvilágítás</t>
  </si>
  <si>
    <t>Közvilágítási fejlesztések összesen</t>
  </si>
  <si>
    <t>Városgazdálkodás</t>
  </si>
  <si>
    <t>Vásárcsarnok eng.terv és piac tömb szab.terv</t>
  </si>
  <si>
    <t>183/03,</t>
  </si>
  <si>
    <t>Nyugati temető utak és vízvételi hely építése</t>
  </si>
  <si>
    <t>137/2003. Gar.</t>
  </si>
  <si>
    <t>Kaposfüredi temető parkoló építése</t>
  </si>
  <si>
    <t>Városi hulladéklerakó, komposztáló telep gépi berendezések</t>
  </si>
  <si>
    <t>18, 184,</t>
  </si>
  <si>
    <t>Hősök temetője II. ütem</t>
  </si>
  <si>
    <t xml:space="preserve">Településszerkezeti terv </t>
  </si>
  <si>
    <t>180/03,</t>
  </si>
  <si>
    <t>Füredi II. laktanya út és teljes körű közmű hálózat ép.eng.tervdok.</t>
  </si>
  <si>
    <t>184/03, 32,34/04.</t>
  </si>
  <si>
    <t xml:space="preserve">Kaposkábel Kft üzletrész megvásárlása </t>
  </si>
  <si>
    <t>Füredi Holdingnak a füredi sertéstelep felszám.miatt fiz.kártérítés</t>
  </si>
  <si>
    <t>Füredi II laktanya körny.véd.kármentesítése</t>
  </si>
  <si>
    <t>108,173,</t>
  </si>
  <si>
    <t>Keleti temető: parkoló bővítése</t>
  </si>
  <si>
    <t>Nyugati temető: parcella kialakításhoz infrastruktúra kiépítése</t>
  </si>
  <si>
    <t>Vásárcsarnok bővítéshez terület    I.ütem Baross u.11.</t>
  </si>
  <si>
    <t>77-78, 143,</t>
  </si>
  <si>
    <t>Piac-vásárcsarnok 454/A hrsz "üzletház" igatlanvásárlás</t>
  </si>
  <si>
    <t>Városi hulladéklerakó környezetvéd. előírt köt. teljesítése</t>
  </si>
  <si>
    <t>115, 116,139,174,178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</si>
  <si>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</si>
  <si>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</si>
  <si>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</si>
  <si>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</si>
  <si>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</si>
  <si>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</si>
  <si>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</si>
  <si>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Bűnmegelőzési program eszközei</t>
  </si>
  <si>
    <t>Tourinform tábla a Kossuth téren</t>
  </si>
  <si>
    <t>39, Ph.gond kifiz.</t>
  </si>
  <si>
    <t>"Városkapu" emléktábla</t>
  </si>
  <si>
    <t>"Esterházy Pál herceg " emléktábla</t>
  </si>
  <si>
    <t>166:1,5mft</t>
  </si>
  <si>
    <t>"Hátsó udvarok program " tanulmányterv  (Ady tömb)</t>
  </si>
  <si>
    <t>Szemetes konténer vásárlása (Cigány Kisebbségi Önkorm.pály.)</t>
  </si>
  <si>
    <t>Kaposmenti hulladékgazd.prog.pályázathoz megvalósít.tanulm.</t>
  </si>
  <si>
    <t>Hulladékgyűjtő szigetek kialakításához pályázati önerő</t>
  </si>
  <si>
    <t>Kisgát III. ütem szab.terv és régészeti hatástanulmány</t>
  </si>
  <si>
    <t>46, 86</t>
  </si>
  <si>
    <t>Építési hull.feldolg.és depó  (PEA pályázat)</t>
  </si>
  <si>
    <t>Teherautó csere (szállítási feladatokra a Városgondnokságnál)</t>
  </si>
  <si>
    <t>Arany téri szökőkút terv</t>
  </si>
  <si>
    <t>1-98/05</t>
  </si>
  <si>
    <t>Városgazdálkodás összesen</t>
  </si>
  <si>
    <t xml:space="preserve"> Oktatás </t>
  </si>
  <si>
    <t>Kaposszentjakabi Óvoda bővítése</t>
  </si>
  <si>
    <t>216/03,</t>
  </si>
  <si>
    <t>450 fh.-es kollégium építése</t>
  </si>
  <si>
    <t>18.181/03, 1-2-3,11,16-17,21,28,36,63,64,</t>
  </si>
  <si>
    <t>Szántó utcai óvoda bővítése</t>
  </si>
  <si>
    <t>Széchenyi SZKI tanétterem és tanszálló</t>
  </si>
  <si>
    <t>27,31,35,40,49,50,99,117,120,124,127,135-138,142, 145,146,148-150,154,158,159,160,164,167,168,172,182,194,</t>
  </si>
  <si>
    <t>Kinizsi Élelmiszeripari SZKI áthely.                                                                                                                                                          volt Baross Koll.épületébe</t>
  </si>
  <si>
    <t>Kaposfüredi Ált.iskola multi-funkcionális terem építése önerő</t>
  </si>
  <si>
    <t>Berzsenyi Általános Iskola tanári mosdó kialakítása</t>
  </si>
  <si>
    <t>Széchenyi Kereskedelmi SZKI kapu készítése</t>
  </si>
  <si>
    <t xml:space="preserve"> Oktatás összesen</t>
  </si>
  <si>
    <t>Egészségügy</t>
  </si>
  <si>
    <t>Terhesgondozó új helyen történő elhelyezésének tervezése</t>
  </si>
  <si>
    <t>204/03,</t>
  </si>
  <si>
    <t>Óvodai és Eü.kp.áthely. 48-as Ifjúság u 67. alá</t>
  </si>
  <si>
    <t>211,219/03.</t>
  </si>
  <si>
    <t>Búzavirág u. orvosi rendelő önálló hőfogadó kialakítás anyag</t>
  </si>
  <si>
    <t>222/03.</t>
  </si>
  <si>
    <t>Orvosi rendelők kialakítása terv  Pécsi u. 97/b    Húskombinát</t>
  </si>
  <si>
    <t>Egészségügy összesen</t>
  </si>
  <si>
    <t xml:space="preserve"> Sport   </t>
  </si>
  <si>
    <t>Rákóczi pálya rekonstrukciója I-II. ütem</t>
  </si>
  <si>
    <t xml:space="preserve"> 58,59,98,115,137/02, 17,65,66,67,111,181/03,</t>
  </si>
  <si>
    <t xml:space="preserve">Rákóczi Stadion rekonstrukció  III ütem </t>
  </si>
  <si>
    <t>110,158,172,185/03, 24,41,42,43,54,112,115,118,131,132,165,171,185,</t>
  </si>
  <si>
    <t xml:space="preserve">Rákóczi pálya rekonstrukció,  első besz. </t>
  </si>
  <si>
    <t>47,60,61,62,66,104,105,106,113,119,</t>
  </si>
  <si>
    <t>Rákóczi Stadion pótmunkák</t>
  </si>
  <si>
    <t>Rákóczi Stadion pályakarbantartó gép</t>
  </si>
  <si>
    <t>Rákóczi pálya rek. megelőlegezett 2003.évi ÁFA visszafizetése</t>
  </si>
  <si>
    <t>Városi Fürdő rekonstrukció I.ütem terv és kivitelezés</t>
  </si>
  <si>
    <t>156/03,</t>
  </si>
  <si>
    <t>Jégcsarnok közműépítés</t>
  </si>
  <si>
    <t>133, 134,144,</t>
  </si>
  <si>
    <t>Atlétikai pálya garanciális visszatartás</t>
  </si>
  <si>
    <t xml:space="preserve"> Sport összesen</t>
  </si>
  <si>
    <t xml:space="preserve"> Közigazgatás  </t>
  </si>
  <si>
    <t>Pm Hivatal informatikai fejlesztése 2003.áthúzódó</t>
  </si>
  <si>
    <t>áth,      147,162/04,</t>
  </si>
  <si>
    <t>Városháza Teleki u-i iskolaép.bőv.tervpályázat</t>
  </si>
  <si>
    <t xml:space="preserve">Info.társadalom igényorientált inf.eszk.és rendszerei saját </t>
  </si>
  <si>
    <t>101, 102, 103, 107, 155,156,157,</t>
  </si>
  <si>
    <t>2 db robogó beszerz.Közterület Felügyelet részére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</si>
  <si>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</si>
  <si>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</si>
  <si>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</si>
  <si>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</si>
  <si>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>1 db gépkocsi beszerz.Közterület Felügyelet részére</t>
  </si>
  <si>
    <t xml:space="preserve">"eMagyarország pontok" kialakítása </t>
  </si>
  <si>
    <t>"Biztonságos Magyarországért" projektor beszerzése</t>
  </si>
  <si>
    <t xml:space="preserve"> Közigazgatás összesen  </t>
  </si>
  <si>
    <t xml:space="preserve"> Lakásgazdálkodás </t>
  </si>
  <si>
    <t>Nyugdíjasház építése</t>
  </si>
  <si>
    <t>55-1,218/03,13,71,80,95,130,161,176,179</t>
  </si>
  <si>
    <t>Önk.bérlakásépítés I. Berzsenyi u. 69 db</t>
  </si>
  <si>
    <t>Fölhivatali feltünt. Ktg. Vagyongazd.PÁ</t>
  </si>
  <si>
    <t>Nádasdi-Csillag u-i. bérlakásépítés 20 db</t>
  </si>
  <si>
    <t>220/03,</t>
  </si>
  <si>
    <t xml:space="preserve">Kecel hegyi 72db önk.bérlakás építés </t>
  </si>
  <si>
    <t>g, 217/03,</t>
  </si>
  <si>
    <t>30 db önkormányzati bérlakás építése Fő u. 84. (önerő 30%)</t>
  </si>
  <si>
    <t>19/04,</t>
  </si>
  <si>
    <t xml:space="preserve"> Lakásgazdálkodás összesen </t>
  </si>
  <si>
    <t xml:space="preserve">Művelődés, kultúra </t>
  </si>
  <si>
    <t>Szentjakabi Bencés Apátság rekonstrukciója</t>
  </si>
  <si>
    <t>"Gugyuló Jézus" szobor restaurálás és másolat</t>
  </si>
  <si>
    <t>179/03.</t>
  </si>
  <si>
    <t>Bors István kisplasztikák kiöntése</t>
  </si>
  <si>
    <t>Töröcskei faluház térkő burkolat</t>
  </si>
  <si>
    <t>Kalandpark és állat-simogató látványterv</t>
  </si>
  <si>
    <t>Művelődés, kultúra összesen</t>
  </si>
  <si>
    <t>Egyéb nem beruházási kiadások</t>
  </si>
  <si>
    <t>Helyi támogatás: lakásép. vás. 2003.áthúzódó és 2004.</t>
  </si>
  <si>
    <t>Lakásmobilitás   (lakás-használatbavételi díjak)</t>
  </si>
  <si>
    <t>Közműhozzájárulás</t>
  </si>
  <si>
    <t>Egyéb kisebb kiadások</t>
  </si>
  <si>
    <t>11, 26, 87, 91-2, 169,177,186,187,</t>
  </si>
  <si>
    <t xml:space="preserve">Munkáltatói kölcsönalap 2003.áthúzódó és 2004.    </t>
  </si>
  <si>
    <t xml:space="preserve">Pályázatok előkészítése, tervezési feladatok 2003.áth. és 2004.  </t>
  </si>
  <si>
    <t>Engedélyezési és használatbavételi eng.eljárási díjak</t>
  </si>
  <si>
    <t>Kaposvár hosszútávú településfejl.koncepciójának kidolgozása</t>
  </si>
  <si>
    <t>10/04,</t>
  </si>
  <si>
    <t>Kaposvár szabályozási tervének elkészíttetése</t>
  </si>
  <si>
    <t>92   Városép.Terv.Bp:33,750eft</t>
  </si>
  <si>
    <t>Közintézmények akadálymentesítése PHARE pályázathoz tervek</t>
  </si>
  <si>
    <t>5,6/04,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</si>
  <si>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</si>
  <si>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</si>
  <si>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</si>
  <si>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</si>
  <si>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</si>
  <si>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8/04,</t>
  </si>
  <si>
    <t>Kaposfüred ÉNY-i lakóterület rendezési terv mód.</t>
  </si>
  <si>
    <t>7/04,  188 ei</t>
  </si>
  <si>
    <t>Elkerülő út melletti 0474/6.hrsz.ingatlan megvásárlása</t>
  </si>
  <si>
    <t>Pályázati anyagok előkészítése, másolása</t>
  </si>
  <si>
    <t>Vásártéri út - Vár u. tömb szabályozási terve</t>
  </si>
  <si>
    <t>212/03,</t>
  </si>
  <si>
    <t>Címzett támogatás pályázatokhoz tanulmányterv korszerűsítés</t>
  </si>
  <si>
    <t>20/04,</t>
  </si>
  <si>
    <t xml:space="preserve">ROP pályázatokhoz intézmény fejl.terv </t>
  </si>
  <si>
    <t>55-58,</t>
  </si>
  <si>
    <t>Ady E u. É-i oldal alaptérkép készítése</t>
  </si>
  <si>
    <t>Kisgát É-i oldal lakóterület fejlesztés régészeti vizsgálat</t>
  </si>
  <si>
    <t>Egyéb nem beruh.kiad. összesen</t>
  </si>
  <si>
    <t>Összesen:</t>
  </si>
  <si>
    <t xml:space="preserve"> KOMPENZÁCIÓS ÜGYLETEK</t>
  </si>
  <si>
    <t>Ady E.u.D-i tömb  közmű beruházás     (BITT Kft.)</t>
  </si>
  <si>
    <t>Ady E.u.D-i tömb  ingatlanvásárlás</t>
  </si>
  <si>
    <t>Kisgát É-i oldal közműberuházás          ( BITT Kft. )</t>
  </si>
  <si>
    <t>Kisgát É-i oldal lakóterület közműberuházás (SYRIUS)</t>
  </si>
  <si>
    <t>Terület és szolgalmi jog vásárlás Rákóczi Stadion parkolóhoz</t>
  </si>
  <si>
    <t xml:space="preserve"> Kompenzációs ügyek összesen:</t>
  </si>
  <si>
    <t>Felhalmozási kiadások összesen:</t>
  </si>
  <si>
    <r>
      <t xml:space="preserve">Megjegyzés                                                                    </t>
    </r>
    <r>
      <rPr>
        <sz val="12"/>
        <color indexed="8"/>
        <rFont val="Arial CE"/>
        <family val="2"/>
      </rPr>
      <t xml:space="preserve"> (Szerződés, megállapodás ikt.szám)</t>
    </r>
  </si>
  <si>
    <r>
      <t xml:space="preserve">48,75,  </t>
    </r>
    <r>
      <rPr>
        <sz val="10"/>
        <color indexed="10"/>
        <rFont val="Arial CE"/>
        <family val="2"/>
      </rPr>
      <t>gar.</t>
    </r>
  </si>
  <si>
    <r>
      <t>84</t>
    </r>
    <r>
      <rPr>
        <sz val="10"/>
        <color indexed="10"/>
        <rFont val="Arial CE"/>
        <family val="2"/>
      </rPr>
      <t xml:space="preserve"> gar.</t>
    </r>
  </si>
  <si>
    <r>
      <t xml:space="preserve">4/04,  </t>
    </r>
    <r>
      <rPr>
        <sz val="10"/>
        <color indexed="10"/>
        <rFont val="Arial CE"/>
        <family val="2"/>
      </rPr>
      <t xml:space="preserve"> gar.</t>
    </r>
  </si>
  <si>
    <r>
      <t xml:space="preserve">79/2004.   </t>
    </r>
    <r>
      <rPr>
        <sz val="10"/>
        <color indexed="10"/>
        <rFont val="Arial CE"/>
        <family val="2"/>
      </rPr>
      <t>Gar.</t>
    </r>
  </si>
  <si>
    <r>
      <t xml:space="preserve">82/2004.  </t>
    </r>
    <r>
      <rPr>
        <sz val="10"/>
        <color indexed="10"/>
        <rFont val="Arial CE"/>
        <family val="2"/>
      </rPr>
      <t xml:space="preserve"> Gar.</t>
    </r>
  </si>
  <si>
    <r>
      <t xml:space="preserve">73. 96, </t>
    </r>
    <r>
      <rPr>
        <sz val="9"/>
        <color indexed="8"/>
        <rFont val="Arial CE"/>
        <family val="2"/>
      </rPr>
      <t>175</t>
    </r>
    <r>
      <rPr>
        <sz val="9"/>
        <color indexed="10"/>
        <rFont val="Arial CE"/>
        <family val="2"/>
      </rPr>
      <t>: 6.875+84.015eft</t>
    </r>
    <r>
      <rPr>
        <sz val="9"/>
        <rFont val="Arial CE"/>
        <family val="2"/>
      </rPr>
      <t>,</t>
    </r>
  </si>
  <si>
    <t>Szennyvízcsat. Kvár és térsége II.üt. céltámogatási pályázat.előkészítése</t>
  </si>
  <si>
    <t>Garanciális visszatartás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</si>
</sst>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4">
    <font>
      <sz val="10"/>
      <name val="Arial CE"/>
      <family val="0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sz val="11"/>
      <color indexed="8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sz val="11"/>
      <color indexed="14"/>
      <name val="Arial CE"/>
      <family val="2"/>
    </font>
    <font>
      <i/>
      <sz val="11"/>
      <color indexed="8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10"/>
      <color indexed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3" xfId="0" applyFont="1" applyFill="1" applyBorder="1" applyAlignment="1">
      <alignment horizontal="left" wrapText="1"/>
    </xf>
    <xf numFmtId="3" fontId="7" fillId="0" borderId="3" xfId="0" applyNumberFormat="1" applyFont="1" applyFill="1" applyBorder="1" applyAlignment="1">
      <alignment horizontal="right" wrapText="1"/>
    </xf>
    <xf numFmtId="168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75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left" wrapText="1"/>
    </xf>
    <xf numFmtId="3" fontId="12" fillId="0" borderId="3" xfId="0" applyNumberFormat="1" applyFont="1" applyFill="1" applyBorder="1" applyAlignment="1">
      <alignment horizontal="center" wrapText="1"/>
    </xf>
    <xf numFmtId="168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3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16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/>
    </xf>
    <xf numFmtId="168" fontId="9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9" fillId="0" borderId="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19" fillId="0" borderId="3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9" fillId="0" borderId="3" xfId="0" applyFont="1" applyFill="1" applyBorder="1" applyAlignment="1">
      <alignment horizontal="left" wrapText="1"/>
    </xf>
    <xf numFmtId="164" fontId="20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left" wrapText="1"/>
    </xf>
    <xf numFmtId="3" fontId="21" fillId="0" borderId="3" xfId="0" applyNumberFormat="1" applyFont="1" applyFill="1" applyBorder="1" applyAlignment="1">
      <alignment horizontal="left" wrapText="1"/>
    </xf>
    <xf numFmtId="3" fontId="10" fillId="0" borderId="3" xfId="0" applyNumberFormat="1" applyFont="1" applyFill="1" applyBorder="1" applyAlignment="1">
      <alignment horizontal="left"/>
    </xf>
    <xf numFmtId="3" fontId="22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right" wrapText="1"/>
    </xf>
    <xf numFmtId="3" fontId="15" fillId="0" borderId="3" xfId="0" applyNumberFormat="1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3" fontId="19" fillId="0" borderId="3" xfId="0" applyNumberFormat="1" applyFont="1" applyFill="1" applyBorder="1" applyAlignment="1">
      <alignment horizontal="right"/>
    </xf>
    <xf numFmtId="168" fontId="19" fillId="0" borderId="3" xfId="0" applyNumberFormat="1" applyFont="1" applyFill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175" fontId="19" fillId="0" borderId="3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3" fontId="19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3" fontId="1" fillId="3" borderId="1" xfId="0" applyNumberFormat="1" applyFont="1" applyFill="1" applyBorder="1" applyAlignment="1">
      <alignment horizontal="right" wrapText="1"/>
    </xf>
    <xf numFmtId="168" fontId="5" fillId="3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" fillId="3" borderId="1" xfId="0" applyFont="1" applyFill="1" applyBorder="1" applyAlignment="1">
      <alignment wrapText="1"/>
    </xf>
    <xf numFmtId="3" fontId="1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17" fillId="0" borderId="1" xfId="0" applyNumberFormat="1" applyFont="1" applyFill="1" applyBorder="1" applyAlignment="1">
      <alignment horizontal="left" wrapText="1"/>
    </xf>
    <xf numFmtId="0" fontId="16" fillId="0" borderId="5" xfId="0" applyFont="1" applyFill="1" applyBorder="1" applyAlignment="1">
      <alignment wrapText="1"/>
    </xf>
    <xf numFmtId="164" fontId="8" fillId="3" borderId="5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 outlineLevelRow="1" outlineLevelCol="1"/>
  <cols>
    <col min="1" max="1" width="70.00390625" style="105" customWidth="1"/>
    <col min="2" max="2" width="13.125" style="106" customWidth="1"/>
    <col min="3" max="3" width="13.00390625" style="106" customWidth="1"/>
    <col min="4" max="6" width="12.00390625" style="106" customWidth="1"/>
    <col min="7" max="7" width="12.25390625" style="106" customWidth="1"/>
    <col min="8" max="8" width="28.625" style="107" customWidth="1"/>
    <col min="9" max="9" width="35.375" style="108" hidden="1" customWidth="1" outlineLevel="1"/>
    <col min="10" max="10" width="9.125" style="35" customWidth="1" collapsed="1"/>
    <col min="11" max="74" width="9.125" style="35" customWidth="1"/>
    <col min="75" max="16384" width="9.125" style="36" customWidth="1"/>
  </cols>
  <sheetData>
    <row r="1" spans="1:9" s="5" customFormat="1" ht="53.25" customHeight="1">
      <c r="A1" s="1" t="s">
        <v>0</v>
      </c>
      <c r="B1" s="2" t="s">
        <v>1</v>
      </c>
      <c r="C1" s="3" t="s">
        <v>2</v>
      </c>
      <c r="D1" s="113" t="s">
        <v>3</v>
      </c>
      <c r="E1" s="114"/>
      <c r="F1" s="113" t="s">
        <v>4</v>
      </c>
      <c r="G1" s="114"/>
      <c r="H1" s="4" t="s">
        <v>5</v>
      </c>
      <c r="I1" s="1" t="s">
        <v>240</v>
      </c>
    </row>
    <row r="2" spans="1:9" s="5" customFormat="1" ht="18" customHeight="1">
      <c r="A2" s="1"/>
      <c r="B2" s="2"/>
      <c r="C2" s="2"/>
      <c r="D2" s="6" t="s">
        <v>6</v>
      </c>
      <c r="E2" s="7" t="s">
        <v>7</v>
      </c>
      <c r="F2" s="8" t="s">
        <v>6</v>
      </c>
      <c r="G2" s="7" t="s">
        <v>7</v>
      </c>
      <c r="H2" s="9"/>
      <c r="I2" s="10"/>
    </row>
    <row r="3" spans="1:74" s="16" customFormat="1" ht="22.5" customHeight="1">
      <c r="A3" s="11" t="s">
        <v>8</v>
      </c>
      <c r="B3" s="12"/>
      <c r="C3" s="12"/>
      <c r="D3" s="12"/>
      <c r="E3" s="12"/>
      <c r="F3" s="12"/>
      <c r="G3" s="12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s="25" customFormat="1" ht="27.75" customHeight="1">
      <c r="A4" s="17" t="s">
        <v>9</v>
      </c>
      <c r="B4" s="18">
        <v>14020</v>
      </c>
      <c r="C4" s="18">
        <f>14020-2575</f>
        <v>11445</v>
      </c>
      <c r="D4" s="18">
        <v>10163</v>
      </c>
      <c r="E4" s="19">
        <f>+D4/C4*100</f>
        <v>88.79860200961119</v>
      </c>
      <c r="F4" s="20">
        <v>10163</v>
      </c>
      <c r="G4" s="21">
        <f>+F4/C4*100</f>
        <v>88.79860200961119</v>
      </c>
      <c r="H4" s="22"/>
      <c r="I4" s="23">
        <v>81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1:74" s="25" customFormat="1" ht="24.75" customHeight="1">
      <c r="A5" s="17" t="s">
        <v>10</v>
      </c>
      <c r="B5" s="18">
        <v>110592</v>
      </c>
      <c r="C5" s="18">
        <v>110592</v>
      </c>
      <c r="D5" s="18">
        <f>110592-698</f>
        <v>109894</v>
      </c>
      <c r="E5" s="19">
        <f>+D5/C5*100</f>
        <v>99.36885127314815</v>
      </c>
      <c r="F5" s="20">
        <v>108463</v>
      </c>
      <c r="G5" s="21">
        <f>+F5/C5*100</f>
        <v>98.07490596064815</v>
      </c>
      <c r="H5" s="22"/>
      <c r="I5" s="23">
        <v>192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 s="25" customFormat="1" ht="30" customHeight="1">
      <c r="A6" s="17" t="s">
        <v>11</v>
      </c>
      <c r="B6" s="18">
        <v>0</v>
      </c>
      <c r="C6" s="18">
        <v>450</v>
      </c>
      <c r="D6" s="18"/>
      <c r="E6" s="19">
        <f>+D6/C6*100</f>
        <v>0</v>
      </c>
      <c r="F6" s="20"/>
      <c r="G6" s="19">
        <f>+F6/C6*100</f>
        <v>0</v>
      </c>
      <c r="H6" s="22"/>
      <c r="I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s="25" customFormat="1" ht="18.75" customHeight="1">
      <c r="A7" s="17" t="s">
        <v>12</v>
      </c>
      <c r="B7" s="18">
        <v>6000</v>
      </c>
      <c r="C7" s="18">
        <f>6000+3100-9100</f>
        <v>0</v>
      </c>
      <c r="D7" s="27" t="s">
        <v>13</v>
      </c>
      <c r="E7" s="28" t="s">
        <v>13</v>
      </c>
      <c r="F7" s="29" t="s">
        <v>14</v>
      </c>
      <c r="G7" s="28" t="s">
        <v>13</v>
      </c>
      <c r="H7" s="22"/>
      <c r="I7" s="30" t="s">
        <v>15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74" s="25" customFormat="1" ht="21.75" customHeight="1">
      <c r="A8" s="31" t="s">
        <v>16</v>
      </c>
      <c r="B8" s="18">
        <v>1028</v>
      </c>
      <c r="C8" s="18">
        <v>1028</v>
      </c>
      <c r="D8" s="18">
        <v>1028</v>
      </c>
      <c r="E8" s="19">
        <f aca="true" t="shared" si="0" ref="E8:E18">+D8/C8*100</f>
        <v>100</v>
      </c>
      <c r="F8" s="32">
        <v>1028</v>
      </c>
      <c r="G8" s="19">
        <f aca="true" t="shared" si="1" ref="G8:G18">+F8/C8*100</f>
        <v>100</v>
      </c>
      <c r="H8" s="22"/>
      <c r="I8" s="30" t="s">
        <v>17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s="25" customFormat="1" ht="21" customHeight="1">
      <c r="A9" s="31" t="s">
        <v>18</v>
      </c>
      <c r="B9" s="18">
        <v>989</v>
      </c>
      <c r="C9" s="18">
        <v>989</v>
      </c>
      <c r="D9" s="18">
        <v>989</v>
      </c>
      <c r="E9" s="19">
        <f t="shared" si="0"/>
        <v>100</v>
      </c>
      <c r="F9" s="20">
        <v>989</v>
      </c>
      <c r="G9" s="21">
        <f t="shared" si="1"/>
        <v>100</v>
      </c>
      <c r="H9" s="22"/>
      <c r="I9" s="30" t="s">
        <v>19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</row>
    <row r="10" spans="1:74" s="25" customFormat="1" ht="24.75" customHeight="1">
      <c r="A10" s="31" t="s">
        <v>20</v>
      </c>
      <c r="B10" s="18">
        <v>184</v>
      </c>
      <c r="C10" s="18">
        <v>184</v>
      </c>
      <c r="D10" s="18">
        <v>184</v>
      </c>
      <c r="E10" s="19">
        <f t="shared" si="0"/>
        <v>100</v>
      </c>
      <c r="F10" s="32">
        <v>184</v>
      </c>
      <c r="G10" s="19">
        <f t="shared" si="1"/>
        <v>100</v>
      </c>
      <c r="H10" s="22"/>
      <c r="I10" s="30" t="s">
        <v>21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</row>
    <row r="11" spans="1:74" s="25" customFormat="1" ht="24.75" customHeight="1">
      <c r="A11" s="31" t="s">
        <v>22</v>
      </c>
      <c r="B11" s="18">
        <f>3307</f>
        <v>3307</v>
      </c>
      <c r="C11" s="18">
        <v>2210</v>
      </c>
      <c r="D11" s="18">
        <v>1406</v>
      </c>
      <c r="E11" s="19">
        <f t="shared" si="0"/>
        <v>63.61990950226244</v>
      </c>
      <c r="F11" s="20">
        <v>1406</v>
      </c>
      <c r="G11" s="21">
        <f t="shared" si="1"/>
        <v>63.61990950226244</v>
      </c>
      <c r="H11" s="22"/>
      <c r="I11" s="30" t="s">
        <v>23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</row>
    <row r="12" spans="1:74" s="25" customFormat="1" ht="24.75" customHeight="1">
      <c r="A12" s="31" t="s">
        <v>24</v>
      </c>
      <c r="B12" s="18">
        <v>187</v>
      </c>
      <c r="C12" s="18">
        <v>187</v>
      </c>
      <c r="D12" s="18">
        <v>150</v>
      </c>
      <c r="E12" s="19">
        <f t="shared" si="0"/>
        <v>80.21390374331551</v>
      </c>
      <c r="F12" s="20">
        <v>150</v>
      </c>
      <c r="G12" s="21">
        <f t="shared" si="1"/>
        <v>80.21390374331551</v>
      </c>
      <c r="H12" s="22"/>
      <c r="I12" s="30" t="s">
        <v>25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1:9" ht="21" customHeight="1">
      <c r="A13" s="31" t="s">
        <v>26</v>
      </c>
      <c r="B13" s="33">
        <v>15000</v>
      </c>
      <c r="C13" s="33">
        <f>15000+4850-19133</f>
        <v>717</v>
      </c>
      <c r="D13" s="33"/>
      <c r="E13" s="19">
        <f t="shared" si="0"/>
        <v>0</v>
      </c>
      <c r="F13" s="32">
        <v>0</v>
      </c>
      <c r="G13" s="19">
        <f t="shared" si="1"/>
        <v>0</v>
      </c>
      <c r="H13" s="22"/>
      <c r="I13" s="34" t="s">
        <v>27</v>
      </c>
    </row>
    <row r="14" spans="1:9" ht="21" customHeight="1">
      <c r="A14" s="31" t="s">
        <v>28</v>
      </c>
      <c r="B14" s="33" t="s">
        <v>29</v>
      </c>
      <c r="C14" s="37">
        <f>2408+38</f>
        <v>2446</v>
      </c>
      <c r="D14" s="33">
        <f>38+2408</f>
        <v>2446</v>
      </c>
      <c r="E14" s="19">
        <f t="shared" si="0"/>
        <v>100</v>
      </c>
      <c r="F14" s="32">
        <f>38+2167</f>
        <v>2205</v>
      </c>
      <c r="G14" s="19">
        <f t="shared" si="1"/>
        <v>90.1471790678659</v>
      </c>
      <c r="H14" s="38" t="s">
        <v>248</v>
      </c>
      <c r="I14" s="39" t="s">
        <v>241</v>
      </c>
    </row>
    <row r="15" spans="1:9" ht="21" customHeight="1">
      <c r="A15" s="31" t="s">
        <v>31</v>
      </c>
      <c r="B15" s="33" t="s">
        <v>29</v>
      </c>
      <c r="C15" s="37">
        <v>2501</v>
      </c>
      <c r="D15" s="33">
        <v>2501</v>
      </c>
      <c r="E15" s="19">
        <f t="shared" si="0"/>
        <v>100</v>
      </c>
      <c r="F15" s="32">
        <v>2251</v>
      </c>
      <c r="G15" s="19">
        <f t="shared" si="1"/>
        <v>90.00399840063974</v>
      </c>
      <c r="H15" s="38" t="s">
        <v>248</v>
      </c>
      <c r="I15" s="39" t="s">
        <v>242</v>
      </c>
    </row>
    <row r="16" spans="1:9" ht="21" customHeight="1">
      <c r="A16" s="40" t="s">
        <v>32</v>
      </c>
      <c r="B16" s="33" t="s">
        <v>29</v>
      </c>
      <c r="C16" s="37">
        <v>1579</v>
      </c>
      <c r="D16" s="33">
        <v>1579</v>
      </c>
      <c r="E16" s="19">
        <f t="shared" si="0"/>
        <v>100</v>
      </c>
      <c r="F16" s="32">
        <v>1579</v>
      </c>
      <c r="G16" s="19">
        <f t="shared" si="1"/>
        <v>100</v>
      </c>
      <c r="H16" s="22"/>
      <c r="I16" s="39">
        <v>83</v>
      </c>
    </row>
    <row r="17" spans="1:9" ht="21" customHeight="1">
      <c r="A17" s="40" t="s">
        <v>33</v>
      </c>
      <c r="B17" s="33" t="s">
        <v>29</v>
      </c>
      <c r="C17" s="37">
        <v>12607</v>
      </c>
      <c r="D17" s="33">
        <v>12607</v>
      </c>
      <c r="E17" s="19">
        <f t="shared" si="0"/>
        <v>100</v>
      </c>
      <c r="F17" s="32">
        <v>12607</v>
      </c>
      <c r="G17" s="19">
        <f t="shared" si="1"/>
        <v>100</v>
      </c>
      <c r="H17" s="22"/>
      <c r="I17" s="39">
        <v>75</v>
      </c>
    </row>
    <row r="18" spans="1:9" ht="21" customHeight="1">
      <c r="A18" s="31" t="s">
        <v>34</v>
      </c>
      <c r="B18" s="33">
        <v>3300</v>
      </c>
      <c r="C18" s="33">
        <f>3300+940+50-50</f>
        <v>4240</v>
      </c>
      <c r="D18" s="33">
        <f>2742+864+50</f>
        <v>3656</v>
      </c>
      <c r="E18" s="19">
        <f t="shared" si="0"/>
        <v>86.22641509433963</v>
      </c>
      <c r="F18" s="32">
        <f>864+2319+423+50</f>
        <v>3656</v>
      </c>
      <c r="G18" s="19">
        <f t="shared" si="1"/>
        <v>86.22641509433963</v>
      </c>
      <c r="H18" s="22"/>
      <c r="I18" s="39" t="s">
        <v>35</v>
      </c>
    </row>
    <row r="19" spans="1:9" ht="27" customHeight="1">
      <c r="A19" s="31" t="s">
        <v>36</v>
      </c>
      <c r="B19" s="33">
        <v>800</v>
      </c>
      <c r="C19" s="33">
        <f>800-800</f>
        <v>0</v>
      </c>
      <c r="D19" s="27" t="s">
        <v>13</v>
      </c>
      <c r="E19" s="28" t="s">
        <v>13</v>
      </c>
      <c r="F19" s="29" t="s">
        <v>14</v>
      </c>
      <c r="G19" s="28" t="s">
        <v>13</v>
      </c>
      <c r="H19" s="22"/>
      <c r="I19" s="39"/>
    </row>
    <row r="20" spans="1:9" ht="27" customHeight="1">
      <c r="A20" s="31" t="s">
        <v>37</v>
      </c>
      <c r="B20" s="33">
        <v>2700</v>
      </c>
      <c r="C20" s="33">
        <v>0</v>
      </c>
      <c r="D20" s="27" t="s">
        <v>13</v>
      </c>
      <c r="E20" s="28" t="s">
        <v>13</v>
      </c>
      <c r="F20" s="29" t="s">
        <v>14</v>
      </c>
      <c r="G20" s="28" t="s">
        <v>13</v>
      </c>
      <c r="H20" s="22"/>
      <c r="I20" s="39"/>
    </row>
    <row r="21" spans="1:9" ht="27" customHeight="1">
      <c r="A21" s="41" t="s">
        <v>38</v>
      </c>
      <c r="B21" s="33">
        <v>0</v>
      </c>
      <c r="C21" s="33">
        <v>5000</v>
      </c>
      <c r="D21" s="33">
        <v>5000</v>
      </c>
      <c r="E21" s="19">
        <f>+D21/C21*100</f>
        <v>100</v>
      </c>
      <c r="F21" s="32">
        <v>5000</v>
      </c>
      <c r="G21" s="19">
        <f>+F21/C21*100</f>
        <v>100</v>
      </c>
      <c r="H21" s="22"/>
      <c r="I21" s="39">
        <v>37</v>
      </c>
    </row>
    <row r="22" spans="1:9" ht="27" customHeight="1">
      <c r="A22" s="31" t="s">
        <v>39</v>
      </c>
      <c r="B22" s="33">
        <v>0</v>
      </c>
      <c r="C22" s="33">
        <v>14750</v>
      </c>
      <c r="D22" s="33">
        <v>7338</v>
      </c>
      <c r="E22" s="19">
        <f>+D22/C22*100</f>
        <v>49.74915254237288</v>
      </c>
      <c r="F22" s="32">
        <v>0</v>
      </c>
      <c r="G22" s="19">
        <f>+F22/C22*100</f>
        <v>0</v>
      </c>
      <c r="H22" s="22"/>
      <c r="I22" s="39" t="s">
        <v>40</v>
      </c>
    </row>
    <row r="23" spans="1:9" ht="27" customHeight="1">
      <c r="A23" s="42" t="s">
        <v>41</v>
      </c>
      <c r="B23" s="33">
        <v>0</v>
      </c>
      <c r="C23" s="33">
        <v>230</v>
      </c>
      <c r="D23" s="33">
        <v>230</v>
      </c>
      <c r="E23" s="19">
        <f>+D23/C23*100</f>
        <v>100</v>
      </c>
      <c r="F23" s="32">
        <v>230</v>
      </c>
      <c r="G23" s="19">
        <f>+F23/C23*100</f>
        <v>100</v>
      </c>
      <c r="H23" s="22"/>
      <c r="I23" s="39">
        <v>97</v>
      </c>
    </row>
    <row r="24" spans="1:9" ht="27" customHeight="1">
      <c r="A24" s="42" t="s">
        <v>42</v>
      </c>
      <c r="B24" s="33">
        <v>0</v>
      </c>
      <c r="C24" s="32">
        <v>2500</v>
      </c>
      <c r="D24" s="33">
        <v>0</v>
      </c>
      <c r="E24" s="19">
        <f>+D24/C24*100</f>
        <v>0</v>
      </c>
      <c r="F24" s="32">
        <v>0</v>
      </c>
      <c r="G24" s="19">
        <f>+F24/C24*100</f>
        <v>0</v>
      </c>
      <c r="H24" s="22"/>
      <c r="I24" s="39"/>
    </row>
    <row r="25" spans="1:74" s="50" customFormat="1" ht="21.75" customHeight="1">
      <c r="A25" s="43" t="s">
        <v>43</v>
      </c>
      <c r="B25" s="44">
        <f>SUM(B4:B24)</f>
        <v>158107</v>
      </c>
      <c r="C25" s="45">
        <f>SUM(C4:C24)</f>
        <v>173655</v>
      </c>
      <c r="D25" s="44">
        <f>SUM(D4:D24)</f>
        <v>159171</v>
      </c>
      <c r="E25" s="46">
        <f>+D25/C25*100</f>
        <v>91.65932452276064</v>
      </c>
      <c r="F25" s="44">
        <f>SUM(F4:F24)</f>
        <v>149911</v>
      </c>
      <c r="G25" s="46">
        <f>+F25/C25*100</f>
        <v>86.32691255650572</v>
      </c>
      <c r="H25" s="47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s="50" customFormat="1" ht="24.75" customHeight="1">
      <c r="A26" s="11" t="s">
        <v>44</v>
      </c>
      <c r="B26" s="51"/>
      <c r="C26" s="51"/>
      <c r="D26" s="51"/>
      <c r="E26" s="51"/>
      <c r="F26" s="51"/>
      <c r="G26" s="51"/>
      <c r="H26" s="22"/>
      <c r="I26" s="52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s="25" customFormat="1" ht="20.25" customHeight="1">
      <c r="A27" s="31" t="s">
        <v>45</v>
      </c>
      <c r="B27" s="18">
        <v>53570</v>
      </c>
      <c r="C27" s="18">
        <v>53570</v>
      </c>
      <c r="D27" s="18">
        <v>53570</v>
      </c>
      <c r="E27" s="19">
        <f aca="true" t="shared" si="2" ref="E27:E33">+D27/C27*100</f>
        <v>100</v>
      </c>
      <c r="F27" s="20">
        <f>52458+1112</f>
        <v>53570</v>
      </c>
      <c r="G27" s="21">
        <f aca="true" t="shared" si="3" ref="G27:G33">+F27/C27*100</f>
        <v>100</v>
      </c>
      <c r="H27" s="22"/>
      <c r="I27" s="2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</row>
    <row r="28" spans="1:74" s="25" customFormat="1" ht="19.5" customHeight="1">
      <c r="A28" s="31" t="s">
        <v>46</v>
      </c>
      <c r="B28" s="18">
        <v>724</v>
      </c>
      <c r="C28" s="18">
        <v>724</v>
      </c>
      <c r="D28" s="18">
        <v>724</v>
      </c>
      <c r="E28" s="19">
        <f t="shared" si="2"/>
        <v>100</v>
      </c>
      <c r="F28" s="20">
        <v>724</v>
      </c>
      <c r="G28" s="21">
        <f t="shared" si="3"/>
        <v>100</v>
      </c>
      <c r="H28" s="22"/>
      <c r="I28" s="2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</row>
    <row r="29" spans="1:74" s="25" customFormat="1" ht="15.75" customHeight="1">
      <c r="A29" s="53" t="s">
        <v>47</v>
      </c>
      <c r="B29" s="18">
        <v>825</v>
      </c>
      <c r="C29" s="18">
        <v>825</v>
      </c>
      <c r="D29" s="18">
        <v>825</v>
      </c>
      <c r="E29" s="19">
        <f t="shared" si="2"/>
        <v>100</v>
      </c>
      <c r="F29" s="32">
        <v>0</v>
      </c>
      <c r="G29" s="19">
        <f t="shared" si="3"/>
        <v>0</v>
      </c>
      <c r="H29" s="22"/>
      <c r="I29" s="30" t="s">
        <v>48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</row>
    <row r="30" spans="1:74" s="25" customFormat="1" ht="21" customHeight="1">
      <c r="A30" s="31" t="s">
        <v>247</v>
      </c>
      <c r="B30" s="18">
        <v>125</v>
      </c>
      <c r="C30" s="18">
        <v>125</v>
      </c>
      <c r="D30" s="18">
        <v>0</v>
      </c>
      <c r="E30" s="19">
        <f t="shared" si="2"/>
        <v>0</v>
      </c>
      <c r="F30" s="32">
        <v>0</v>
      </c>
      <c r="G30" s="19">
        <f t="shared" si="3"/>
        <v>0</v>
      </c>
      <c r="H30" s="22"/>
      <c r="I30" s="3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</row>
    <row r="31" spans="1:74" s="25" customFormat="1" ht="17.25" customHeight="1">
      <c r="A31" s="31" t="s">
        <v>49</v>
      </c>
      <c r="B31" s="18">
        <v>75</v>
      </c>
      <c r="C31" s="18">
        <v>75</v>
      </c>
      <c r="D31" s="18">
        <v>75</v>
      </c>
      <c r="E31" s="19">
        <f t="shared" si="2"/>
        <v>100</v>
      </c>
      <c r="F31" s="20">
        <v>75</v>
      </c>
      <c r="G31" s="19">
        <f t="shared" si="3"/>
        <v>100</v>
      </c>
      <c r="H31" s="22"/>
      <c r="I31" s="30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</row>
    <row r="32" spans="1:74" s="25" customFormat="1" ht="24" customHeight="1">
      <c r="A32" s="31" t="s">
        <v>50</v>
      </c>
      <c r="B32" s="18">
        <v>0</v>
      </c>
      <c r="C32" s="18">
        <v>350</v>
      </c>
      <c r="D32" s="18">
        <v>0</v>
      </c>
      <c r="E32" s="19">
        <f t="shared" si="2"/>
        <v>0</v>
      </c>
      <c r="F32" s="32">
        <v>0</v>
      </c>
      <c r="G32" s="19">
        <f t="shared" si="3"/>
        <v>0</v>
      </c>
      <c r="H32" s="22"/>
      <c r="I32" s="30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</row>
    <row r="33" spans="1:74" s="25" customFormat="1" ht="19.5" customHeight="1">
      <c r="A33" s="31" t="s">
        <v>51</v>
      </c>
      <c r="B33" s="18">
        <v>300</v>
      </c>
      <c r="C33" s="18">
        <v>250</v>
      </c>
      <c r="D33" s="18">
        <v>250</v>
      </c>
      <c r="E33" s="19">
        <f t="shared" si="2"/>
        <v>100</v>
      </c>
      <c r="F33" s="32">
        <v>250</v>
      </c>
      <c r="G33" s="19">
        <f t="shared" si="3"/>
        <v>100</v>
      </c>
      <c r="H33" s="22"/>
      <c r="I33" s="30" t="s">
        <v>52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</row>
    <row r="34" spans="1:74" s="25" customFormat="1" ht="18.75" customHeight="1">
      <c r="A34" s="31" t="s">
        <v>53</v>
      </c>
      <c r="B34" s="18">
        <v>300</v>
      </c>
      <c r="C34" s="18">
        <v>0</v>
      </c>
      <c r="D34" s="27" t="s">
        <v>13</v>
      </c>
      <c r="E34" s="28" t="s">
        <v>13</v>
      </c>
      <c r="F34" s="29" t="s">
        <v>14</v>
      </c>
      <c r="G34" s="28" t="s">
        <v>13</v>
      </c>
      <c r="H34" s="54"/>
      <c r="I34" s="30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spans="1:74" s="25" customFormat="1" ht="19.5" customHeight="1">
      <c r="A35" s="31" t="s">
        <v>54</v>
      </c>
      <c r="B35" s="18">
        <v>600</v>
      </c>
      <c r="C35" s="18">
        <v>600</v>
      </c>
      <c r="D35" s="18">
        <v>600</v>
      </c>
      <c r="E35" s="19">
        <f>+D35/C35*100</f>
        <v>100</v>
      </c>
      <c r="F35" s="20">
        <v>600</v>
      </c>
      <c r="G35" s="19">
        <f>+F35/C35*100</f>
        <v>100</v>
      </c>
      <c r="H35" s="22"/>
      <c r="I35" s="30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</row>
    <row r="36" spans="1:74" s="25" customFormat="1" ht="21" customHeight="1">
      <c r="A36" s="31" t="s">
        <v>55</v>
      </c>
      <c r="B36" s="18">
        <v>4750</v>
      </c>
      <c r="C36" s="18">
        <f>4750+50</f>
        <v>4800</v>
      </c>
      <c r="D36" s="18">
        <v>4800</v>
      </c>
      <c r="E36" s="19">
        <f>+D36/C36*100</f>
        <v>100</v>
      </c>
      <c r="F36" s="20">
        <v>4800</v>
      </c>
      <c r="G36" s="19">
        <f>+F36/C36*100</f>
        <v>100</v>
      </c>
      <c r="H36" s="22"/>
      <c r="I36" s="30" t="s">
        <v>56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1:9" ht="18.75" customHeight="1">
      <c r="A37" s="31" t="s">
        <v>57</v>
      </c>
      <c r="B37" s="33">
        <v>90287</v>
      </c>
      <c r="C37" s="33">
        <v>150478</v>
      </c>
      <c r="D37" s="33">
        <v>153</v>
      </c>
      <c r="E37" s="19">
        <f>+D37/C37*100</f>
        <v>0.10167599250388762</v>
      </c>
      <c r="F37" s="32">
        <v>153</v>
      </c>
      <c r="G37" s="19">
        <f>+F37/C37*100</f>
        <v>0.10167599250388762</v>
      </c>
      <c r="H37" s="22"/>
      <c r="I37" s="39" t="s">
        <v>58</v>
      </c>
    </row>
    <row r="38" spans="1:9" ht="18" customHeight="1">
      <c r="A38" s="31" t="s">
        <v>59</v>
      </c>
      <c r="B38" s="33">
        <v>21631</v>
      </c>
      <c r="C38" s="33">
        <v>21631</v>
      </c>
      <c r="D38" s="33">
        <v>0</v>
      </c>
      <c r="E38" s="19">
        <f>+D38/C38*100</f>
        <v>0</v>
      </c>
      <c r="F38" s="32">
        <v>0</v>
      </c>
      <c r="G38" s="19">
        <f>+F38/C38*100</f>
        <v>0</v>
      </c>
      <c r="H38" s="22"/>
      <c r="I38" s="39"/>
    </row>
    <row r="39" spans="1:9" ht="20.25" customHeight="1">
      <c r="A39" s="31" t="s">
        <v>60</v>
      </c>
      <c r="B39" s="33">
        <v>20000</v>
      </c>
      <c r="C39" s="33">
        <v>0</v>
      </c>
      <c r="D39" s="27" t="s">
        <v>13</v>
      </c>
      <c r="E39" s="28" t="s">
        <v>13</v>
      </c>
      <c r="F39" s="29" t="s">
        <v>14</v>
      </c>
      <c r="G39" s="28" t="s">
        <v>13</v>
      </c>
      <c r="H39" s="54"/>
      <c r="I39" s="39"/>
    </row>
    <row r="40" spans="1:9" ht="20.25" customHeight="1">
      <c r="A40" s="31" t="s">
        <v>61</v>
      </c>
      <c r="B40" s="33">
        <v>250</v>
      </c>
      <c r="C40" s="33">
        <v>0</v>
      </c>
      <c r="D40" s="27" t="s">
        <v>13</v>
      </c>
      <c r="E40" s="28" t="s">
        <v>13</v>
      </c>
      <c r="F40" s="29" t="s">
        <v>14</v>
      </c>
      <c r="G40" s="28" t="s">
        <v>13</v>
      </c>
      <c r="H40" s="54"/>
      <c r="I40" s="39"/>
    </row>
    <row r="41" spans="1:9" ht="20.25" customHeight="1">
      <c r="A41" s="41" t="s">
        <v>62</v>
      </c>
      <c r="B41" s="33">
        <v>0</v>
      </c>
      <c r="C41" s="33">
        <v>250</v>
      </c>
      <c r="D41" s="33">
        <v>0</v>
      </c>
      <c r="E41" s="19">
        <f aca="true" t="shared" si="4" ref="E41:E50">+D41/C41*100</f>
        <v>0</v>
      </c>
      <c r="F41" s="32">
        <v>0</v>
      </c>
      <c r="G41" s="19">
        <f aca="true" t="shared" si="5" ref="G41:G50">+F41/C41*100</f>
        <v>0</v>
      </c>
      <c r="H41" s="22"/>
      <c r="I41" s="39"/>
    </row>
    <row r="42" spans="1:9" ht="20.25" customHeight="1">
      <c r="A42" s="31" t="s">
        <v>63</v>
      </c>
      <c r="B42" s="33">
        <v>2000</v>
      </c>
      <c r="C42" s="33">
        <v>751</v>
      </c>
      <c r="D42" s="33">
        <v>751</v>
      </c>
      <c r="E42" s="19">
        <f t="shared" si="4"/>
        <v>100</v>
      </c>
      <c r="F42" s="32">
        <v>751</v>
      </c>
      <c r="G42" s="19">
        <f t="shared" si="5"/>
        <v>100</v>
      </c>
      <c r="H42" s="22"/>
      <c r="I42" s="39">
        <v>74</v>
      </c>
    </row>
    <row r="43" spans="1:9" ht="20.25" customHeight="1">
      <c r="A43" s="31" t="s">
        <v>64</v>
      </c>
      <c r="B43" s="33">
        <v>1700</v>
      </c>
      <c r="C43" s="33">
        <v>1700</v>
      </c>
      <c r="D43" s="33">
        <v>1696</v>
      </c>
      <c r="E43" s="19">
        <f t="shared" si="4"/>
        <v>99.76470588235294</v>
      </c>
      <c r="F43" s="32">
        <v>1696</v>
      </c>
      <c r="G43" s="19">
        <f t="shared" si="5"/>
        <v>99.76470588235294</v>
      </c>
      <c r="H43" s="22"/>
      <c r="I43" s="39">
        <v>109</v>
      </c>
    </row>
    <row r="44" spans="1:9" ht="20.25" customHeight="1">
      <c r="A44" s="31" t="s">
        <v>65</v>
      </c>
      <c r="B44" s="33">
        <v>1800</v>
      </c>
      <c r="C44" s="33">
        <v>400</v>
      </c>
      <c r="D44" s="33">
        <v>400</v>
      </c>
      <c r="E44" s="19">
        <f t="shared" si="4"/>
        <v>100</v>
      </c>
      <c r="F44" s="32">
        <v>0</v>
      </c>
      <c r="G44" s="19">
        <f t="shared" si="5"/>
        <v>0</v>
      </c>
      <c r="H44" s="22"/>
      <c r="I44" s="39">
        <v>65</v>
      </c>
    </row>
    <row r="45" spans="1:9" ht="20.25" customHeight="1">
      <c r="A45" s="31" t="s">
        <v>66</v>
      </c>
      <c r="B45" s="33">
        <v>400</v>
      </c>
      <c r="C45" s="33">
        <v>750</v>
      </c>
      <c r="D45" s="33">
        <v>750</v>
      </c>
      <c r="E45" s="19">
        <f t="shared" si="4"/>
        <v>100</v>
      </c>
      <c r="F45" s="32">
        <v>0</v>
      </c>
      <c r="G45" s="19">
        <f t="shared" si="5"/>
        <v>0</v>
      </c>
      <c r="H45" s="22"/>
      <c r="I45" s="39">
        <v>89</v>
      </c>
    </row>
    <row r="46" spans="1:9" ht="20.25" customHeight="1">
      <c r="A46" s="31" t="s">
        <v>67</v>
      </c>
      <c r="B46" s="33">
        <v>0</v>
      </c>
      <c r="C46" s="33">
        <v>288</v>
      </c>
      <c r="D46" s="33">
        <v>288</v>
      </c>
      <c r="E46" s="19">
        <f t="shared" si="4"/>
        <v>100</v>
      </c>
      <c r="F46" s="32">
        <v>287</v>
      </c>
      <c r="G46" s="19">
        <f t="shared" si="5"/>
        <v>99.65277777777779</v>
      </c>
      <c r="H46" s="22"/>
      <c r="I46" s="39">
        <v>22</v>
      </c>
    </row>
    <row r="47" spans="1:9" ht="20.25" customHeight="1">
      <c r="A47" s="31" t="s">
        <v>68</v>
      </c>
      <c r="B47" s="33">
        <v>0</v>
      </c>
      <c r="C47" s="33">
        <v>300</v>
      </c>
      <c r="D47" s="33">
        <v>300</v>
      </c>
      <c r="E47" s="19">
        <f t="shared" si="4"/>
        <v>100</v>
      </c>
      <c r="F47" s="32">
        <v>0</v>
      </c>
      <c r="G47" s="19">
        <f t="shared" si="5"/>
        <v>0</v>
      </c>
      <c r="H47" s="22"/>
      <c r="I47" s="39">
        <v>180</v>
      </c>
    </row>
    <row r="48" spans="1:9" ht="20.25" customHeight="1">
      <c r="A48" s="31" t="s">
        <v>69</v>
      </c>
      <c r="B48" s="33">
        <v>0</v>
      </c>
      <c r="C48" s="33">
        <v>1150</v>
      </c>
      <c r="D48" s="33">
        <v>1150</v>
      </c>
      <c r="E48" s="19">
        <f t="shared" si="4"/>
        <v>100</v>
      </c>
      <c r="F48" s="32">
        <v>1150</v>
      </c>
      <c r="G48" s="19">
        <f t="shared" si="5"/>
        <v>100</v>
      </c>
      <c r="H48" s="22"/>
      <c r="I48" s="39">
        <v>141</v>
      </c>
    </row>
    <row r="49" spans="1:9" ht="20.25" customHeight="1">
      <c r="A49" s="31" t="s">
        <v>70</v>
      </c>
      <c r="B49" s="33">
        <v>0</v>
      </c>
      <c r="C49" s="33">
        <v>1011</v>
      </c>
      <c r="D49" s="33">
        <v>1011</v>
      </c>
      <c r="E49" s="19">
        <f t="shared" si="4"/>
        <v>100</v>
      </c>
      <c r="F49" s="32">
        <v>1011</v>
      </c>
      <c r="G49" s="19">
        <f t="shared" si="5"/>
        <v>100</v>
      </c>
      <c r="H49" s="22"/>
      <c r="I49" s="39">
        <v>140</v>
      </c>
    </row>
    <row r="50" spans="1:74" s="50" customFormat="1" ht="22.5" customHeight="1">
      <c r="A50" s="43" t="s">
        <v>71</v>
      </c>
      <c r="B50" s="44">
        <f>SUM(B27:B49)</f>
        <v>199337</v>
      </c>
      <c r="C50" s="45">
        <f>SUM(C27:C49)</f>
        <v>240028</v>
      </c>
      <c r="D50" s="44">
        <f>SUM(D27:D49)</f>
        <v>67343</v>
      </c>
      <c r="E50" s="46">
        <f t="shared" si="4"/>
        <v>28.05631009715533</v>
      </c>
      <c r="F50" s="44">
        <f>SUM(F27:F49)</f>
        <v>65067</v>
      </c>
      <c r="G50" s="46">
        <f t="shared" si="5"/>
        <v>27.108087389804524</v>
      </c>
      <c r="H50" s="47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s="58" customFormat="1" ht="25.5" customHeight="1">
      <c r="A51" s="11" t="s">
        <v>72</v>
      </c>
      <c r="B51" s="55"/>
      <c r="C51" s="55"/>
      <c r="D51" s="55"/>
      <c r="E51" s="55"/>
      <c r="F51" s="55"/>
      <c r="G51" s="55"/>
      <c r="H51" s="22"/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</row>
    <row r="52" spans="1:74" s="58" customFormat="1" ht="33" customHeight="1">
      <c r="A52" s="31" t="s">
        <v>73</v>
      </c>
      <c r="B52" s="33">
        <v>2000</v>
      </c>
      <c r="C52" s="33">
        <v>4550</v>
      </c>
      <c r="D52" s="33">
        <v>4400</v>
      </c>
      <c r="E52" s="19">
        <f>+D52/C52*100</f>
        <v>96.7032967032967</v>
      </c>
      <c r="F52" s="32">
        <v>0</v>
      </c>
      <c r="G52" s="19">
        <f>+F52/C52*100</f>
        <v>0</v>
      </c>
      <c r="H52" s="22"/>
      <c r="I52" s="56">
        <v>151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</row>
    <row r="53" spans="1:74" s="58" customFormat="1" ht="18.75" customHeight="1">
      <c r="A53" s="53" t="s">
        <v>74</v>
      </c>
      <c r="B53" s="33">
        <v>0</v>
      </c>
      <c r="C53" s="33">
        <f>815+731</f>
        <v>1546</v>
      </c>
      <c r="D53" s="33">
        <f>815+731</f>
        <v>1546</v>
      </c>
      <c r="E53" s="19">
        <f>+D53/C53*100</f>
        <v>100</v>
      </c>
      <c r="F53" s="32">
        <f>773</f>
        <v>773</v>
      </c>
      <c r="G53" s="19">
        <f>+F53/C53*100</f>
        <v>50</v>
      </c>
      <c r="H53" s="22"/>
      <c r="I53" s="56">
        <v>110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</row>
    <row r="54" spans="1:74" s="50" customFormat="1" ht="22.5" customHeight="1">
      <c r="A54" s="43" t="s">
        <v>75</v>
      </c>
      <c r="B54" s="44">
        <f>SUM(B52:B53)</f>
        <v>2000</v>
      </c>
      <c r="C54" s="45">
        <f>SUM(C52:C53)</f>
        <v>6096</v>
      </c>
      <c r="D54" s="44">
        <f>SUM(D52:D53)</f>
        <v>5946</v>
      </c>
      <c r="E54" s="46">
        <f>+D54/C54*100</f>
        <v>97.53937007874016</v>
      </c>
      <c r="F54" s="44">
        <f>SUM(F52:F53)</f>
        <v>773</v>
      </c>
      <c r="G54" s="46">
        <f>+F54/C54*100</f>
        <v>12.680446194225722</v>
      </c>
      <c r="H54" s="47"/>
      <c r="I54" s="4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s="50" customFormat="1" ht="20.25" customHeight="1">
      <c r="A55" s="11" t="s">
        <v>76</v>
      </c>
      <c r="B55" s="51"/>
      <c r="C55" s="51"/>
      <c r="D55" s="51"/>
      <c r="E55" s="51"/>
      <c r="F55" s="51"/>
      <c r="G55" s="51"/>
      <c r="H55" s="22"/>
      <c r="I55" s="52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s="25" customFormat="1" ht="17.25" customHeight="1">
      <c r="A56" s="31" t="s">
        <v>77</v>
      </c>
      <c r="B56" s="18">
        <v>1500</v>
      </c>
      <c r="C56" s="18">
        <v>1500</v>
      </c>
      <c r="D56" s="18">
        <v>1500</v>
      </c>
      <c r="E56" s="19">
        <f>+D56/C56*100</f>
        <v>100</v>
      </c>
      <c r="F56" s="20">
        <v>875</v>
      </c>
      <c r="G56" s="21">
        <f>+F56/C56*100</f>
        <v>58.333333333333336</v>
      </c>
      <c r="H56" s="22"/>
      <c r="I56" s="30" t="s">
        <v>78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</row>
    <row r="57" spans="1:74" s="25" customFormat="1" ht="17.25" customHeight="1">
      <c r="A57" s="53" t="s">
        <v>79</v>
      </c>
      <c r="B57" s="18">
        <v>211</v>
      </c>
      <c r="C57" s="18">
        <v>211</v>
      </c>
      <c r="D57" s="18">
        <v>211</v>
      </c>
      <c r="E57" s="19">
        <f>+D57/C57*100</f>
        <v>100</v>
      </c>
      <c r="F57" s="32">
        <v>211</v>
      </c>
      <c r="G57" s="19">
        <f>+F57/C57*100</f>
        <v>100</v>
      </c>
      <c r="H57" s="22"/>
      <c r="I57" s="30" t="s">
        <v>80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</row>
    <row r="58" spans="1:74" s="25" customFormat="1" ht="17.25" customHeight="1">
      <c r="A58" s="53" t="s">
        <v>81</v>
      </c>
      <c r="B58" s="18">
        <v>1757</v>
      </c>
      <c r="C58" s="18">
        <v>1757</v>
      </c>
      <c r="D58" s="18">
        <v>1757</v>
      </c>
      <c r="E58" s="19">
        <f>+D58/C58*100</f>
        <v>100</v>
      </c>
      <c r="F58" s="20">
        <v>1669</v>
      </c>
      <c r="G58" s="21">
        <f>+F58/C58*100</f>
        <v>94.99146272054638</v>
      </c>
      <c r="H58" s="38" t="s">
        <v>248</v>
      </c>
      <c r="I58" s="30" t="s">
        <v>243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</row>
    <row r="59" spans="1:74" s="25" customFormat="1" ht="17.25" customHeight="1">
      <c r="A59" s="31" t="s">
        <v>82</v>
      </c>
      <c r="B59" s="18">
        <v>26250</v>
      </c>
      <c r="C59" s="18">
        <v>26250</v>
      </c>
      <c r="D59" s="18">
        <f>22500+2771</f>
        <v>25271</v>
      </c>
      <c r="E59" s="19">
        <f>+D59/C59*100</f>
        <v>96.27047619047619</v>
      </c>
      <c r="F59" s="20">
        <v>22500</v>
      </c>
      <c r="G59" s="21">
        <f>+F59/C59*100</f>
        <v>85.71428571428571</v>
      </c>
      <c r="H59" s="22"/>
      <c r="I59" s="23" t="s">
        <v>83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</row>
    <row r="60" spans="1:74" s="25" customFormat="1" ht="14.25" customHeight="1">
      <c r="A60" s="31" t="s">
        <v>84</v>
      </c>
      <c r="B60" s="18">
        <v>900</v>
      </c>
      <c r="C60" s="18">
        <v>0</v>
      </c>
      <c r="D60" s="27" t="s">
        <v>13</v>
      </c>
      <c r="E60" s="28" t="s">
        <v>13</v>
      </c>
      <c r="F60" s="29" t="s">
        <v>14</v>
      </c>
      <c r="G60" s="28" t="s">
        <v>13</v>
      </c>
      <c r="H60" s="54"/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</row>
    <row r="61" spans="1:74" s="25" customFormat="1" ht="17.25" customHeight="1">
      <c r="A61" s="31" t="s">
        <v>85</v>
      </c>
      <c r="B61" s="18">
        <v>19689</v>
      </c>
      <c r="C61" s="18">
        <v>19689</v>
      </c>
      <c r="D61" s="18">
        <v>19688</v>
      </c>
      <c r="E61" s="19">
        <f aca="true" t="shared" si="6" ref="E61:E68">+D61/C61*100</f>
        <v>99.99492102189039</v>
      </c>
      <c r="F61" s="32">
        <v>0</v>
      </c>
      <c r="G61" s="19">
        <f aca="true" t="shared" si="7" ref="G61:G68">+F61/C61*100</f>
        <v>0</v>
      </c>
      <c r="H61" s="22"/>
      <c r="I61" s="23" t="s">
        <v>86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</row>
    <row r="62" spans="1:74" s="25" customFormat="1" ht="17.25" customHeight="1">
      <c r="A62" s="31" t="s">
        <v>87</v>
      </c>
      <c r="B62" s="18">
        <v>3713</v>
      </c>
      <c r="C62" s="18">
        <f>3713+150+75</f>
        <v>3938</v>
      </c>
      <c r="D62" s="18">
        <f>3713+75+150</f>
        <v>3938</v>
      </c>
      <c r="E62" s="19">
        <f t="shared" si="6"/>
        <v>100</v>
      </c>
      <c r="F62" s="20">
        <v>3938</v>
      </c>
      <c r="G62" s="21">
        <f t="shared" si="7"/>
        <v>100</v>
      </c>
      <c r="H62" s="22"/>
      <c r="I62" s="30" t="s">
        <v>88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</row>
    <row r="63" spans="1:74" s="61" customFormat="1" ht="17.25" customHeight="1">
      <c r="A63" s="31" t="s">
        <v>89</v>
      </c>
      <c r="B63" s="33">
        <v>6750</v>
      </c>
      <c r="C63" s="33">
        <v>6750</v>
      </c>
      <c r="D63" s="33">
        <v>6750</v>
      </c>
      <c r="E63" s="19">
        <f t="shared" si="6"/>
        <v>100</v>
      </c>
      <c r="F63" s="20">
        <v>6750</v>
      </c>
      <c r="G63" s="21">
        <f t="shared" si="7"/>
        <v>100</v>
      </c>
      <c r="H63" s="22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</row>
    <row r="64" spans="1:74" s="61" customFormat="1" ht="17.25" customHeight="1">
      <c r="A64" s="41" t="s">
        <v>90</v>
      </c>
      <c r="B64" s="33">
        <v>2000</v>
      </c>
      <c r="C64" s="33">
        <v>2000</v>
      </c>
      <c r="D64" s="33">
        <v>2000</v>
      </c>
      <c r="E64" s="19">
        <f t="shared" si="6"/>
        <v>100</v>
      </c>
      <c r="F64" s="20">
        <v>2000</v>
      </c>
      <c r="G64" s="21">
        <f t="shared" si="7"/>
        <v>100</v>
      </c>
      <c r="H64" s="22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</row>
    <row r="65" spans="1:9" ht="17.25" customHeight="1">
      <c r="A65" s="31" t="s">
        <v>91</v>
      </c>
      <c r="B65" s="33">
        <v>21616</v>
      </c>
      <c r="C65" s="33">
        <v>12970</v>
      </c>
      <c r="D65" s="33">
        <v>11575</v>
      </c>
      <c r="E65" s="19">
        <f t="shared" si="6"/>
        <v>89.2444101773323</v>
      </c>
      <c r="F65" s="32">
        <v>11575</v>
      </c>
      <c r="G65" s="19">
        <f t="shared" si="7"/>
        <v>89.2444101773323</v>
      </c>
      <c r="H65" s="22"/>
      <c r="I65" s="59" t="s">
        <v>92</v>
      </c>
    </row>
    <row r="66" spans="1:9" ht="17.25" customHeight="1">
      <c r="A66" s="31" t="s">
        <v>93</v>
      </c>
      <c r="B66" s="33">
        <v>2600</v>
      </c>
      <c r="C66" s="33">
        <v>2600</v>
      </c>
      <c r="D66" s="33">
        <v>2600</v>
      </c>
      <c r="E66" s="19">
        <f t="shared" si="6"/>
        <v>100</v>
      </c>
      <c r="F66" s="32">
        <v>2340</v>
      </c>
      <c r="G66" s="19">
        <f t="shared" si="7"/>
        <v>90</v>
      </c>
      <c r="H66" s="38" t="s">
        <v>248</v>
      </c>
      <c r="I66" s="59" t="s">
        <v>244</v>
      </c>
    </row>
    <row r="67" spans="1:9" ht="17.25" customHeight="1">
      <c r="A67" s="31" t="s">
        <v>94</v>
      </c>
      <c r="B67" s="33">
        <v>1500</v>
      </c>
      <c r="C67" s="33">
        <f>1500+249</f>
        <v>1749</v>
      </c>
      <c r="D67" s="33">
        <v>1749</v>
      </c>
      <c r="E67" s="19">
        <f t="shared" si="6"/>
        <v>100</v>
      </c>
      <c r="F67" s="20">
        <v>1574</v>
      </c>
      <c r="G67" s="19">
        <f t="shared" si="7"/>
        <v>89.99428244711264</v>
      </c>
      <c r="H67" s="38" t="s">
        <v>248</v>
      </c>
      <c r="I67" s="59" t="s">
        <v>245</v>
      </c>
    </row>
    <row r="68" spans="1:9" ht="17.25" customHeight="1">
      <c r="A68" s="31" t="s">
        <v>95</v>
      </c>
      <c r="B68" s="33">
        <v>12000</v>
      </c>
      <c r="C68" s="33">
        <v>22500</v>
      </c>
      <c r="D68" s="33">
        <f>6200+7500+4000</f>
        <v>17700</v>
      </c>
      <c r="E68" s="19">
        <f t="shared" si="6"/>
        <v>78.66666666666666</v>
      </c>
      <c r="F68" s="20">
        <f>15700-2000+4000</f>
        <v>17700</v>
      </c>
      <c r="G68" s="21">
        <f t="shared" si="7"/>
        <v>78.66666666666666</v>
      </c>
      <c r="H68" s="22"/>
      <c r="I68" s="39" t="s">
        <v>96</v>
      </c>
    </row>
    <row r="69" spans="1:9" ht="13.5" customHeight="1">
      <c r="A69" s="31" t="s">
        <v>97</v>
      </c>
      <c r="B69" s="33">
        <v>0</v>
      </c>
      <c r="C69" s="33">
        <v>0</v>
      </c>
      <c r="D69" s="27" t="s">
        <v>13</v>
      </c>
      <c r="E69" s="28" t="s">
        <v>13</v>
      </c>
      <c r="F69" s="29" t="s">
        <v>14</v>
      </c>
      <c r="G69" s="28" t="s">
        <v>13</v>
      </c>
      <c r="H69" s="54"/>
      <c r="I69" s="39"/>
    </row>
    <row r="70" spans="1:9" ht="18" customHeight="1">
      <c r="A70" s="31" t="s">
        <v>98</v>
      </c>
      <c r="B70" s="33">
        <v>5050</v>
      </c>
      <c r="C70" s="33">
        <v>5050</v>
      </c>
      <c r="D70" s="33">
        <f>1071+875+117+12+219</f>
        <v>2294</v>
      </c>
      <c r="E70" s="19">
        <f>+D70/C70*100</f>
        <v>45.42574257425743</v>
      </c>
      <c r="F70" s="32">
        <v>2075</v>
      </c>
      <c r="G70" s="19">
        <f>+F70/C70*100</f>
        <v>41.089108910891085</v>
      </c>
      <c r="H70" s="22"/>
      <c r="I70" s="59" t="s">
        <v>99</v>
      </c>
    </row>
    <row r="71" spans="1:9" ht="18" customHeight="1">
      <c r="A71" s="31" t="s">
        <v>100</v>
      </c>
      <c r="B71" s="33">
        <v>6941</v>
      </c>
      <c r="C71" s="33">
        <v>6941</v>
      </c>
      <c r="D71" s="33">
        <v>6941</v>
      </c>
      <c r="E71" s="19">
        <f>+D71/C71*100</f>
        <v>100</v>
      </c>
      <c r="F71" s="20">
        <v>6941</v>
      </c>
      <c r="G71" s="21">
        <f>+F71/C71*100</f>
        <v>100</v>
      </c>
      <c r="H71" s="22"/>
      <c r="I71" s="62">
        <v>45</v>
      </c>
    </row>
    <row r="72" spans="1:9" ht="15.75" customHeight="1">
      <c r="A72" s="31" t="s">
        <v>101</v>
      </c>
      <c r="B72" s="33">
        <v>12000</v>
      </c>
      <c r="C72" s="33">
        <v>0</v>
      </c>
      <c r="D72" s="63" t="s">
        <v>13</v>
      </c>
      <c r="E72" s="28" t="s">
        <v>13</v>
      </c>
      <c r="F72" s="29" t="s">
        <v>14</v>
      </c>
      <c r="G72" s="28" t="s">
        <v>13</v>
      </c>
      <c r="H72" s="54"/>
      <c r="I72" s="59"/>
    </row>
    <row r="73" spans="1:9" ht="18" customHeight="1">
      <c r="A73" s="31" t="s">
        <v>102</v>
      </c>
      <c r="B73" s="33">
        <v>12000</v>
      </c>
      <c r="C73" s="33">
        <v>18600</v>
      </c>
      <c r="D73" s="33">
        <v>0</v>
      </c>
      <c r="E73" s="19">
        <f>+D73/C73*100</f>
        <v>0</v>
      </c>
      <c r="F73" s="32">
        <v>0</v>
      </c>
      <c r="G73" s="19">
        <f>+F73/C73*100</f>
        <v>0</v>
      </c>
      <c r="H73" s="22"/>
      <c r="I73" s="62"/>
    </row>
    <row r="74" spans="1:9" ht="18" customHeight="1">
      <c r="A74" s="17" t="s">
        <v>103</v>
      </c>
      <c r="B74" s="33">
        <v>400</v>
      </c>
      <c r="C74" s="33">
        <v>896</v>
      </c>
      <c r="D74" s="33">
        <v>896</v>
      </c>
      <c r="E74" s="19">
        <f>+D74/C74*100</f>
        <v>100</v>
      </c>
      <c r="F74" s="20">
        <v>896</v>
      </c>
      <c r="G74" s="19">
        <f>+F74/C74*100</f>
        <v>100</v>
      </c>
      <c r="H74" s="22"/>
      <c r="I74" s="39">
        <v>98</v>
      </c>
    </row>
    <row r="75" spans="1:9" ht="18" customHeight="1">
      <c r="A75" s="17" t="s">
        <v>104</v>
      </c>
      <c r="B75" s="33">
        <v>500</v>
      </c>
      <c r="C75" s="33">
        <v>500</v>
      </c>
      <c r="D75" s="33">
        <v>0</v>
      </c>
      <c r="E75" s="19">
        <f>+D75/C75*100</f>
        <v>0</v>
      </c>
      <c r="F75" s="32">
        <v>0</v>
      </c>
      <c r="G75" s="19">
        <f>+F75/C75*100</f>
        <v>0</v>
      </c>
      <c r="H75" s="22"/>
      <c r="I75" s="39"/>
    </row>
    <row r="76" spans="1:9" ht="18" customHeight="1">
      <c r="A76" s="31" t="s">
        <v>105</v>
      </c>
      <c r="B76" s="33">
        <v>500</v>
      </c>
      <c r="C76" s="33">
        <v>150</v>
      </c>
      <c r="D76" s="33">
        <v>0</v>
      </c>
      <c r="E76" s="19">
        <f>+D76/C76*100</f>
        <v>0</v>
      </c>
      <c r="F76" s="32">
        <v>0</v>
      </c>
      <c r="G76" s="19">
        <f>+F76/C76*100</f>
        <v>0</v>
      </c>
      <c r="H76" s="22"/>
      <c r="I76" s="39"/>
    </row>
    <row r="77" spans="1:9" ht="14.25" customHeight="1">
      <c r="A77" s="31" t="s">
        <v>106</v>
      </c>
      <c r="B77" s="33">
        <v>3000</v>
      </c>
      <c r="C77" s="33">
        <v>0</v>
      </c>
      <c r="D77" s="63" t="s">
        <v>13</v>
      </c>
      <c r="E77" s="28" t="s">
        <v>13</v>
      </c>
      <c r="F77" s="29" t="s">
        <v>14</v>
      </c>
      <c r="G77" s="28" t="s">
        <v>13</v>
      </c>
      <c r="H77" s="54"/>
      <c r="I77" s="39"/>
    </row>
    <row r="78" spans="1:9" ht="18" customHeight="1">
      <c r="A78" s="31" t="s">
        <v>107</v>
      </c>
      <c r="B78" s="33">
        <v>0</v>
      </c>
      <c r="C78" s="33">
        <f>2200-12</f>
        <v>2188</v>
      </c>
      <c r="D78" s="33">
        <f>464+40+34+1650</f>
        <v>2188</v>
      </c>
      <c r="E78" s="19">
        <f>+D78/C78*100</f>
        <v>100</v>
      </c>
      <c r="F78" s="20">
        <v>2188</v>
      </c>
      <c r="G78" s="21">
        <f>+F78/C78*100</f>
        <v>100</v>
      </c>
      <c r="H78" s="22"/>
      <c r="I78" s="39">
        <v>38</v>
      </c>
    </row>
    <row r="79" spans="1:9" ht="15" customHeight="1">
      <c r="A79" s="31" t="s">
        <v>108</v>
      </c>
      <c r="B79" s="33">
        <v>0</v>
      </c>
      <c r="C79" s="33">
        <f>50-42</f>
        <v>8</v>
      </c>
      <c r="D79" s="33">
        <v>0</v>
      </c>
      <c r="E79" s="19">
        <f>+D79/C79*100</f>
        <v>0</v>
      </c>
      <c r="F79" s="32">
        <v>0</v>
      </c>
      <c r="G79" s="19">
        <f>+F79/C79*100</f>
        <v>0</v>
      </c>
      <c r="H79" s="22"/>
      <c r="I79" s="39" t="s">
        <v>109</v>
      </c>
    </row>
    <row r="80" spans="1:9" ht="18" customHeight="1">
      <c r="A80" s="31" t="s">
        <v>110</v>
      </c>
      <c r="B80" s="33">
        <v>0</v>
      </c>
      <c r="C80" s="33">
        <v>250</v>
      </c>
      <c r="D80" s="33">
        <v>250</v>
      </c>
      <c r="E80" s="19">
        <f>+D80/C80*100</f>
        <v>100</v>
      </c>
      <c r="F80" s="20">
        <v>250</v>
      </c>
      <c r="G80" s="21">
        <f>+F80/C80*100</f>
        <v>100</v>
      </c>
      <c r="H80" s="22"/>
      <c r="I80" s="39">
        <v>44</v>
      </c>
    </row>
    <row r="81" spans="1:9" ht="18" customHeight="1">
      <c r="A81" s="31" t="s">
        <v>111</v>
      </c>
      <c r="B81" s="33">
        <v>0</v>
      </c>
      <c r="C81" s="33">
        <v>0</v>
      </c>
      <c r="D81" s="27" t="s">
        <v>13</v>
      </c>
      <c r="E81" s="28" t="s">
        <v>13</v>
      </c>
      <c r="F81" s="29" t="s">
        <v>14</v>
      </c>
      <c r="G81" s="28" t="s">
        <v>13</v>
      </c>
      <c r="H81" s="54"/>
      <c r="I81" s="62" t="s">
        <v>112</v>
      </c>
    </row>
    <row r="82" spans="1:9" ht="18" customHeight="1">
      <c r="A82" s="31" t="s">
        <v>113</v>
      </c>
      <c r="B82" s="33">
        <v>0</v>
      </c>
      <c r="C82" s="33">
        <v>500</v>
      </c>
      <c r="D82" s="33">
        <v>500</v>
      </c>
      <c r="E82" s="19">
        <f aca="true" t="shared" si="8" ref="E82:E90">+D82/C82*100</f>
        <v>100</v>
      </c>
      <c r="F82" s="32">
        <v>0</v>
      </c>
      <c r="G82" s="19">
        <f aca="true" t="shared" si="9" ref="G82:G90">+F82/C82*100</f>
        <v>0</v>
      </c>
      <c r="H82" s="22"/>
      <c r="I82" s="39">
        <v>70</v>
      </c>
    </row>
    <row r="83" spans="1:9" ht="18" customHeight="1">
      <c r="A83" s="31" t="s">
        <v>114</v>
      </c>
      <c r="B83" s="33">
        <v>0</v>
      </c>
      <c r="C83" s="33">
        <v>469</v>
      </c>
      <c r="D83" s="33">
        <v>469</v>
      </c>
      <c r="E83" s="19">
        <f t="shared" si="8"/>
        <v>100</v>
      </c>
      <c r="F83" s="20">
        <v>469</v>
      </c>
      <c r="G83" s="19">
        <f t="shared" si="9"/>
        <v>100</v>
      </c>
      <c r="H83" s="22"/>
      <c r="I83" s="39">
        <v>125</v>
      </c>
    </row>
    <row r="84" spans="1:9" ht="18" customHeight="1">
      <c r="A84" s="42" t="s">
        <v>115</v>
      </c>
      <c r="B84" s="33">
        <v>0</v>
      </c>
      <c r="C84" s="33">
        <v>7500</v>
      </c>
      <c r="D84" s="33">
        <v>7500</v>
      </c>
      <c r="E84" s="19">
        <f t="shared" si="8"/>
        <v>100</v>
      </c>
      <c r="F84" s="32">
        <v>0</v>
      </c>
      <c r="G84" s="19">
        <f t="shared" si="9"/>
        <v>0</v>
      </c>
      <c r="H84" s="22"/>
      <c r="I84" s="39">
        <v>163</v>
      </c>
    </row>
    <row r="85" spans="1:9" ht="18" customHeight="1">
      <c r="A85" s="31" t="s">
        <v>116</v>
      </c>
      <c r="B85" s="33">
        <v>0</v>
      </c>
      <c r="C85" s="33">
        <v>400</v>
      </c>
      <c r="D85" s="33">
        <v>0</v>
      </c>
      <c r="E85" s="19">
        <f t="shared" si="8"/>
        <v>0</v>
      </c>
      <c r="F85" s="32">
        <v>0</v>
      </c>
      <c r="G85" s="19">
        <f t="shared" si="9"/>
        <v>0</v>
      </c>
      <c r="H85" s="22"/>
      <c r="I85" s="39"/>
    </row>
    <row r="86" spans="1:9" ht="18" customHeight="1">
      <c r="A86" s="17" t="s">
        <v>117</v>
      </c>
      <c r="B86" s="33">
        <v>0</v>
      </c>
      <c r="C86" s="33">
        <v>2558</v>
      </c>
      <c r="D86" s="33">
        <f>1408+1150</f>
        <v>2558</v>
      </c>
      <c r="E86" s="19">
        <f t="shared" si="8"/>
        <v>100</v>
      </c>
      <c r="F86" s="20">
        <f>575+575</f>
        <v>1150</v>
      </c>
      <c r="G86" s="21">
        <f t="shared" si="9"/>
        <v>44.95699765441751</v>
      </c>
      <c r="H86" s="22"/>
      <c r="I86" s="62" t="s">
        <v>118</v>
      </c>
    </row>
    <row r="87" spans="1:9" ht="18" customHeight="1">
      <c r="A87" s="65" t="s">
        <v>119</v>
      </c>
      <c r="B87" s="33">
        <v>0</v>
      </c>
      <c r="C87" s="33">
        <v>219</v>
      </c>
      <c r="D87" s="33">
        <v>219</v>
      </c>
      <c r="E87" s="19">
        <f t="shared" si="8"/>
        <v>100</v>
      </c>
      <c r="F87" s="66">
        <v>219</v>
      </c>
      <c r="G87" s="19">
        <f t="shared" si="9"/>
        <v>100</v>
      </c>
      <c r="H87" s="22"/>
      <c r="I87" s="62">
        <v>178</v>
      </c>
    </row>
    <row r="88" spans="1:9" ht="18" customHeight="1">
      <c r="A88" s="65" t="s">
        <v>120</v>
      </c>
      <c r="B88" s="33">
        <v>0</v>
      </c>
      <c r="C88" s="33">
        <v>5400</v>
      </c>
      <c r="D88" s="33">
        <v>4049</v>
      </c>
      <c r="E88" s="19">
        <f t="shared" si="8"/>
        <v>74.98148148148148</v>
      </c>
      <c r="F88" s="32">
        <v>0</v>
      </c>
      <c r="G88" s="19">
        <f t="shared" si="9"/>
        <v>0</v>
      </c>
      <c r="H88" s="22"/>
      <c r="I88" s="62">
        <v>191</v>
      </c>
    </row>
    <row r="89" spans="1:9" ht="18" customHeight="1">
      <c r="A89" s="65" t="s">
        <v>121</v>
      </c>
      <c r="B89" s="33">
        <v>0</v>
      </c>
      <c r="C89" s="33">
        <v>1088</v>
      </c>
      <c r="D89" s="33">
        <v>1088</v>
      </c>
      <c r="E89" s="19">
        <f t="shared" si="8"/>
        <v>100</v>
      </c>
      <c r="F89" s="32">
        <v>0</v>
      </c>
      <c r="G89" s="19">
        <f t="shared" si="9"/>
        <v>0</v>
      </c>
      <c r="H89" s="22"/>
      <c r="I89" s="62" t="s">
        <v>122</v>
      </c>
    </row>
    <row r="90" spans="1:74" s="50" customFormat="1" ht="21.75" customHeight="1">
      <c r="A90" s="43" t="s">
        <v>123</v>
      </c>
      <c r="B90" s="44">
        <f>SUM(B56:B89)</f>
        <v>140877</v>
      </c>
      <c r="C90" s="45">
        <f>SUM(C56:C89)</f>
        <v>154631</v>
      </c>
      <c r="D90" s="44">
        <f>SUM(D56:D89)</f>
        <v>123691</v>
      </c>
      <c r="E90" s="46">
        <f t="shared" si="8"/>
        <v>79.99107552819292</v>
      </c>
      <c r="F90" s="44">
        <f>SUM(F56:F89)</f>
        <v>85320</v>
      </c>
      <c r="G90" s="46">
        <f t="shared" si="9"/>
        <v>55.17651699853199</v>
      </c>
      <c r="H90" s="47"/>
      <c r="I90" s="48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s="50" customFormat="1" ht="22.5" customHeight="1">
      <c r="A91" s="11" t="s">
        <v>124</v>
      </c>
      <c r="B91" s="51"/>
      <c r="C91" s="51"/>
      <c r="D91" s="51"/>
      <c r="E91" s="51"/>
      <c r="F91" s="51"/>
      <c r="G91" s="51"/>
      <c r="H91" s="22"/>
      <c r="I91" s="52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s="25" customFormat="1" ht="21" customHeight="1">
      <c r="A92" s="53" t="s">
        <v>125</v>
      </c>
      <c r="B92" s="18">
        <v>19</v>
      </c>
      <c r="C92" s="18">
        <v>19</v>
      </c>
      <c r="D92" s="18">
        <v>19</v>
      </c>
      <c r="E92" s="19">
        <f aca="true" t="shared" si="10" ref="E92:E100">+D92/C92*100</f>
        <v>100</v>
      </c>
      <c r="F92" s="32">
        <v>19</v>
      </c>
      <c r="G92" s="19">
        <f aca="true" t="shared" si="11" ref="G92:G100">+F92/C92*100</f>
        <v>100</v>
      </c>
      <c r="H92" s="22"/>
      <c r="I92" s="30" t="s">
        <v>126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</row>
    <row r="93" spans="1:74" s="25" customFormat="1" ht="21" customHeight="1">
      <c r="A93" s="53" t="s">
        <v>127</v>
      </c>
      <c r="B93" s="18">
        <f>20787+2341</f>
        <v>23128</v>
      </c>
      <c r="C93" s="18">
        <f>20787+2341</f>
        <v>23128</v>
      </c>
      <c r="D93" s="18">
        <f>5000+5000+2500+826+825+1613+2574+121+100+235+699+264+302+875+672+301+250+10+5+8+75+115</f>
        <v>22370</v>
      </c>
      <c r="E93" s="19">
        <f t="shared" si="10"/>
        <v>96.72258734002075</v>
      </c>
      <c r="F93" s="20">
        <v>17130</v>
      </c>
      <c r="G93" s="21">
        <f t="shared" si="11"/>
        <v>74.06606710480801</v>
      </c>
      <c r="H93" s="22"/>
      <c r="I93" s="67" t="s">
        <v>128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</row>
    <row r="94" spans="1:74" s="25" customFormat="1" ht="21" customHeight="1">
      <c r="A94" s="31" t="s">
        <v>129</v>
      </c>
      <c r="B94" s="18">
        <v>4500</v>
      </c>
      <c r="C94" s="18">
        <v>4500</v>
      </c>
      <c r="D94" s="18">
        <v>315</v>
      </c>
      <c r="E94" s="19">
        <f t="shared" si="10"/>
        <v>7.000000000000001</v>
      </c>
      <c r="F94" s="20">
        <v>315</v>
      </c>
      <c r="G94" s="21">
        <f t="shared" si="11"/>
        <v>7.000000000000001</v>
      </c>
      <c r="H94" s="22"/>
      <c r="I94" s="30">
        <v>33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</row>
    <row r="95" spans="1:74" s="61" customFormat="1" ht="35.25" customHeight="1">
      <c r="A95" s="31" t="s">
        <v>130</v>
      </c>
      <c r="B95" s="33">
        <f>936983+182680</f>
        <v>1119663</v>
      </c>
      <c r="C95" s="33">
        <f>936983+182680-194</f>
        <v>1119469</v>
      </c>
      <c r="D95" s="32">
        <f>-101741+906277</f>
        <v>804536</v>
      </c>
      <c r="E95" s="19">
        <f t="shared" si="10"/>
        <v>71.86764439211805</v>
      </c>
      <c r="F95" s="20">
        <v>798423</v>
      </c>
      <c r="G95" s="21">
        <f t="shared" si="11"/>
        <v>71.32158192857506</v>
      </c>
      <c r="H95" s="22"/>
      <c r="I95" s="68" t="s">
        <v>131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</row>
    <row r="96" spans="1:74" s="61" customFormat="1" ht="31.5" customHeight="1">
      <c r="A96" s="31" t="s">
        <v>132</v>
      </c>
      <c r="B96" s="33">
        <v>11768</v>
      </c>
      <c r="C96" s="33">
        <f>11768+82500</f>
        <v>94268</v>
      </c>
      <c r="D96" s="33">
        <v>24509</v>
      </c>
      <c r="E96" s="19">
        <f t="shared" si="10"/>
        <v>25.999278652352864</v>
      </c>
      <c r="F96" s="32">
        <v>24508</v>
      </c>
      <c r="G96" s="19">
        <f t="shared" si="11"/>
        <v>25.998217846989434</v>
      </c>
      <c r="H96" s="22"/>
      <c r="I96" s="59">
        <v>128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</row>
    <row r="97" spans="1:9" ht="20.25" customHeight="1">
      <c r="A97" s="17" t="s">
        <v>133</v>
      </c>
      <c r="B97" s="33">
        <v>6750</v>
      </c>
      <c r="C97" s="33">
        <v>19902</v>
      </c>
      <c r="D97" s="33">
        <v>19902</v>
      </c>
      <c r="E97" s="19">
        <f t="shared" si="10"/>
        <v>100</v>
      </c>
      <c r="F97" s="20">
        <f>1262+6875</f>
        <v>8137</v>
      </c>
      <c r="G97" s="21">
        <f t="shared" si="11"/>
        <v>40.88533815696915</v>
      </c>
      <c r="H97" s="22"/>
      <c r="I97" s="69" t="s">
        <v>246</v>
      </c>
    </row>
    <row r="98" spans="1:9" ht="20.25" customHeight="1">
      <c r="A98" s="42" t="s">
        <v>134</v>
      </c>
      <c r="B98" s="33">
        <v>0</v>
      </c>
      <c r="C98" s="33">
        <v>125</v>
      </c>
      <c r="D98" s="33">
        <v>125</v>
      </c>
      <c r="E98" s="19">
        <f t="shared" si="10"/>
        <v>100</v>
      </c>
      <c r="F98" s="32">
        <v>125</v>
      </c>
      <c r="G98" s="21">
        <f t="shared" si="11"/>
        <v>100</v>
      </c>
      <c r="H98" s="22"/>
      <c r="I98" s="39">
        <v>152</v>
      </c>
    </row>
    <row r="99" spans="1:9" ht="20.25" customHeight="1">
      <c r="A99" s="31" t="s">
        <v>135</v>
      </c>
      <c r="B99" s="33">
        <v>0</v>
      </c>
      <c r="C99" s="33">
        <v>531</v>
      </c>
      <c r="D99" s="33">
        <v>531</v>
      </c>
      <c r="E99" s="19">
        <f t="shared" si="10"/>
        <v>100</v>
      </c>
      <c r="F99" s="32">
        <v>0</v>
      </c>
      <c r="G99" s="21">
        <f t="shared" si="11"/>
        <v>0</v>
      </c>
      <c r="H99" s="22"/>
      <c r="I99" s="39">
        <v>190</v>
      </c>
    </row>
    <row r="100" spans="1:74" s="50" customFormat="1" ht="24.75" customHeight="1">
      <c r="A100" s="43" t="s">
        <v>136</v>
      </c>
      <c r="B100" s="44">
        <f>SUM(B92:B99)</f>
        <v>1165828</v>
      </c>
      <c r="C100" s="45">
        <f>SUM(C92:C99)</f>
        <v>1261942</v>
      </c>
      <c r="D100" s="44">
        <f>SUM(D92:D99)</f>
        <v>872307</v>
      </c>
      <c r="E100" s="46">
        <f t="shared" si="10"/>
        <v>69.12417527905403</v>
      </c>
      <c r="F100" s="44">
        <f>SUM(F92:F99)</f>
        <v>848657</v>
      </c>
      <c r="G100" s="46">
        <f t="shared" si="11"/>
        <v>67.25007963915934</v>
      </c>
      <c r="H100" s="47"/>
      <c r="I100" s="48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50" customFormat="1" ht="24.75" customHeight="1">
      <c r="A101" s="11" t="s">
        <v>137</v>
      </c>
      <c r="B101" s="51"/>
      <c r="C101" s="51"/>
      <c r="D101" s="51"/>
      <c r="E101" s="51"/>
      <c r="F101" s="51"/>
      <c r="G101" s="51"/>
      <c r="H101" s="22"/>
      <c r="I101" s="52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</row>
    <row r="102" spans="1:74" s="25" customFormat="1" ht="22.5" customHeight="1">
      <c r="A102" s="31" t="s">
        <v>138</v>
      </c>
      <c r="B102" s="18">
        <v>325</v>
      </c>
      <c r="C102" s="18">
        <v>325</v>
      </c>
      <c r="D102" s="18">
        <v>325</v>
      </c>
      <c r="E102" s="19">
        <f>+D102/C102*100</f>
        <v>100</v>
      </c>
      <c r="F102" s="32">
        <v>325</v>
      </c>
      <c r="G102" s="19">
        <f>+F102/C102*100</f>
        <v>100</v>
      </c>
      <c r="H102" s="22"/>
      <c r="I102" s="30" t="s">
        <v>139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</row>
    <row r="103" spans="1:74" s="25" customFormat="1" ht="22.5" customHeight="1">
      <c r="A103" s="31" t="s">
        <v>140</v>
      </c>
      <c r="B103" s="18">
        <v>1842</v>
      </c>
      <c r="C103" s="18">
        <f>1842-680-600</f>
        <v>562</v>
      </c>
      <c r="D103" s="18">
        <v>562</v>
      </c>
      <c r="E103" s="19">
        <f>+D103/C103*100</f>
        <v>100</v>
      </c>
      <c r="F103" s="20">
        <v>562</v>
      </c>
      <c r="G103" s="21">
        <f>+F103/C103*100</f>
        <v>100</v>
      </c>
      <c r="H103" s="22"/>
      <c r="I103" s="30" t="s">
        <v>141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</row>
    <row r="104" spans="1:74" s="25" customFormat="1" ht="22.5" customHeight="1">
      <c r="A104" s="31" t="s">
        <v>142</v>
      </c>
      <c r="B104" s="18">
        <v>275</v>
      </c>
      <c r="C104" s="18">
        <v>275</v>
      </c>
      <c r="D104" s="18">
        <v>275</v>
      </c>
      <c r="E104" s="19">
        <f>+D104/C104*100</f>
        <v>100</v>
      </c>
      <c r="F104" s="20">
        <v>275</v>
      </c>
      <c r="G104" s="21">
        <f>+F104/C104*100</f>
        <v>100</v>
      </c>
      <c r="H104" s="22"/>
      <c r="I104" s="30" t="s">
        <v>143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</row>
    <row r="105" spans="1:9" ht="22.5" customHeight="1">
      <c r="A105" s="31" t="s">
        <v>144</v>
      </c>
      <c r="B105" s="33">
        <v>1500</v>
      </c>
      <c r="C105" s="33">
        <v>1500</v>
      </c>
      <c r="D105" s="33">
        <v>0</v>
      </c>
      <c r="E105" s="19">
        <f>+D105/C105*100</f>
        <v>0</v>
      </c>
      <c r="F105" s="32">
        <v>0</v>
      </c>
      <c r="G105" s="19">
        <f>+F105/C105*100</f>
        <v>0</v>
      </c>
      <c r="H105" s="22"/>
      <c r="I105" s="39"/>
    </row>
    <row r="106" spans="1:74" s="50" customFormat="1" ht="24.75" customHeight="1">
      <c r="A106" s="43" t="s">
        <v>145</v>
      </c>
      <c r="B106" s="44">
        <f>SUM(B102:B105)</f>
        <v>3942</v>
      </c>
      <c r="C106" s="45">
        <f>SUM(C102:C105)</f>
        <v>2662</v>
      </c>
      <c r="D106" s="44">
        <f>SUM(D102:D105)</f>
        <v>1162</v>
      </c>
      <c r="E106" s="46">
        <f>+D106/C106*100</f>
        <v>43.65138993238167</v>
      </c>
      <c r="F106" s="44">
        <f>SUM(F102:F105)</f>
        <v>1162</v>
      </c>
      <c r="G106" s="46">
        <f>+F106/C106*100</f>
        <v>43.65138993238167</v>
      </c>
      <c r="H106" s="47"/>
      <c r="I106" s="48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</row>
    <row r="107" spans="1:74" s="50" customFormat="1" ht="24.75" customHeight="1">
      <c r="A107" s="11" t="s">
        <v>146</v>
      </c>
      <c r="B107" s="51"/>
      <c r="C107" s="51"/>
      <c r="D107" s="51"/>
      <c r="E107" s="51"/>
      <c r="F107" s="51"/>
      <c r="G107" s="51"/>
      <c r="H107" s="22"/>
      <c r="I107" s="52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</row>
    <row r="108" spans="1:74" s="25" customFormat="1" ht="23.25" customHeight="1">
      <c r="A108" s="53" t="s">
        <v>147</v>
      </c>
      <c r="B108" s="18">
        <f>341+33887</f>
        <v>34228</v>
      </c>
      <c r="C108" s="18">
        <f>341+33887</f>
        <v>34228</v>
      </c>
      <c r="D108" s="18">
        <v>34092</v>
      </c>
      <c r="E108" s="19">
        <f aca="true" t="shared" si="12" ref="E108:E117">+D108/C108*100</f>
        <v>99.60266448521679</v>
      </c>
      <c r="F108" s="20">
        <v>34092</v>
      </c>
      <c r="G108" s="21">
        <f aca="true" t="shared" si="13" ref="G108:G117">+F108/C108*100</f>
        <v>99.60266448521679</v>
      </c>
      <c r="H108" s="22"/>
      <c r="I108" s="70" t="s">
        <v>148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</row>
    <row r="109" spans="1:74" s="25" customFormat="1" ht="22.5" customHeight="1">
      <c r="A109" s="31" t="s">
        <v>149</v>
      </c>
      <c r="B109" s="18">
        <v>147488</v>
      </c>
      <c r="C109" s="18">
        <v>147488</v>
      </c>
      <c r="D109" s="18">
        <f>147488-1818+136</f>
        <v>145806</v>
      </c>
      <c r="E109" s="19">
        <f t="shared" si="12"/>
        <v>98.85956823605989</v>
      </c>
      <c r="F109" s="20">
        <f>175668-34092</f>
        <v>141576</v>
      </c>
      <c r="G109" s="21">
        <f t="shared" si="13"/>
        <v>95.99153829464092</v>
      </c>
      <c r="H109" s="22"/>
      <c r="I109" s="68" t="s">
        <v>150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</row>
    <row r="110" spans="1:74" s="25" customFormat="1" ht="18.75" customHeight="1">
      <c r="A110" s="53" t="s">
        <v>151</v>
      </c>
      <c r="B110" s="18">
        <v>1231</v>
      </c>
      <c r="C110" s="18">
        <f>1231+1009</f>
        <v>2240</v>
      </c>
      <c r="D110" s="18">
        <v>2225</v>
      </c>
      <c r="E110" s="19">
        <f t="shared" si="12"/>
        <v>99.33035714285714</v>
      </c>
      <c r="F110" s="20">
        <v>2225</v>
      </c>
      <c r="G110" s="21">
        <f t="shared" si="13"/>
        <v>99.33035714285714</v>
      </c>
      <c r="H110" s="22"/>
      <c r="I110" s="67" t="s">
        <v>152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</row>
    <row r="111" spans="1:74" s="25" customFormat="1" ht="18.75" customHeight="1">
      <c r="A111" s="42" t="s">
        <v>153</v>
      </c>
      <c r="B111" s="18">
        <v>0</v>
      </c>
      <c r="C111" s="18">
        <v>2280</v>
      </c>
      <c r="D111" s="18">
        <v>2280</v>
      </c>
      <c r="E111" s="19">
        <f t="shared" si="12"/>
        <v>100</v>
      </c>
      <c r="F111" s="32">
        <v>2279</v>
      </c>
      <c r="G111" s="19">
        <f t="shared" si="13"/>
        <v>99.95614035087719</v>
      </c>
      <c r="H111" s="22"/>
      <c r="I111" s="30">
        <v>132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</row>
    <row r="112" spans="1:74" s="25" customFormat="1" ht="18.75" customHeight="1">
      <c r="A112" s="42" t="s">
        <v>154</v>
      </c>
      <c r="B112" s="18">
        <v>0</v>
      </c>
      <c r="C112" s="18">
        <v>3714</v>
      </c>
      <c r="D112" s="18">
        <v>3503</v>
      </c>
      <c r="E112" s="19">
        <f t="shared" si="12"/>
        <v>94.31879375336565</v>
      </c>
      <c r="F112" s="32">
        <v>0</v>
      </c>
      <c r="G112" s="19">
        <f t="shared" si="13"/>
        <v>0</v>
      </c>
      <c r="H112" s="22"/>
      <c r="I112" s="30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</row>
    <row r="113" spans="1:74" s="25" customFormat="1" ht="23.25" customHeight="1">
      <c r="A113" s="41" t="s">
        <v>155</v>
      </c>
      <c r="B113" s="18">
        <v>20091</v>
      </c>
      <c r="C113" s="18">
        <v>20091</v>
      </c>
      <c r="D113" s="18">
        <v>20091</v>
      </c>
      <c r="E113" s="19">
        <f t="shared" si="12"/>
        <v>100</v>
      </c>
      <c r="F113" s="20">
        <f>20091</f>
        <v>20091</v>
      </c>
      <c r="G113" s="21">
        <f t="shared" si="13"/>
        <v>100</v>
      </c>
      <c r="H113" s="22"/>
      <c r="I113" s="30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</row>
    <row r="114" spans="1:74" s="25" customFormat="1" ht="20.25" customHeight="1">
      <c r="A114" s="31" t="s">
        <v>156</v>
      </c>
      <c r="B114" s="18">
        <v>22470</v>
      </c>
      <c r="C114" s="18">
        <v>22470</v>
      </c>
      <c r="D114" s="18">
        <f>7900-5530</f>
        <v>2370</v>
      </c>
      <c r="E114" s="19">
        <f t="shared" si="12"/>
        <v>10.54739652870494</v>
      </c>
      <c r="F114" s="32">
        <v>2370</v>
      </c>
      <c r="G114" s="19">
        <f t="shared" si="13"/>
        <v>10.54739652870494</v>
      </c>
      <c r="H114" s="22"/>
      <c r="I114" s="26" t="s">
        <v>157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</row>
    <row r="115" spans="1:74" s="25" customFormat="1" ht="27.75" customHeight="1">
      <c r="A115" s="31" t="s">
        <v>158</v>
      </c>
      <c r="B115" s="18">
        <v>10023</v>
      </c>
      <c r="C115" s="18">
        <f>10023+5750</f>
        <v>15773</v>
      </c>
      <c r="D115" s="18">
        <f>50+9594+1152</f>
        <v>10796</v>
      </c>
      <c r="E115" s="19">
        <f t="shared" si="12"/>
        <v>68.44607874215431</v>
      </c>
      <c r="F115" s="32">
        <v>6004</v>
      </c>
      <c r="G115" s="19">
        <f t="shared" si="13"/>
        <v>38.06504786660749</v>
      </c>
      <c r="H115" s="71"/>
      <c r="I115" s="30" t="s">
        <v>159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</row>
    <row r="116" spans="1:74" s="25" customFormat="1" ht="19.5" customHeight="1">
      <c r="A116" s="31" t="s">
        <v>160</v>
      </c>
      <c r="B116" s="18">
        <v>0</v>
      </c>
      <c r="C116" s="18">
        <v>75</v>
      </c>
      <c r="D116" s="18">
        <v>75</v>
      </c>
      <c r="E116" s="19">
        <f t="shared" si="12"/>
        <v>100</v>
      </c>
      <c r="F116" s="33">
        <v>75</v>
      </c>
      <c r="G116" s="19">
        <f t="shared" si="13"/>
        <v>100</v>
      </c>
      <c r="H116" s="22"/>
      <c r="I116" s="30" t="s">
        <v>30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</row>
    <row r="117" spans="1:74" s="50" customFormat="1" ht="24.75" customHeight="1">
      <c r="A117" s="43" t="s">
        <v>161</v>
      </c>
      <c r="B117" s="44">
        <f>SUM(B108:B116)</f>
        <v>235531</v>
      </c>
      <c r="C117" s="45">
        <f>SUM(C108:C116)</f>
        <v>248359</v>
      </c>
      <c r="D117" s="44">
        <f>SUM(D108:D116)</f>
        <v>221238</v>
      </c>
      <c r="E117" s="46">
        <f t="shared" si="12"/>
        <v>89.07992059881059</v>
      </c>
      <c r="F117" s="44">
        <f>SUM(F108:F116)</f>
        <v>208712</v>
      </c>
      <c r="G117" s="46">
        <f t="shared" si="13"/>
        <v>84.0364150282454</v>
      </c>
      <c r="H117" s="47"/>
      <c r="I117" s="48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</row>
    <row r="118" spans="1:74" s="50" customFormat="1" ht="24.75" customHeight="1">
      <c r="A118" s="11" t="s">
        <v>162</v>
      </c>
      <c r="B118" s="51"/>
      <c r="C118" s="51"/>
      <c r="D118" s="51"/>
      <c r="E118" s="51"/>
      <c r="F118" s="51"/>
      <c r="G118" s="51"/>
      <c r="H118" s="22"/>
      <c r="I118" s="52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</row>
    <row r="119" spans="1:73" s="25" customFormat="1" ht="24.75" customHeight="1">
      <c r="A119" s="53" t="s">
        <v>163</v>
      </c>
      <c r="B119" s="18">
        <v>6396</v>
      </c>
      <c r="C119" s="18">
        <f>6396-2</f>
        <v>6394</v>
      </c>
      <c r="D119" s="18">
        <f>5346+150+13+250</f>
        <v>5759</v>
      </c>
      <c r="E119" s="19">
        <f aca="true" t="shared" si="14" ref="E119:E130">+D119/C119*100</f>
        <v>90.06881451360651</v>
      </c>
      <c r="F119" s="20">
        <v>5708</v>
      </c>
      <c r="G119" s="21">
        <f aca="true" t="shared" si="15" ref="G119:G130">+F119/C119*100</f>
        <v>89.27119174225837</v>
      </c>
      <c r="H119" s="22"/>
      <c r="I119" s="30" t="s">
        <v>164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</row>
    <row r="120" spans="1:74" s="25" customFormat="1" ht="23.25" customHeight="1">
      <c r="A120" s="31" t="s">
        <v>165</v>
      </c>
      <c r="B120" s="18">
        <f>3312-504-352</f>
        <v>2456</v>
      </c>
      <c r="C120" s="18">
        <f>3312-504-352</f>
        <v>2456</v>
      </c>
      <c r="D120" s="18">
        <v>0</v>
      </c>
      <c r="E120" s="19">
        <f t="shared" si="14"/>
        <v>0</v>
      </c>
      <c r="F120" s="32">
        <v>0</v>
      </c>
      <c r="G120" s="19">
        <f t="shared" si="15"/>
        <v>0</v>
      </c>
      <c r="H120" s="22"/>
      <c r="I120" s="30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</row>
    <row r="121" spans="1:74" s="25" customFormat="1" ht="22.5" customHeight="1">
      <c r="A121" s="31" t="s">
        <v>166</v>
      </c>
      <c r="B121" s="18">
        <v>51250</v>
      </c>
      <c r="C121" s="18">
        <f>51250+2</f>
        <v>51252</v>
      </c>
      <c r="D121" s="18">
        <f>14496+5403+6471+7826+15900+361+795</f>
        <v>51252</v>
      </c>
      <c r="E121" s="19">
        <f t="shared" si="14"/>
        <v>100</v>
      </c>
      <c r="F121" s="32">
        <v>51252</v>
      </c>
      <c r="G121" s="19">
        <f t="shared" si="15"/>
        <v>100</v>
      </c>
      <c r="H121" s="22"/>
      <c r="I121" s="30" t="s">
        <v>167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</row>
    <row r="122" spans="1:74" s="25" customFormat="1" ht="18" customHeight="1">
      <c r="A122" s="53" t="s">
        <v>168</v>
      </c>
      <c r="B122" s="18">
        <v>1220</v>
      </c>
      <c r="C122" s="18">
        <v>1220</v>
      </c>
      <c r="D122" s="18">
        <v>1220</v>
      </c>
      <c r="E122" s="19">
        <f t="shared" si="14"/>
        <v>100</v>
      </c>
      <c r="F122" s="20">
        <v>1220</v>
      </c>
      <c r="G122" s="21">
        <f t="shared" si="15"/>
        <v>100</v>
      </c>
      <c r="H122" s="22"/>
      <c r="I122" s="30">
        <v>51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</row>
    <row r="123" spans="1:74" s="25" customFormat="1" ht="21.75" customHeight="1">
      <c r="A123" s="53" t="s">
        <v>169</v>
      </c>
      <c r="B123" s="18">
        <v>8000</v>
      </c>
      <c r="C123" s="18">
        <v>8000</v>
      </c>
      <c r="D123" s="18">
        <v>8000</v>
      </c>
      <c r="E123" s="19">
        <f t="shared" si="14"/>
        <v>100</v>
      </c>
      <c r="F123" s="20">
        <v>8000</v>
      </c>
      <c r="G123" s="21">
        <f t="shared" si="15"/>
        <v>100</v>
      </c>
      <c r="H123" s="22"/>
      <c r="I123" s="30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</row>
    <row r="124" spans="1:74" s="61" customFormat="1" ht="18.75" customHeight="1">
      <c r="A124" s="31" t="s">
        <v>170</v>
      </c>
      <c r="B124" s="33">
        <v>20000</v>
      </c>
      <c r="C124" s="33">
        <v>20000</v>
      </c>
      <c r="D124" s="33">
        <v>20000</v>
      </c>
      <c r="E124" s="19">
        <f t="shared" si="14"/>
        <v>100</v>
      </c>
      <c r="F124" s="20">
        <v>20000</v>
      </c>
      <c r="G124" s="21">
        <f t="shared" si="15"/>
        <v>100</v>
      </c>
      <c r="H124" s="22"/>
      <c r="I124" s="59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</row>
    <row r="125" spans="1:9" ht="23.25" customHeight="1">
      <c r="A125" s="41" t="s">
        <v>171</v>
      </c>
      <c r="B125" s="33">
        <v>150</v>
      </c>
      <c r="C125" s="33">
        <v>150</v>
      </c>
      <c r="D125" s="33">
        <v>111</v>
      </c>
      <c r="E125" s="19">
        <f t="shared" si="14"/>
        <v>74</v>
      </c>
      <c r="F125" s="32">
        <v>111</v>
      </c>
      <c r="G125" s="19">
        <f t="shared" si="15"/>
        <v>74</v>
      </c>
      <c r="H125" s="22"/>
      <c r="I125" s="39">
        <v>121</v>
      </c>
    </row>
    <row r="126" spans="1:9" ht="24.75" customHeight="1">
      <c r="A126" s="41" t="s">
        <v>172</v>
      </c>
      <c r="B126" s="33">
        <v>200</v>
      </c>
      <c r="C126" s="33">
        <v>300</v>
      </c>
      <c r="D126" s="33">
        <v>0</v>
      </c>
      <c r="E126" s="19">
        <f t="shared" si="14"/>
        <v>0</v>
      </c>
      <c r="F126" s="32">
        <v>0</v>
      </c>
      <c r="G126" s="19">
        <f t="shared" si="15"/>
        <v>0</v>
      </c>
      <c r="H126" s="22"/>
      <c r="I126" s="39">
        <v>122</v>
      </c>
    </row>
    <row r="127" spans="1:9" ht="21.75" customHeight="1">
      <c r="A127" s="53" t="s">
        <v>173</v>
      </c>
      <c r="B127" s="33">
        <v>0</v>
      </c>
      <c r="C127" s="33">
        <f>3000-350</f>
        <v>2650</v>
      </c>
      <c r="D127" s="33">
        <v>2650</v>
      </c>
      <c r="E127" s="19">
        <f t="shared" si="14"/>
        <v>100</v>
      </c>
      <c r="F127" s="32">
        <v>2650</v>
      </c>
      <c r="G127" s="19">
        <f t="shared" si="15"/>
        <v>100</v>
      </c>
      <c r="H127" s="22"/>
      <c r="I127" s="39">
        <v>100</v>
      </c>
    </row>
    <row r="128" spans="1:9" ht="24.75" customHeight="1">
      <c r="A128" s="53" t="s">
        <v>174</v>
      </c>
      <c r="B128" s="33">
        <v>0</v>
      </c>
      <c r="C128" s="33">
        <v>695</v>
      </c>
      <c r="D128" s="33">
        <v>695</v>
      </c>
      <c r="E128" s="19">
        <f t="shared" si="14"/>
        <v>100</v>
      </c>
      <c r="F128" s="20">
        <v>695</v>
      </c>
      <c r="G128" s="19">
        <f t="shared" si="15"/>
        <v>100</v>
      </c>
      <c r="H128" s="22"/>
      <c r="I128" s="39">
        <v>72</v>
      </c>
    </row>
    <row r="129" spans="1:9" ht="24.75" customHeight="1">
      <c r="A129" s="72" t="s">
        <v>175</v>
      </c>
      <c r="B129" s="73">
        <v>0</v>
      </c>
      <c r="C129" s="73">
        <v>470</v>
      </c>
      <c r="D129" s="73">
        <v>467</v>
      </c>
      <c r="E129" s="19">
        <f t="shared" si="14"/>
        <v>99.36170212765958</v>
      </c>
      <c r="F129" s="20">
        <v>467</v>
      </c>
      <c r="G129" s="19">
        <f t="shared" si="15"/>
        <v>99.36170212765958</v>
      </c>
      <c r="H129" s="22"/>
      <c r="I129" s="74">
        <v>111</v>
      </c>
    </row>
    <row r="130" spans="1:74" s="50" customFormat="1" ht="24.75" customHeight="1">
      <c r="A130" s="43" t="s">
        <v>176</v>
      </c>
      <c r="B130" s="44">
        <f>SUM(B119:B129)</f>
        <v>89672</v>
      </c>
      <c r="C130" s="45">
        <f>SUM(C119:C129)</f>
        <v>93587</v>
      </c>
      <c r="D130" s="44">
        <f>SUM(D119:D129)</f>
        <v>90154</v>
      </c>
      <c r="E130" s="46">
        <f t="shared" si="14"/>
        <v>96.33175547885924</v>
      </c>
      <c r="F130" s="44">
        <f>SUM(F119:F129)</f>
        <v>90103</v>
      </c>
      <c r="G130" s="46">
        <f t="shared" si="15"/>
        <v>96.27726073065703</v>
      </c>
      <c r="H130" s="47"/>
      <c r="I130" s="48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</row>
    <row r="131" spans="1:74" s="50" customFormat="1" ht="24.75" customHeight="1">
      <c r="A131" s="11" t="s">
        <v>177</v>
      </c>
      <c r="B131" s="51"/>
      <c r="C131" s="51"/>
      <c r="D131" s="51"/>
      <c r="E131" s="51"/>
      <c r="F131" s="51"/>
      <c r="G131" s="51"/>
      <c r="H131" s="22"/>
      <c r="I131" s="52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</row>
    <row r="132" spans="1:74" s="25" customFormat="1" ht="21" customHeight="1">
      <c r="A132" s="53" t="s">
        <v>178</v>
      </c>
      <c r="B132" s="18">
        <f>2723+112</f>
        <v>2835</v>
      </c>
      <c r="C132" s="18">
        <f>2835-79</f>
        <v>2756</v>
      </c>
      <c r="D132" s="18">
        <f>125+88+1633+76+132+121+425+47+25+42</f>
        <v>2714</v>
      </c>
      <c r="E132" s="19">
        <f aca="true" t="shared" si="16" ref="E132:E137">+D132/C132*100</f>
        <v>98.47605224963716</v>
      </c>
      <c r="F132" s="20">
        <v>2714</v>
      </c>
      <c r="G132" s="21">
        <f aca="true" t="shared" si="17" ref="G132:G137">+F132/C132*100</f>
        <v>98.47605224963716</v>
      </c>
      <c r="H132" s="22"/>
      <c r="I132" s="70" t="s">
        <v>179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</row>
    <row r="133" spans="1:74" s="25" customFormat="1" ht="21" customHeight="1">
      <c r="A133" s="31" t="s">
        <v>180</v>
      </c>
      <c r="B133" s="18">
        <v>80</v>
      </c>
      <c r="C133" s="18">
        <v>80</v>
      </c>
      <c r="D133" s="18">
        <v>0</v>
      </c>
      <c r="E133" s="19">
        <f t="shared" si="16"/>
        <v>0</v>
      </c>
      <c r="F133" s="32">
        <v>0</v>
      </c>
      <c r="G133" s="19">
        <f t="shared" si="17"/>
        <v>0</v>
      </c>
      <c r="H133" s="22"/>
      <c r="I133" s="67" t="s">
        <v>181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</row>
    <row r="134" spans="1:74" s="25" customFormat="1" ht="21" customHeight="1">
      <c r="A134" s="31" t="s">
        <v>182</v>
      </c>
      <c r="B134" s="18">
        <v>501</v>
      </c>
      <c r="C134" s="18">
        <v>501</v>
      </c>
      <c r="D134" s="18">
        <v>280</v>
      </c>
      <c r="E134" s="19">
        <f t="shared" si="16"/>
        <v>55.88822355289421</v>
      </c>
      <c r="F134" s="20">
        <v>280</v>
      </c>
      <c r="G134" s="21">
        <f t="shared" si="17"/>
        <v>55.88822355289421</v>
      </c>
      <c r="H134" s="22"/>
      <c r="I134" s="30" t="s">
        <v>183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</row>
    <row r="135" spans="1:74" s="25" customFormat="1" ht="24" customHeight="1">
      <c r="A135" s="31" t="s">
        <v>184</v>
      </c>
      <c r="B135" s="18">
        <f>625+200</f>
        <v>825</v>
      </c>
      <c r="C135" s="18">
        <f>625+200</f>
        <v>825</v>
      </c>
      <c r="D135" s="18">
        <f>625+138</f>
        <v>763</v>
      </c>
      <c r="E135" s="19">
        <f t="shared" si="16"/>
        <v>92.48484848484848</v>
      </c>
      <c r="F135" s="20">
        <v>138</v>
      </c>
      <c r="G135" s="21">
        <f t="shared" si="17"/>
        <v>16.727272727272727</v>
      </c>
      <c r="H135" s="22"/>
      <c r="I135" s="30" t="s">
        <v>185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</row>
    <row r="136" spans="1:9" ht="24" customHeight="1">
      <c r="A136" s="17" t="s">
        <v>186</v>
      </c>
      <c r="B136" s="33">
        <v>1500</v>
      </c>
      <c r="C136" s="33">
        <f>1500+763-1500</f>
        <v>763</v>
      </c>
      <c r="D136" s="33">
        <v>763</v>
      </c>
      <c r="E136" s="19">
        <f t="shared" si="16"/>
        <v>100</v>
      </c>
      <c r="F136" s="20">
        <v>763</v>
      </c>
      <c r="G136" s="21">
        <f t="shared" si="17"/>
        <v>100</v>
      </c>
      <c r="H136" s="22"/>
      <c r="I136" s="39" t="s">
        <v>187</v>
      </c>
    </row>
    <row r="137" spans="1:74" s="50" customFormat="1" ht="24.75" customHeight="1">
      <c r="A137" s="43" t="s">
        <v>188</v>
      </c>
      <c r="B137" s="44">
        <f>SUM(B132:B136)</f>
        <v>5741</v>
      </c>
      <c r="C137" s="45">
        <f>SUM(C132:C136)</f>
        <v>4925</v>
      </c>
      <c r="D137" s="44">
        <f>SUM(D132:D136)</f>
        <v>4520</v>
      </c>
      <c r="E137" s="46">
        <f t="shared" si="16"/>
        <v>91.7766497461929</v>
      </c>
      <c r="F137" s="44">
        <f>SUM(F132:F136)</f>
        <v>3895</v>
      </c>
      <c r="G137" s="46">
        <f t="shared" si="17"/>
        <v>79.08629441624365</v>
      </c>
      <c r="H137" s="47"/>
      <c r="I137" s="48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</row>
    <row r="138" spans="1:74" s="50" customFormat="1" ht="24.75" customHeight="1">
      <c r="A138" s="11" t="s">
        <v>189</v>
      </c>
      <c r="B138" s="75"/>
      <c r="C138" s="75"/>
      <c r="D138" s="75"/>
      <c r="E138" s="75"/>
      <c r="F138" s="75"/>
      <c r="G138" s="75"/>
      <c r="H138" s="22"/>
      <c r="I138" s="76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</row>
    <row r="139" spans="1:74" s="25" customFormat="1" ht="19.5" customHeight="1">
      <c r="A139" s="53" t="s">
        <v>190</v>
      </c>
      <c r="B139" s="18">
        <v>2225</v>
      </c>
      <c r="C139" s="18">
        <v>2225</v>
      </c>
      <c r="D139" s="18">
        <v>0</v>
      </c>
      <c r="E139" s="19">
        <f aca="true" t="shared" si="18" ref="E139:E144">+D139/C139*100</f>
        <v>0</v>
      </c>
      <c r="F139" s="32">
        <v>0</v>
      </c>
      <c r="G139" s="19">
        <f aca="true" t="shared" si="19" ref="G139:G144">+F139/C139*100</f>
        <v>0</v>
      </c>
      <c r="H139" s="22"/>
      <c r="I139" s="30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</row>
    <row r="140" spans="1:74" s="25" customFormat="1" ht="21" customHeight="1">
      <c r="A140" s="31" t="s">
        <v>191</v>
      </c>
      <c r="B140" s="18">
        <v>745</v>
      </c>
      <c r="C140" s="18">
        <v>745</v>
      </c>
      <c r="D140" s="18">
        <v>745</v>
      </c>
      <c r="E140" s="19">
        <f t="shared" si="18"/>
        <v>100</v>
      </c>
      <c r="F140" s="20">
        <v>745</v>
      </c>
      <c r="G140" s="21">
        <f t="shared" si="19"/>
        <v>100</v>
      </c>
      <c r="H140" s="22"/>
      <c r="I140" s="26" t="s">
        <v>192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</row>
    <row r="141" spans="1:9" ht="18.75" customHeight="1">
      <c r="A141" s="17" t="s">
        <v>193</v>
      </c>
      <c r="B141" s="33">
        <v>1500</v>
      </c>
      <c r="C141" s="33">
        <v>1500</v>
      </c>
      <c r="D141" s="33">
        <v>0</v>
      </c>
      <c r="E141" s="19">
        <f t="shared" si="18"/>
        <v>0</v>
      </c>
      <c r="F141" s="32">
        <v>0</v>
      </c>
      <c r="G141" s="19">
        <f t="shared" si="19"/>
        <v>0</v>
      </c>
      <c r="H141" s="22"/>
      <c r="I141" s="39"/>
    </row>
    <row r="142" spans="1:9" ht="21.75" customHeight="1">
      <c r="A142" s="17" t="s">
        <v>194</v>
      </c>
      <c r="B142" s="33">
        <v>0</v>
      </c>
      <c r="C142" s="33">
        <v>263</v>
      </c>
      <c r="D142" s="33">
        <v>263</v>
      </c>
      <c r="E142" s="19">
        <f t="shared" si="18"/>
        <v>100</v>
      </c>
      <c r="F142" s="32">
        <v>263</v>
      </c>
      <c r="G142" s="19">
        <f t="shared" si="19"/>
        <v>100</v>
      </c>
      <c r="H142" s="22"/>
      <c r="I142" s="39">
        <v>129</v>
      </c>
    </row>
    <row r="143" spans="1:9" ht="21.75" customHeight="1">
      <c r="A143" s="41" t="s">
        <v>195</v>
      </c>
      <c r="B143" s="33">
        <v>0</v>
      </c>
      <c r="C143" s="33">
        <v>350</v>
      </c>
      <c r="D143" s="33">
        <v>0</v>
      </c>
      <c r="E143" s="19">
        <f t="shared" si="18"/>
        <v>0</v>
      </c>
      <c r="F143" s="32">
        <v>0</v>
      </c>
      <c r="G143" s="19">
        <f t="shared" si="19"/>
        <v>0</v>
      </c>
      <c r="H143" s="22"/>
      <c r="I143" s="39">
        <v>129</v>
      </c>
    </row>
    <row r="144" spans="1:74" s="50" customFormat="1" ht="24.75" customHeight="1">
      <c r="A144" s="43" t="s">
        <v>196</v>
      </c>
      <c r="B144" s="44">
        <f>SUM(B139:B143)</f>
        <v>4470</v>
      </c>
      <c r="C144" s="45">
        <f>SUM(C139:C143)</f>
        <v>5083</v>
      </c>
      <c r="D144" s="44">
        <f>SUM(D139:D143)</f>
        <v>1008</v>
      </c>
      <c r="E144" s="46">
        <f t="shared" si="18"/>
        <v>19.83080857761165</v>
      </c>
      <c r="F144" s="44">
        <f>SUM(F139:F143)</f>
        <v>1008</v>
      </c>
      <c r="G144" s="46">
        <f t="shared" si="19"/>
        <v>19.83080857761165</v>
      </c>
      <c r="H144" s="47"/>
      <c r="I144" s="48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</row>
    <row r="145" spans="1:74" s="50" customFormat="1" ht="21.75" customHeight="1">
      <c r="A145" s="11" t="s">
        <v>197</v>
      </c>
      <c r="B145" s="51"/>
      <c r="C145" s="51"/>
      <c r="D145" s="51"/>
      <c r="E145" s="51"/>
      <c r="F145" s="51"/>
      <c r="G145" s="51"/>
      <c r="H145" s="22"/>
      <c r="I145" s="52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</row>
    <row r="146" spans="1:74" s="25" customFormat="1" ht="18" customHeight="1">
      <c r="A146" s="31" t="s">
        <v>198</v>
      </c>
      <c r="B146" s="18">
        <f>1200+20000</f>
        <v>21200</v>
      </c>
      <c r="C146" s="18">
        <f>1200+20000</f>
        <v>21200</v>
      </c>
      <c r="D146" s="18">
        <v>14300</v>
      </c>
      <c r="E146" s="19">
        <f aca="true" t="shared" si="20" ref="E146:E155">+D146/C146*100</f>
        <v>67.45283018867924</v>
      </c>
      <c r="F146" s="20">
        <v>14300</v>
      </c>
      <c r="G146" s="21">
        <f aca="true" t="shared" si="21" ref="G146:G155">+F146/C146*100</f>
        <v>67.45283018867924</v>
      </c>
      <c r="H146" s="22"/>
      <c r="I146" s="30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</row>
    <row r="147" spans="1:9" ht="18" customHeight="1">
      <c r="A147" s="77" t="s">
        <v>199</v>
      </c>
      <c r="B147" s="78">
        <v>1000</v>
      </c>
      <c r="C147" s="78">
        <v>1000</v>
      </c>
      <c r="D147" s="78">
        <v>1544</v>
      </c>
      <c r="E147" s="79">
        <f t="shared" si="20"/>
        <v>154.4</v>
      </c>
      <c r="F147" s="80">
        <v>1544</v>
      </c>
      <c r="G147" s="81">
        <f t="shared" si="21"/>
        <v>154.4</v>
      </c>
      <c r="H147" s="22"/>
      <c r="I147" s="39"/>
    </row>
    <row r="148" spans="1:10" ht="18" customHeight="1">
      <c r="A148" s="82" t="s">
        <v>200</v>
      </c>
      <c r="B148" s="78">
        <v>6000</v>
      </c>
      <c r="C148" s="78">
        <f>6000+7500</f>
        <v>13500</v>
      </c>
      <c r="D148" s="78">
        <v>15171</v>
      </c>
      <c r="E148" s="79">
        <f t="shared" si="20"/>
        <v>112.37777777777778</v>
      </c>
      <c r="F148" s="80">
        <v>15171</v>
      </c>
      <c r="G148" s="81">
        <f t="shared" si="21"/>
        <v>112.37777777777778</v>
      </c>
      <c r="H148" s="22"/>
      <c r="I148" s="39"/>
      <c r="J148" s="83"/>
    </row>
    <row r="149" spans="1:9" ht="18" customHeight="1">
      <c r="A149" s="31" t="s">
        <v>201</v>
      </c>
      <c r="B149" s="33">
        <v>7000</v>
      </c>
      <c r="C149" s="33">
        <v>8000</v>
      </c>
      <c r="D149" s="33">
        <f>8037-41</f>
        <v>7996</v>
      </c>
      <c r="E149" s="19">
        <f t="shared" si="20"/>
        <v>99.95</v>
      </c>
      <c r="F149" s="20">
        <f>8037-41</f>
        <v>7996</v>
      </c>
      <c r="G149" s="21">
        <f t="shared" si="21"/>
        <v>99.95</v>
      </c>
      <c r="H149" s="22"/>
      <c r="I149" s="69" t="s">
        <v>202</v>
      </c>
    </row>
    <row r="150" spans="1:74" s="25" customFormat="1" ht="18" customHeight="1">
      <c r="A150" s="84" t="s">
        <v>203</v>
      </c>
      <c r="B150" s="85">
        <f>2610+3000</f>
        <v>5610</v>
      </c>
      <c r="C150" s="85">
        <f>2610+3000</f>
        <v>5610</v>
      </c>
      <c r="D150" s="85">
        <f>1100+1500</f>
        <v>2600</v>
      </c>
      <c r="E150" s="79">
        <f t="shared" si="20"/>
        <v>46.3458110516934</v>
      </c>
      <c r="F150" s="80">
        <v>2050</v>
      </c>
      <c r="G150" s="81">
        <f t="shared" si="21"/>
        <v>36.54188948306595</v>
      </c>
      <c r="H150" s="22"/>
      <c r="I150" s="30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</row>
    <row r="151" spans="1:74" s="25" customFormat="1" ht="18" customHeight="1">
      <c r="A151" s="31" t="s">
        <v>204</v>
      </c>
      <c r="B151" s="18">
        <f>937+6000</f>
        <v>6937</v>
      </c>
      <c r="C151" s="86">
        <f>6937+5000-1348-3375-134-50-230-500+6000-8085-219-350-450-375+6000-4073</f>
        <v>4748</v>
      </c>
      <c r="D151" s="18">
        <v>0</v>
      </c>
      <c r="E151" s="19">
        <f t="shared" si="20"/>
        <v>0</v>
      </c>
      <c r="F151" s="32">
        <v>0</v>
      </c>
      <c r="G151" s="19">
        <f t="shared" si="21"/>
        <v>0</v>
      </c>
      <c r="H151" s="22"/>
      <c r="I151" s="30"/>
      <c r="J151" s="87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</row>
    <row r="152" spans="1:10" ht="18" customHeight="1">
      <c r="A152" s="17" t="s">
        <v>205</v>
      </c>
      <c r="B152" s="33">
        <v>2000</v>
      </c>
      <c r="C152" s="33">
        <v>2000</v>
      </c>
      <c r="D152" s="33">
        <v>248</v>
      </c>
      <c r="E152" s="19">
        <f t="shared" si="20"/>
        <v>12.4</v>
      </c>
      <c r="F152" s="20">
        <v>248</v>
      </c>
      <c r="G152" s="21">
        <f t="shared" si="21"/>
        <v>12.4</v>
      </c>
      <c r="H152" s="22"/>
      <c r="I152" s="39"/>
      <c r="J152" s="64"/>
    </row>
    <row r="153" spans="1:74" s="25" customFormat="1" ht="18" customHeight="1">
      <c r="A153" s="88" t="s">
        <v>206</v>
      </c>
      <c r="B153" s="18">
        <v>1250</v>
      </c>
      <c r="C153" s="18">
        <v>1250</v>
      </c>
      <c r="D153" s="18">
        <v>1250</v>
      </c>
      <c r="E153" s="19">
        <f t="shared" si="20"/>
        <v>100</v>
      </c>
      <c r="F153" s="32">
        <v>0</v>
      </c>
      <c r="G153" s="19">
        <f t="shared" si="21"/>
        <v>0</v>
      </c>
      <c r="H153" s="22"/>
      <c r="I153" s="30" t="s">
        <v>207</v>
      </c>
      <c r="J153" s="87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</row>
    <row r="154" spans="1:10" ht="18" customHeight="1">
      <c r="A154" s="17" t="s">
        <v>208</v>
      </c>
      <c r="B154" s="33">
        <v>20000</v>
      </c>
      <c r="C154" s="33">
        <f>20000-16625</f>
        <v>3375</v>
      </c>
      <c r="D154" s="33">
        <f>33750*0.1</f>
        <v>3375</v>
      </c>
      <c r="E154" s="19">
        <f t="shared" si="20"/>
        <v>100</v>
      </c>
      <c r="F154" s="32">
        <v>0</v>
      </c>
      <c r="G154" s="19">
        <f t="shared" si="21"/>
        <v>0</v>
      </c>
      <c r="H154" s="22"/>
      <c r="I154" s="39" t="s">
        <v>209</v>
      </c>
      <c r="J154" s="64"/>
    </row>
    <row r="155" spans="1:74" s="25" customFormat="1" ht="18" customHeight="1">
      <c r="A155" s="88" t="s">
        <v>210</v>
      </c>
      <c r="B155" s="18">
        <v>1563</v>
      </c>
      <c r="C155" s="18">
        <v>1563</v>
      </c>
      <c r="D155" s="18">
        <f>1000+563</f>
        <v>1563</v>
      </c>
      <c r="E155" s="19">
        <f t="shared" si="20"/>
        <v>100</v>
      </c>
      <c r="F155" s="20">
        <v>1563</v>
      </c>
      <c r="G155" s="21">
        <f t="shared" si="21"/>
        <v>100</v>
      </c>
      <c r="H155" s="22"/>
      <c r="I155" s="30" t="s">
        <v>211</v>
      </c>
      <c r="J155" s="87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</row>
    <row r="156" spans="1:74" s="25" customFormat="1" ht="15.75" customHeight="1">
      <c r="A156" s="31" t="s">
        <v>212</v>
      </c>
      <c r="B156" s="18">
        <v>3000</v>
      </c>
      <c r="C156" s="18">
        <v>0</v>
      </c>
      <c r="D156" s="27" t="s">
        <v>13</v>
      </c>
      <c r="E156" s="28" t="s">
        <v>13</v>
      </c>
      <c r="F156" s="29" t="s">
        <v>14</v>
      </c>
      <c r="G156" s="28" t="s">
        <v>13</v>
      </c>
      <c r="H156" s="54"/>
      <c r="I156" s="30"/>
      <c r="J156" s="87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</row>
    <row r="157" spans="1:10" ht="15" customHeight="1">
      <c r="A157" s="17" t="s">
        <v>213</v>
      </c>
      <c r="B157" s="33">
        <v>21242</v>
      </c>
      <c r="C157" s="33">
        <v>0</v>
      </c>
      <c r="D157" s="27" t="s">
        <v>13</v>
      </c>
      <c r="E157" s="28" t="s">
        <v>13</v>
      </c>
      <c r="F157" s="29" t="s">
        <v>14</v>
      </c>
      <c r="G157" s="28" t="s">
        <v>13</v>
      </c>
      <c r="H157" s="54"/>
      <c r="I157" s="39"/>
      <c r="J157" s="64"/>
    </row>
    <row r="158" spans="1:74" s="25" customFormat="1" ht="18" customHeight="1">
      <c r="A158" s="31" t="s">
        <v>214</v>
      </c>
      <c r="B158" s="18">
        <v>150</v>
      </c>
      <c r="C158" s="18">
        <v>675</v>
      </c>
      <c r="D158" s="18">
        <v>315</v>
      </c>
      <c r="E158" s="19">
        <f aca="true" t="shared" si="22" ref="E158:E170">+D158/C158*100</f>
        <v>46.666666666666664</v>
      </c>
      <c r="F158" s="32">
        <v>157</v>
      </c>
      <c r="G158" s="19">
        <f aca="true" t="shared" si="23" ref="G158:G170">+F158/C158*100</f>
        <v>23.25925925925926</v>
      </c>
      <c r="H158" s="22"/>
      <c r="I158" s="30">
        <v>170</v>
      </c>
      <c r="J158" s="87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</row>
    <row r="159" spans="1:10" ht="18" customHeight="1">
      <c r="A159" s="17" t="s">
        <v>215</v>
      </c>
      <c r="B159" s="33">
        <v>2469</v>
      </c>
      <c r="C159" s="33">
        <v>2469</v>
      </c>
      <c r="D159" s="33">
        <v>2469</v>
      </c>
      <c r="E159" s="19">
        <f t="shared" si="22"/>
        <v>100</v>
      </c>
      <c r="F159" s="32">
        <v>2469</v>
      </c>
      <c r="G159" s="19">
        <f t="shared" si="23"/>
        <v>100</v>
      </c>
      <c r="H159" s="22"/>
      <c r="I159" s="62">
        <v>90</v>
      </c>
      <c r="J159" s="64"/>
    </row>
    <row r="160" spans="1:10" ht="18" customHeight="1">
      <c r="A160" s="17" t="s">
        <v>216</v>
      </c>
      <c r="B160" s="33">
        <v>100</v>
      </c>
      <c r="C160" s="33">
        <v>100</v>
      </c>
      <c r="D160" s="33">
        <v>100</v>
      </c>
      <c r="E160" s="19">
        <f t="shared" si="22"/>
        <v>100</v>
      </c>
      <c r="F160" s="20">
        <v>100</v>
      </c>
      <c r="G160" s="21">
        <f t="shared" si="23"/>
        <v>100</v>
      </c>
      <c r="H160" s="22"/>
      <c r="I160" s="62" t="s">
        <v>217</v>
      </c>
      <c r="J160" s="64"/>
    </row>
    <row r="161" spans="1:10" ht="21.75" customHeight="1">
      <c r="A161" s="17" t="s">
        <v>218</v>
      </c>
      <c r="B161" s="33">
        <v>1875</v>
      </c>
      <c r="C161" s="33">
        <v>1875</v>
      </c>
      <c r="D161" s="33">
        <v>1875</v>
      </c>
      <c r="E161" s="19">
        <f t="shared" si="22"/>
        <v>100</v>
      </c>
      <c r="F161" s="20">
        <f>750+938</f>
        <v>1688</v>
      </c>
      <c r="G161" s="21">
        <f t="shared" si="23"/>
        <v>90.02666666666667</v>
      </c>
      <c r="H161" s="71"/>
      <c r="I161" s="62" t="s">
        <v>219</v>
      </c>
      <c r="J161" s="64"/>
    </row>
    <row r="162" spans="1:10" ht="18" customHeight="1">
      <c r="A162" s="17" t="s">
        <v>220</v>
      </c>
      <c r="B162" s="33">
        <v>1013</v>
      </c>
      <c r="C162" s="33">
        <v>1013</v>
      </c>
      <c r="D162" s="33">
        <v>0</v>
      </c>
      <c r="E162" s="19">
        <f t="shared" si="22"/>
        <v>0</v>
      </c>
      <c r="F162" s="32">
        <v>0</v>
      </c>
      <c r="G162" s="19">
        <f t="shared" si="23"/>
        <v>0</v>
      </c>
      <c r="H162" s="22"/>
      <c r="I162" s="59"/>
      <c r="J162" s="64"/>
    </row>
    <row r="163" spans="1:10" ht="18" customHeight="1">
      <c r="A163" s="17" t="s">
        <v>221</v>
      </c>
      <c r="B163" s="33">
        <v>0</v>
      </c>
      <c r="C163" s="33">
        <f>100+300</f>
        <v>400</v>
      </c>
      <c r="D163" s="33">
        <v>148</v>
      </c>
      <c r="E163" s="19">
        <f t="shared" si="22"/>
        <v>37</v>
      </c>
      <c r="F163" s="20">
        <v>148</v>
      </c>
      <c r="G163" s="21">
        <f t="shared" si="23"/>
        <v>37</v>
      </c>
      <c r="H163" s="22"/>
      <c r="I163" s="62"/>
      <c r="J163" s="89"/>
    </row>
    <row r="164" spans="1:10" ht="18" customHeight="1">
      <c r="A164" s="17" t="s">
        <v>222</v>
      </c>
      <c r="B164" s="33">
        <v>0</v>
      </c>
      <c r="C164" s="33">
        <v>120</v>
      </c>
      <c r="D164" s="33">
        <v>120</v>
      </c>
      <c r="E164" s="19">
        <f t="shared" si="22"/>
        <v>100</v>
      </c>
      <c r="F164" s="20">
        <v>120</v>
      </c>
      <c r="G164" s="21">
        <f t="shared" si="23"/>
        <v>100</v>
      </c>
      <c r="H164" s="22"/>
      <c r="I164" s="62" t="s">
        <v>223</v>
      </c>
      <c r="J164" s="64"/>
    </row>
    <row r="165" spans="1:10" ht="18" customHeight="1">
      <c r="A165" s="17" t="s">
        <v>224</v>
      </c>
      <c r="B165" s="33">
        <v>0</v>
      </c>
      <c r="C165" s="33">
        <v>210</v>
      </c>
      <c r="D165" s="33">
        <v>210</v>
      </c>
      <c r="E165" s="19">
        <f t="shared" si="22"/>
        <v>100</v>
      </c>
      <c r="F165" s="20">
        <v>210</v>
      </c>
      <c r="G165" s="21">
        <f t="shared" si="23"/>
        <v>100</v>
      </c>
      <c r="H165" s="22"/>
      <c r="I165" s="62" t="s">
        <v>225</v>
      </c>
      <c r="J165" s="64"/>
    </row>
    <row r="166" spans="1:10" ht="18" customHeight="1">
      <c r="A166" s="17" t="s">
        <v>226</v>
      </c>
      <c r="B166" s="33">
        <v>0</v>
      </c>
      <c r="C166" s="33">
        <v>2875</v>
      </c>
      <c r="D166" s="33">
        <f>1125+600+1150</f>
        <v>2875</v>
      </c>
      <c r="E166" s="19">
        <f t="shared" si="22"/>
        <v>100</v>
      </c>
      <c r="F166" s="32">
        <v>2875</v>
      </c>
      <c r="G166" s="19">
        <f t="shared" si="23"/>
        <v>100</v>
      </c>
      <c r="H166" s="22"/>
      <c r="I166" s="62" t="s">
        <v>227</v>
      </c>
      <c r="J166" s="64"/>
    </row>
    <row r="167" spans="1:10" ht="18" customHeight="1">
      <c r="A167" s="65" t="s">
        <v>228</v>
      </c>
      <c r="B167" s="33">
        <v>0</v>
      </c>
      <c r="C167" s="33">
        <v>375</v>
      </c>
      <c r="D167" s="33">
        <v>300</v>
      </c>
      <c r="E167" s="19">
        <f t="shared" si="22"/>
        <v>80</v>
      </c>
      <c r="F167" s="32">
        <v>0</v>
      </c>
      <c r="G167" s="19">
        <f t="shared" si="23"/>
        <v>0</v>
      </c>
      <c r="H167" s="22"/>
      <c r="I167" s="62">
        <v>189</v>
      </c>
      <c r="J167" s="64"/>
    </row>
    <row r="168" spans="1:10" ht="18" customHeight="1">
      <c r="A168" s="65" t="s">
        <v>229</v>
      </c>
      <c r="B168" s="33">
        <v>0</v>
      </c>
      <c r="C168" s="33">
        <v>431</v>
      </c>
      <c r="D168" s="33">
        <v>0</v>
      </c>
      <c r="E168" s="19">
        <f t="shared" si="22"/>
        <v>0</v>
      </c>
      <c r="F168" s="32">
        <v>0</v>
      </c>
      <c r="G168" s="19">
        <f t="shared" si="23"/>
        <v>0</v>
      </c>
      <c r="H168" s="22"/>
      <c r="I168" s="62"/>
      <c r="J168" s="64"/>
    </row>
    <row r="169" spans="1:74" s="50" customFormat="1" ht="21.75" customHeight="1">
      <c r="A169" s="43" t="s">
        <v>230</v>
      </c>
      <c r="B169" s="44">
        <f>SUM(B146:B168)</f>
        <v>102409</v>
      </c>
      <c r="C169" s="45">
        <f>SUM(C146:C168)</f>
        <v>72789</v>
      </c>
      <c r="D169" s="44">
        <f>SUM(D146:D168)</f>
        <v>56459</v>
      </c>
      <c r="E169" s="46">
        <f t="shared" si="22"/>
        <v>77.56529145887428</v>
      </c>
      <c r="F169" s="44">
        <f>SUM(F146:F168)</f>
        <v>50639</v>
      </c>
      <c r="G169" s="46">
        <f t="shared" si="23"/>
        <v>69.56957782082458</v>
      </c>
      <c r="H169" s="47"/>
      <c r="I169" s="48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</row>
    <row r="170" spans="1:74" s="110" customFormat="1" ht="19.5" customHeight="1" hidden="1" outlineLevel="1">
      <c r="A170" s="91" t="s">
        <v>231</v>
      </c>
      <c r="B170" s="92">
        <f>+B25+B50+B54+B90+B100+B106+B117+B130+B137+B144+B169</f>
        <v>2107914</v>
      </c>
      <c r="C170" s="92">
        <f>+C25+C50+C54+C90+C100+C106+C117+C130+C137+C144+C169</f>
        <v>2263757</v>
      </c>
      <c r="D170" s="92">
        <f>+D25+D50+D54+D90+D100+D106+D117+D130+D137+D144+D169</f>
        <v>1602999</v>
      </c>
      <c r="E170" s="93">
        <f t="shared" si="22"/>
        <v>70.81144310100422</v>
      </c>
      <c r="F170" s="92">
        <f>+F25+F50+F54+F90+F100+F106+F117+F130+F137+F144+F169</f>
        <v>1505247</v>
      </c>
      <c r="G170" s="93">
        <f t="shared" si="23"/>
        <v>66.49331178213916</v>
      </c>
      <c r="H170" s="112"/>
      <c r="I170" s="10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</row>
    <row r="171" spans="1:74" s="98" customFormat="1" ht="21" customHeight="1" collapsed="1">
      <c r="A171" s="94" t="s">
        <v>232</v>
      </c>
      <c r="B171" s="95"/>
      <c r="C171" s="95"/>
      <c r="D171" s="95"/>
      <c r="E171" s="95"/>
      <c r="F171" s="95"/>
      <c r="G171" s="95"/>
      <c r="H171" s="22"/>
      <c r="I171" s="96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</row>
    <row r="172" spans="1:9" ht="17.25" customHeight="1">
      <c r="A172" s="31" t="s">
        <v>233</v>
      </c>
      <c r="B172" s="33">
        <v>80000</v>
      </c>
      <c r="C172" s="33">
        <v>59485</v>
      </c>
      <c r="D172" s="33">
        <v>59485</v>
      </c>
      <c r="E172" s="19">
        <f aca="true" t="shared" si="24" ref="E172:E178">+D172/C172*100</f>
        <v>100</v>
      </c>
      <c r="F172" s="32">
        <v>0</v>
      </c>
      <c r="G172" s="19">
        <f aca="true" t="shared" si="25" ref="G172:G178">+F172/C172*100</f>
        <v>0</v>
      </c>
      <c r="H172" s="22"/>
      <c r="I172" s="39"/>
    </row>
    <row r="173" spans="1:9" ht="15" customHeight="1">
      <c r="A173" s="31" t="s">
        <v>234</v>
      </c>
      <c r="B173" s="33">
        <v>30000</v>
      </c>
      <c r="C173" s="33">
        <v>40095</v>
      </c>
      <c r="D173" s="33">
        <v>40095</v>
      </c>
      <c r="E173" s="19">
        <f t="shared" si="24"/>
        <v>100</v>
      </c>
      <c r="F173" s="20">
        <v>40095</v>
      </c>
      <c r="G173" s="21">
        <f t="shared" si="25"/>
        <v>100</v>
      </c>
      <c r="H173" s="22"/>
      <c r="I173" s="39">
        <v>59</v>
      </c>
    </row>
    <row r="174" spans="1:9" ht="15.75" customHeight="1">
      <c r="A174" s="31" t="s">
        <v>235</v>
      </c>
      <c r="B174" s="33">
        <v>48000</v>
      </c>
      <c r="C174" s="33">
        <v>54516</v>
      </c>
      <c r="D174" s="33">
        <v>54516</v>
      </c>
      <c r="E174" s="19">
        <f t="shared" si="24"/>
        <v>100</v>
      </c>
      <c r="F174" s="32">
        <v>0</v>
      </c>
      <c r="G174" s="19">
        <f t="shared" si="25"/>
        <v>0</v>
      </c>
      <c r="H174" s="22"/>
      <c r="I174" s="39"/>
    </row>
    <row r="175" spans="1:9" ht="18" customHeight="1">
      <c r="A175" s="31" t="s">
        <v>236</v>
      </c>
      <c r="B175" s="33">
        <v>25000</v>
      </c>
      <c r="C175" s="33">
        <v>25000</v>
      </c>
      <c r="D175" s="33">
        <v>25000</v>
      </c>
      <c r="E175" s="19">
        <f t="shared" si="24"/>
        <v>100</v>
      </c>
      <c r="F175" s="32">
        <v>0</v>
      </c>
      <c r="G175" s="19">
        <f t="shared" si="25"/>
        <v>0</v>
      </c>
      <c r="H175" s="22"/>
      <c r="I175" s="39"/>
    </row>
    <row r="176" spans="1:9" ht="18" customHeight="1">
      <c r="A176" s="31" t="s">
        <v>237</v>
      </c>
      <c r="B176" s="33">
        <v>0</v>
      </c>
      <c r="C176" s="33">
        <v>3975</v>
      </c>
      <c r="D176" s="33">
        <v>3975</v>
      </c>
      <c r="E176" s="19">
        <f t="shared" si="24"/>
        <v>100</v>
      </c>
      <c r="F176" s="32">
        <v>3975</v>
      </c>
      <c r="G176" s="19">
        <f t="shared" si="25"/>
        <v>100</v>
      </c>
      <c r="H176" s="22"/>
      <c r="I176" s="39">
        <v>126</v>
      </c>
    </row>
    <row r="177" spans="1:74" s="50" customFormat="1" ht="21" customHeight="1">
      <c r="A177" s="90" t="s">
        <v>238</v>
      </c>
      <c r="B177" s="44">
        <f>SUM(B172:B176)</f>
        <v>183000</v>
      </c>
      <c r="C177" s="45">
        <f>SUM(C172:C176)</f>
        <v>183071</v>
      </c>
      <c r="D177" s="44">
        <f>SUM(D172:D176)</f>
        <v>183071</v>
      </c>
      <c r="E177" s="46">
        <f t="shared" si="24"/>
        <v>100</v>
      </c>
      <c r="F177" s="44">
        <f>SUM(F172:F176)</f>
        <v>44070</v>
      </c>
      <c r="G177" s="46">
        <f t="shared" si="25"/>
        <v>24.072627559799205</v>
      </c>
      <c r="H177" s="47"/>
      <c r="I177" s="48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</row>
    <row r="178" spans="1:74" s="104" customFormat="1" ht="24" customHeight="1">
      <c r="A178" s="99" t="s">
        <v>239</v>
      </c>
      <c r="B178" s="100">
        <f>+B170+B177</f>
        <v>2290914</v>
      </c>
      <c r="C178" s="101">
        <f>+C170+C177</f>
        <v>2446828</v>
      </c>
      <c r="D178" s="100">
        <f>+D170+D177</f>
        <v>1786070</v>
      </c>
      <c r="E178" s="93">
        <f t="shared" si="24"/>
        <v>72.99532292421046</v>
      </c>
      <c r="F178" s="100">
        <f>+F170+F177</f>
        <v>1549317</v>
      </c>
      <c r="G178" s="93">
        <f t="shared" si="25"/>
        <v>63.31940782106466</v>
      </c>
      <c r="H178" s="111"/>
      <c r="I178" s="102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</row>
  </sheetData>
  <mergeCells count="2">
    <mergeCell ref="D1:E1"/>
    <mergeCell ref="F1:G1"/>
  </mergeCells>
  <printOptions horizontalCentered="1"/>
  <pageMargins left="0.47" right="0.3937007874015748" top="0.9" bottom="0.4724409448818898" header="0.48" footer="0.2362204724409449"/>
  <pageSetup blackAndWhite="1" horizontalDpi="300" verticalDpi="300" orientation="landscape" paperSize="9" scale="72" r:id="rId1"/>
  <headerFooter alignWithMargins="0">
    <oddHeader>&amp;C&amp;"Arial CE,Félkövér"&amp;12FELHALMOZÁSI KIADÁSOK&amp;"Arial CE,Normál"&amp;10
&amp;R
&amp;9 9.sz.melléklet
ezer Ft-ban</oddHeader>
    <oddFooter>&amp;L&amp;8Kaposvár, Nyomt: &amp;D  &amp;T&amp;C&amp;8&amp;F _ &amp;A     &amp;"Arial CE,Dőlt"Szabó Tiborné&amp;R&amp;8&amp;P/&amp;N</oddFooter>
  </headerFooter>
  <rowBreaks count="5" manualBreakCount="5">
    <brk id="25" max="255" man="1"/>
    <brk id="54" max="255" man="1"/>
    <brk id="90" max="255" man="1"/>
    <brk id="117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bzs</cp:lastModifiedBy>
  <cp:lastPrinted>2005-03-31T13:59:29Z</cp:lastPrinted>
  <dcterms:created xsi:type="dcterms:W3CDTF">2005-03-23T14:06:25Z</dcterms:created>
  <dcterms:modified xsi:type="dcterms:W3CDTF">2005-04-07T17:48:44Z</dcterms:modified>
  <cp:category/>
  <cp:version/>
  <cp:contentType/>
  <cp:contentStatus/>
</cp:coreProperties>
</file>