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495" tabRatio="601" firstSheet="13" activeTab="13"/>
  </bookViews>
  <sheets>
    <sheet name="előlap" sheetId="1" r:id="rId1"/>
    <sheet name="1998. évi 200 MFt (...03)" sheetId="2" r:id="rId2"/>
    <sheet name="1999. évi 200 MFt (...04)" sheetId="3" r:id="rId3"/>
    <sheet name="2000. dec-i 250 MFt (...05)" sheetId="4" r:id="rId4"/>
    <sheet name="2000. júl-i 200 MFt (...06)" sheetId="5" r:id="rId5"/>
    <sheet name="NA600-as vezeték (...07)" sheetId="6" r:id="rId6"/>
    <sheet name="2001.dec. - 2002.jún. (...08) " sheetId="7" state="hidden" r:id="rId7"/>
    <sheet name="2002. dec-i 305.133 eFt (...09)" sheetId="8" state="hidden" r:id="rId8"/>
    <sheet name="2003. okt. és dec. (...10)" sheetId="9" state="hidden" r:id="rId9"/>
    <sheet name="2004. szept. 718.793 eFt (..11)" sheetId="10" state="hidden" r:id="rId10"/>
    <sheet name="69 db bérlakásépítés (...11)" sheetId="11" state="hidden" r:id="rId11"/>
    <sheet name="59 db bérlakás (...12)" sheetId="12" state="hidden" r:id="rId12"/>
    <sheet name="Kecelhegyi bérlakás (...13)" sheetId="13" state="hidden" r:id="rId13"/>
    <sheet name="összesítő" sheetId="14" r:id="rId14"/>
  </sheets>
  <definedNames>
    <definedName name="_xlnm.Print_Titles" localSheetId="1">'1998. évi 200 MFt (...03)'!$1:$6</definedName>
    <definedName name="_xlnm.Print_Titles" localSheetId="2">'1999. évi 200 MFt (...04)'!$1:$6</definedName>
    <definedName name="_xlnm.Print_Titles" localSheetId="3">'2000. dec-i 250 MFt (...05)'!$1:$6</definedName>
    <definedName name="_xlnm.Print_Titles" localSheetId="4">'2000. júl-i 200 MFt (...06)'!$1:$6</definedName>
    <definedName name="_xlnm.Print_Titles" localSheetId="6">'2001.dec. - 2002.jún. (...08) '!$1:$7</definedName>
    <definedName name="_xlnm.Print_Titles" localSheetId="7">'2002. dec-i 305.133 eFt (...09)'!$1:$7</definedName>
    <definedName name="_xlnm.Print_Titles" localSheetId="8">'2003. okt. és dec. (...10)'!$1:$7</definedName>
    <definedName name="_xlnm.Print_Titles" localSheetId="9">'2004. szept. 718.793 eFt (..11)'!$1:$7</definedName>
    <definedName name="_xlnm.Print_Titles" localSheetId="11">'59 db bérlakás (...12)'!$1:$7</definedName>
    <definedName name="_xlnm.Print_Titles" localSheetId="10">'69 db bérlakásépítés (...11)'!$1:$7</definedName>
    <definedName name="_xlnm.Print_Titles" localSheetId="12">'Kecelhegyi bérlakás (...13)'!$1:$7</definedName>
    <definedName name="_xlnm.Print_Titles" localSheetId="5">'NA600-as vezeték (...07)'!$1:$7</definedName>
    <definedName name="_xlnm.Print_Titles" localSheetId="13">'összesítő'!$A:$A</definedName>
  </definedNames>
  <calcPr fullCalcOnLoad="1"/>
</workbook>
</file>

<file path=xl/sharedStrings.xml><?xml version="1.0" encoding="utf-8"?>
<sst xmlns="http://schemas.openxmlformats.org/spreadsheetml/2006/main" count="1250" uniqueCount="171">
  <si>
    <t xml:space="preserve">Kamat mértéke: 3 hónapos DKJ + 0,4 vagy 3 hónapos BUBOR + 0,2 </t>
  </si>
  <si>
    <t>Kamat mértéke: 3 hónapos BUBOR + 0,05</t>
  </si>
  <si>
    <t>(forint-ban)</t>
  </si>
  <si>
    <t>Dátum</t>
  </si>
  <si>
    <t>Napok</t>
  </si>
  <si>
    <t>Napvégi</t>
  </si>
  <si>
    <t>Éves</t>
  </si>
  <si>
    <t>száma</t>
  </si>
  <si>
    <t>egyenleg</t>
  </si>
  <si>
    <t>kamatteher</t>
  </si>
  <si>
    <t>adósság-</t>
  </si>
  <si>
    <t>tőke-</t>
  </si>
  <si>
    <t>szolgálat</t>
  </si>
  <si>
    <t>törlesztés</t>
  </si>
  <si>
    <t>Összesen:</t>
  </si>
  <si>
    <t>Kamat mértéke: 3 hónapos BUBOR + 0,1 %</t>
  </si>
  <si>
    <t>Türelmi idő: 1 év     Törlesztés: 7 év</t>
  </si>
  <si>
    <t>Türelmi idő: 1 év     Törlesztés: 9 év</t>
  </si>
  <si>
    <t>Kamatláb</t>
  </si>
  <si>
    <t>(%)</t>
  </si>
  <si>
    <t>Kamat-</t>
  </si>
  <si>
    <t>Tőke-</t>
  </si>
  <si>
    <t>Megnevezés</t>
  </si>
  <si>
    <t>2003. évi</t>
  </si>
  <si>
    <t>2004. évi</t>
  </si>
  <si>
    <t>2005. évi</t>
  </si>
  <si>
    <t>2006. évi</t>
  </si>
  <si>
    <t>2007. évi</t>
  </si>
  <si>
    <t>2008. évi</t>
  </si>
  <si>
    <t>2009. évi</t>
  </si>
  <si>
    <t>2010. évi</t>
  </si>
  <si>
    <t>2011. évi</t>
  </si>
  <si>
    <t>Kötelezett-</t>
  </si>
  <si>
    <t>Törlesztés</t>
  </si>
  <si>
    <t>ség I. 1-jén</t>
  </si>
  <si>
    <t>Hiteltartozások</t>
  </si>
  <si>
    <t>-</t>
  </si>
  <si>
    <t>1998. évben felvett fejlesztési célú hitel</t>
  </si>
  <si>
    <t>1999. évben felvett fejlesztési célú hitel</t>
  </si>
  <si>
    <t>2000. júliusban felvett 3 éves lejáratú hitel</t>
  </si>
  <si>
    <t>2000. decemberben felvett 5 éves lejáratú hitel</t>
  </si>
  <si>
    <t>NA 600-as vezeték kiváltásához szükséges hitel</t>
  </si>
  <si>
    <t>Hiteltartozás összesen</t>
  </si>
  <si>
    <t>Kamat</t>
  </si>
  <si>
    <t>Adósságszolgálat</t>
  </si>
  <si>
    <t>Adósságszolgálat mindösszesen</t>
  </si>
  <si>
    <t>Bérlakás építésre felvett hitel  2001. évi (69 db)</t>
  </si>
  <si>
    <t>Türelmi idő: 1 év   Törlesztés: 10 év</t>
  </si>
  <si>
    <t>%</t>
  </si>
  <si>
    <t>Türelmi idő: 1 év   Törlesztés: 20 év</t>
  </si>
  <si>
    <t>Kamat mértéke: 3,69 %</t>
  </si>
  <si>
    <t>2012. évi</t>
  </si>
  <si>
    <t>2013. évi</t>
  </si>
  <si>
    <t>2014. évi</t>
  </si>
  <si>
    <t>2015. évi</t>
  </si>
  <si>
    <t>2016. évi</t>
  </si>
  <si>
    <t>2017. évi</t>
  </si>
  <si>
    <t>2018. évi</t>
  </si>
  <si>
    <t>2019. évi</t>
  </si>
  <si>
    <t>2020. évi</t>
  </si>
  <si>
    <t>2021. évi</t>
  </si>
  <si>
    <t>2022. évi</t>
  </si>
  <si>
    <t>Bérlakás építésre felvett hitel   2002. évi (59 db)</t>
  </si>
  <si>
    <t>Bérlakás építésre felvett hitel   2001. évi (69 db)</t>
  </si>
  <si>
    <t>láb</t>
  </si>
  <si>
    <t xml:space="preserve">Türelmi idő: 1 év </t>
  </si>
  <si>
    <t>Törlesztés: 7 év</t>
  </si>
  <si>
    <t>Türelmi idő: 1 év    Törlesztés: 5 év</t>
  </si>
  <si>
    <t>Kamat, kezelési ktg. összesen</t>
  </si>
  <si>
    <t xml:space="preserve">2001. dec-ben és 2002. jún-ban felvett fejlesztési hitel </t>
  </si>
  <si>
    <t>Kamat, kezelési költség</t>
  </si>
  <si>
    <t>Kezelési költség: évi 1 %</t>
  </si>
  <si>
    <t>2008-as lejárattal számítva</t>
  </si>
  <si>
    <t>2007-es lejárattal számítva</t>
  </si>
  <si>
    <t>2009-es lejárattal számítva</t>
  </si>
  <si>
    <t>2012-es lejárattal számítva</t>
  </si>
  <si>
    <t>2010-es lejárattal számítva</t>
  </si>
  <si>
    <t>2002. decemberben felvett hitel</t>
  </si>
  <si>
    <t>Bérlakás építésre felvett hitel2002. évi (Kecelhegy)</t>
  </si>
  <si>
    <t>9 év futamidő</t>
  </si>
  <si>
    <t>2002. évi</t>
  </si>
  <si>
    <t>Megjegyzés:</t>
  </si>
  <si>
    <t xml:space="preserve">1998. évben felvett fejlesztési célú hitel </t>
  </si>
  <si>
    <t xml:space="preserve">1999. évben felvett fejlesztési célú hitel </t>
  </si>
  <si>
    <t xml:space="preserve">2000. júliusban felvett 3 éves lejáratú hitel </t>
  </si>
  <si>
    <t xml:space="preserve">2000. decemberben felvett 5 éves lejáratú hitel </t>
  </si>
  <si>
    <r>
      <t xml:space="preserve">NA 600-as vezeték kiváltásához szükséges hitel </t>
    </r>
    <r>
      <rPr>
        <b/>
        <sz val="10"/>
        <rFont val="Times New Roman CE"/>
        <family val="1"/>
      </rPr>
      <t>/1</t>
    </r>
  </si>
  <si>
    <r>
      <t xml:space="preserve">2001. dec-ben és 2002. jún-ban felvett fejlesztési hitel </t>
    </r>
    <r>
      <rPr>
        <b/>
        <sz val="10"/>
        <rFont val="Times New Roman CE"/>
        <family val="1"/>
      </rPr>
      <t>/2</t>
    </r>
  </si>
  <si>
    <t xml:space="preserve">   IV. részlet felvéve 2003. 06.11-én (22.256.001 Ft)</t>
  </si>
  <si>
    <t xml:space="preserve">Bérlakás építésre felvett hitel2002. évi (Kecelhegy) </t>
  </si>
  <si>
    <r>
      <t xml:space="preserve">Bérlakás építésre felvett hitel2002. évi (Kecelhegy) </t>
    </r>
    <r>
      <rPr>
        <b/>
        <sz val="10"/>
        <rFont val="Times New Roman CE"/>
        <family val="1"/>
      </rPr>
      <t>/4</t>
    </r>
  </si>
  <si>
    <r>
      <t>2003. oktben és decben felvett 713.171 eFt</t>
    </r>
    <r>
      <rPr>
        <sz val="10"/>
        <rFont val="Times New Roman CE"/>
        <family val="1"/>
      </rPr>
      <t xml:space="preserve"> hitel</t>
    </r>
  </si>
  <si>
    <r>
      <t>2003. oktben és decben felvett 713.171 eFt</t>
    </r>
    <r>
      <rPr>
        <sz val="10"/>
        <rFont val="Times New Roman CE"/>
        <family val="1"/>
      </rPr>
      <t xml:space="preserve"> hitel </t>
    </r>
    <r>
      <rPr>
        <b/>
        <sz val="10"/>
        <rFont val="Times New Roman CE"/>
        <family val="1"/>
      </rPr>
      <t>/3</t>
    </r>
  </si>
  <si>
    <t xml:space="preserve"> III. részlet felvéve 2003. 05.30-án  (32.400.000 Ft)</t>
  </si>
  <si>
    <t xml:space="preserve">    IV. részlet felvéve 2003. 06.11-én (22.256.001 Ft)</t>
  </si>
  <si>
    <t xml:space="preserve">    VI. részlet felvéve 2003. 08.08-án (22.221.280 Ft)</t>
  </si>
  <si>
    <t xml:space="preserve"> III. részlet felvéve 2003. 05.27-én (56.942.030 Ft)</t>
  </si>
  <si>
    <t xml:space="preserve">  V. részlet felvéve 2003.07.09-én (22.955.624 Ft) </t>
  </si>
  <si>
    <t xml:space="preserve">VII. részlet felvéve 2003.10.20-án (39.974.331 Ft) </t>
  </si>
  <si>
    <t xml:space="preserve">  II. részlet tervezett felvétele: 2003.12.04-én ( 312.908.472.Ft)</t>
  </si>
  <si>
    <t>Teljes keret: 187.075.039 Ft</t>
  </si>
  <si>
    <t xml:space="preserve">      III. részlet felvétele: 2003. 12. 31-én (66.348.184 Ft)</t>
  </si>
  <si>
    <t xml:space="preserve"> IV. részlet felvétele: 2004. 03. 31-én (32.132.392 Ft)</t>
  </si>
  <si>
    <r>
      <t>1</t>
    </r>
    <r>
      <rPr>
        <sz val="9"/>
        <rFont val="Times New Roman CE"/>
        <family val="1"/>
      </rPr>
      <t xml:space="preserve">/  II. részlet felvéve 2002. 12. 31-én (71.550.000 Ft)    </t>
    </r>
  </si>
  <si>
    <r>
      <t>2</t>
    </r>
    <r>
      <rPr>
        <sz val="9"/>
        <rFont val="Times New Roman CE"/>
        <family val="1"/>
      </rPr>
      <t>/  II. részlet felvéve 2002.06.30-án (147.603.900 Ft)</t>
    </r>
  </si>
  <si>
    <r>
      <t xml:space="preserve">3/  </t>
    </r>
    <r>
      <rPr>
        <sz val="9"/>
        <rFont val="Times New Roman CE"/>
        <family val="1"/>
      </rPr>
      <t xml:space="preserve"> I. részlet felvétele: 2003.10.21-én (301.781.952 Ft)</t>
    </r>
  </si>
  <si>
    <r>
      <t>4</t>
    </r>
    <r>
      <rPr>
        <sz val="9"/>
        <rFont val="Times New Roman CE"/>
        <family val="1"/>
      </rPr>
      <t>/  II. részlet felvéve 2003.04.18-án (10.226.303 Ft)</t>
    </r>
  </si>
  <si>
    <t>Az önkormányzat fejlesztési célú</t>
  </si>
  <si>
    <t>adósságszolgálatának alakulása</t>
  </si>
  <si>
    <r>
      <t xml:space="preserve">Számlaszám: </t>
    </r>
    <r>
      <rPr>
        <sz val="10"/>
        <rFont val="Times New Roman CE"/>
        <family val="1"/>
      </rPr>
      <t>0 1 3 2 0 3 9 8 0 0</t>
    </r>
    <r>
      <rPr>
        <b/>
        <sz val="10"/>
        <rFont val="Times New Roman CE"/>
        <family val="1"/>
      </rPr>
      <t xml:space="preserve"> 0 3</t>
    </r>
  </si>
  <si>
    <r>
      <t xml:space="preserve">Számlaszám: </t>
    </r>
    <r>
      <rPr>
        <sz val="10"/>
        <rFont val="Times New Roman CE"/>
        <family val="1"/>
      </rPr>
      <t>0 1 3 2 0 3 9 8 0 0</t>
    </r>
    <r>
      <rPr>
        <b/>
        <sz val="10"/>
        <rFont val="Times New Roman CE"/>
        <family val="1"/>
      </rPr>
      <t xml:space="preserve"> 0 4</t>
    </r>
  </si>
  <si>
    <r>
      <t xml:space="preserve">Számlaszám: </t>
    </r>
    <r>
      <rPr>
        <sz val="10"/>
        <rFont val="Times New Roman CE"/>
        <family val="1"/>
      </rPr>
      <t xml:space="preserve">0 1 3 2 0 3 9 8 0 0 </t>
    </r>
    <r>
      <rPr>
        <b/>
        <sz val="10"/>
        <rFont val="Times New Roman CE"/>
        <family val="1"/>
      </rPr>
      <t>0 6</t>
    </r>
  </si>
  <si>
    <r>
      <t xml:space="preserve">Számlaszám: </t>
    </r>
    <r>
      <rPr>
        <sz val="10"/>
        <rFont val="Times New Roman CE"/>
        <family val="1"/>
      </rPr>
      <t>0 1 3 2 0 3 9 8 0 0</t>
    </r>
    <r>
      <rPr>
        <b/>
        <sz val="10"/>
        <rFont val="Times New Roman CE"/>
        <family val="1"/>
      </rPr>
      <t xml:space="preserve"> 0 5</t>
    </r>
  </si>
  <si>
    <r>
      <t xml:space="preserve">Számlaszám: </t>
    </r>
    <r>
      <rPr>
        <sz val="10"/>
        <rFont val="Times New Roman CE"/>
        <family val="1"/>
      </rPr>
      <t>0 1 3 2 0 3 9 8 0 0</t>
    </r>
    <r>
      <rPr>
        <b/>
        <sz val="10"/>
        <rFont val="Times New Roman CE"/>
        <family val="1"/>
      </rPr>
      <t xml:space="preserve"> 0 8</t>
    </r>
  </si>
  <si>
    <r>
      <t xml:space="preserve">Számlaszám: </t>
    </r>
    <r>
      <rPr>
        <sz val="10"/>
        <rFont val="Times New Roman CE"/>
        <family val="1"/>
      </rPr>
      <t>0 1 3 2 3 3 9 8 0 0</t>
    </r>
    <r>
      <rPr>
        <b/>
        <sz val="10"/>
        <rFont val="Times New Roman CE"/>
        <family val="0"/>
      </rPr>
      <t xml:space="preserve"> 1 1</t>
    </r>
  </si>
  <si>
    <r>
      <t xml:space="preserve">Számlaszám: </t>
    </r>
    <r>
      <rPr>
        <sz val="10"/>
        <rFont val="Times New Roman CE"/>
        <family val="1"/>
      </rPr>
      <t>0 1 3 2 0 3 9 8 0 0</t>
    </r>
    <r>
      <rPr>
        <b/>
        <sz val="10"/>
        <rFont val="Times New Roman CE"/>
        <family val="0"/>
      </rPr>
      <t xml:space="preserve"> 0 7</t>
    </r>
  </si>
  <si>
    <r>
      <t xml:space="preserve">Számlaszám: </t>
    </r>
    <r>
      <rPr>
        <sz val="10"/>
        <rFont val="Times New Roman CE"/>
        <family val="1"/>
      </rPr>
      <t xml:space="preserve">0 1 3 2 3 3 9 8 0 0 </t>
    </r>
    <r>
      <rPr>
        <b/>
        <sz val="10"/>
        <rFont val="Times New Roman CE"/>
        <family val="1"/>
      </rPr>
      <t>1 3</t>
    </r>
  </si>
  <si>
    <r>
      <t xml:space="preserve">Számlaszám:  </t>
    </r>
    <r>
      <rPr>
        <sz val="10"/>
        <rFont val="Times New Roman CE"/>
        <family val="1"/>
      </rPr>
      <t>0 1 3 2 3 3 9 8 0 0</t>
    </r>
    <r>
      <rPr>
        <b/>
        <sz val="10"/>
        <rFont val="Times New Roman CE"/>
        <family val="1"/>
      </rPr>
      <t xml:space="preserve"> 1 2</t>
    </r>
  </si>
  <si>
    <r>
      <t xml:space="preserve">Számlaszám: </t>
    </r>
    <r>
      <rPr>
        <sz val="10"/>
        <rFont val="Times New Roman CE"/>
        <family val="1"/>
      </rPr>
      <t>1 3 2 0 3 9 8 0 0</t>
    </r>
    <r>
      <rPr>
        <b/>
        <sz val="10"/>
        <rFont val="Times New Roman CE"/>
        <family val="1"/>
      </rPr>
      <t xml:space="preserve"> 0 9</t>
    </r>
  </si>
  <si>
    <t>Utolsó módosítás:</t>
  </si>
  <si>
    <r>
      <t xml:space="preserve">Számlaszám: </t>
    </r>
    <r>
      <rPr>
        <sz val="10"/>
        <rFont val="Times New Roman CE"/>
        <family val="1"/>
      </rPr>
      <t>1 3 2 0 3 9 8 0 0</t>
    </r>
    <r>
      <rPr>
        <b/>
        <sz val="10"/>
        <rFont val="Times New Roman CE"/>
        <family val="1"/>
      </rPr>
      <t xml:space="preserve"> 1 0</t>
    </r>
  </si>
  <si>
    <t>Kamatláb*</t>
  </si>
  <si>
    <t>* Az 1 % kezelési költséggel együtt számolva!</t>
  </si>
  <si>
    <t>láb *</t>
  </si>
  <si>
    <t>láb*</t>
  </si>
  <si>
    <t>1 év türelmi idő, 9 év futamidő</t>
  </si>
  <si>
    <t xml:space="preserve">I. részletének felvétele: </t>
  </si>
  <si>
    <t>2004. október 29.</t>
  </si>
  <si>
    <r>
      <t>2004. szept-okt-decben felvett 718.793 eFt</t>
    </r>
    <r>
      <rPr>
        <sz val="10"/>
        <rFont val="Times New Roman CE"/>
        <family val="1"/>
      </rPr>
      <t xml:space="preserve"> hitel </t>
    </r>
    <r>
      <rPr>
        <b/>
        <sz val="10"/>
        <rFont val="Times New Roman CE"/>
        <family val="1"/>
      </rPr>
      <t>/5</t>
    </r>
  </si>
  <si>
    <r>
      <t>Számlaszám:</t>
    </r>
    <r>
      <rPr>
        <sz val="10"/>
        <rFont val="Times New Roman CE"/>
        <family val="1"/>
      </rPr>
      <t xml:space="preserve"> 1 3 2 0 3 9 8 0 0 </t>
    </r>
    <r>
      <rPr>
        <b/>
        <sz val="10"/>
        <rFont val="Times New Roman CE"/>
        <family val="1"/>
      </rPr>
      <t>1 1</t>
    </r>
  </si>
  <si>
    <t>2004. szeptember 22.</t>
  </si>
  <si>
    <t xml:space="preserve">II. részletének várható felvétele: </t>
  </si>
  <si>
    <t xml:space="preserve">III. részletének várható felvétele: </t>
  </si>
  <si>
    <r>
      <t xml:space="preserve">5/  </t>
    </r>
    <r>
      <rPr>
        <sz val="9"/>
        <rFont val="Times New Roman CE"/>
        <family val="1"/>
      </rPr>
      <t xml:space="preserve"> I. részlet felvétele: 2004.09.22-én (212.164.432 Ft)</t>
    </r>
  </si>
  <si>
    <t xml:space="preserve">  II. részlet tervezett felvétele: 2004.10.29-én ( 253.314.284 Ft)</t>
  </si>
  <si>
    <t xml:space="preserve">      III. részlet tervezett felvétele: 2004. 12. 15-én (253.314.284 Ft)</t>
  </si>
  <si>
    <t>I. részletének felvétele:</t>
  </si>
  <si>
    <t>2003. október 21.</t>
  </si>
  <si>
    <t>2003. december 4.</t>
  </si>
  <si>
    <t>2003. december 31.</t>
  </si>
  <si>
    <t>2004. június 4.</t>
  </si>
  <si>
    <t>II. részletének felvétele:</t>
  </si>
  <si>
    <t>III. részletének felvétele:</t>
  </si>
  <si>
    <t>IV. részletének felvétele:</t>
  </si>
  <si>
    <t>V. részletének felvétele:</t>
  </si>
  <si>
    <t>VI. részletének felvétele:</t>
  </si>
  <si>
    <t>2004. szeptember 24.</t>
  </si>
  <si>
    <t>2004. november 2.</t>
  </si>
  <si>
    <t>VI. részletének tervezett felvétele: 2004. 11. 2-án (8.400.044 Ft)</t>
  </si>
  <si>
    <t xml:space="preserve">      V. részletének felvétele: 2004. 09. 24-én (10.056.414 Ft)</t>
  </si>
  <si>
    <r>
      <t>2004. szept-okt-decben felvett 718.793 eFt</t>
    </r>
    <r>
      <rPr>
        <sz val="10"/>
        <rFont val="Times New Roman CE"/>
        <family val="1"/>
      </rPr>
      <t xml:space="preserve"> hitel</t>
    </r>
  </si>
  <si>
    <r>
      <t>4</t>
    </r>
    <r>
      <rPr>
        <sz val="9"/>
        <rFont val="Times New Roman CE"/>
        <family val="1"/>
      </rPr>
      <t>/  II. részlet felvéve 2003.04.18-án ( 10.226.303 Ft)</t>
    </r>
  </si>
  <si>
    <t>2004. november 4.</t>
  </si>
  <si>
    <t>(2004. október 1-i kamatváltozás)</t>
  </si>
  <si>
    <t>I. részletének felvétele: 2002. december 28-án</t>
  </si>
  <si>
    <t>II. részletének felvétele: 2003. április 18-án</t>
  </si>
  <si>
    <t>III. részletének felvétele:2003. május 27-én</t>
  </si>
  <si>
    <t>IV. részletének felvétele:2003. június 11-én</t>
  </si>
  <si>
    <t>V. részletének felvétele:2003. július 09-én</t>
  </si>
  <si>
    <t>VI. részletének felvétele:2003. augusztus 08-án</t>
  </si>
  <si>
    <t>VII. részletének felvétele:2003. október 20-án</t>
  </si>
  <si>
    <t>Összesen</t>
  </si>
  <si>
    <t>I. részletének felvétele 2001.12.26-án</t>
  </si>
  <si>
    <t>II. részletének felvétele 2002.06.30-án</t>
  </si>
  <si>
    <t>I. részelének felvétele 2001.12.11-én</t>
  </si>
  <si>
    <t>II. részletének felvétele 2002.12.31-én</t>
  </si>
  <si>
    <t>III. részletének felvétele 2003. 05.30-án</t>
  </si>
  <si>
    <t>2002. évi:</t>
  </si>
  <si>
    <t>2003. évi:</t>
  </si>
  <si>
    <t>2004. december 1.</t>
  </si>
  <si>
    <t>2004. évi: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</si>
</sst>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\ %"/>
    <numFmt numFmtId="166" formatCode="0.00\ %"/>
    <numFmt numFmtId="167" formatCode="yyyy\-mm\-dd"/>
    <numFmt numFmtId="168" formatCode="0.000%"/>
    <numFmt numFmtId="169" formatCode="0.0000%"/>
    <numFmt numFmtId="170" formatCode="0.000\ %"/>
    <numFmt numFmtId="171" formatCode="#,##0.0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\(#,##0\)"/>
    <numFmt numFmtId="179" formatCode="0.0000\ %"/>
    <numFmt numFmtId="180" formatCode="mmm/yyyy"/>
    <numFmt numFmtId="181" formatCode="#,##0\ &quot;Ft&quot;"/>
    <numFmt numFmtId="182" formatCode="#,##0\ _F\t"/>
    <numFmt numFmtId="183" formatCode="#,##0\ \ &quot;Ft&quot;"/>
  </numFmts>
  <fonts count="10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b/>
      <sz val="24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</fonts>
  <fills count="2">
    <fill>
      <patternFill/>
    </fill>
    <fill>
      <patternFill patternType="gray125"/>
    </fill>
  </fills>
  <borders count="93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mediumDashed"/>
    </border>
    <border>
      <left style="hair"/>
      <right style="hair"/>
      <top>
        <color indexed="63"/>
      </top>
      <bottom style="mediumDashed"/>
    </border>
    <border>
      <left style="hair"/>
      <right style="hair"/>
      <top style="mediumDashed"/>
      <bottom style="mediumDashed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hair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double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mediumDashed"/>
    </border>
    <border>
      <left>
        <color indexed="63"/>
      </left>
      <right style="hair"/>
      <top style="hair"/>
      <bottom style="mediumDashed"/>
    </border>
    <border>
      <left>
        <color indexed="63"/>
      </left>
      <right style="thin"/>
      <top style="hair"/>
      <bottom style="mediumDashed"/>
    </border>
    <border>
      <left style="thin"/>
      <right>
        <color indexed="63"/>
      </right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 style="hair"/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hair"/>
    </border>
    <border>
      <left style="hair"/>
      <right style="hair"/>
      <top style="mediumDashed"/>
      <bottom style="hair"/>
    </border>
    <border>
      <left style="hair"/>
      <right style="thin"/>
      <top style="mediumDashed"/>
      <bottom style="hair"/>
    </border>
    <border>
      <left style="hair"/>
      <right style="thin"/>
      <top style="hair"/>
      <bottom style="mediumDashed"/>
    </border>
    <border>
      <left style="hair"/>
      <right style="thin"/>
      <top style="mediumDashed"/>
      <bottom style="mediumDashed"/>
    </border>
    <border>
      <left style="hair"/>
      <right style="hair"/>
      <top style="mediumDashed"/>
      <bottom>
        <color indexed="63"/>
      </bottom>
    </border>
    <border>
      <left style="thin"/>
      <right style="hair"/>
      <top>
        <color indexed="63"/>
      </top>
      <bottom style="mediumDashed"/>
    </border>
    <border>
      <left style="thin"/>
      <right style="hair"/>
      <top style="mediumDashed"/>
      <bottom>
        <color indexed="63"/>
      </bottom>
    </border>
    <border>
      <left>
        <color indexed="63"/>
      </left>
      <right style="hair"/>
      <top style="mediumDashed"/>
      <bottom>
        <color indexed="63"/>
      </bottom>
    </border>
    <border>
      <left>
        <color indexed="63"/>
      </left>
      <right style="thin"/>
      <top style="mediumDashed"/>
      <bottom>
        <color indexed="63"/>
      </bottom>
    </border>
    <border>
      <left style="thin"/>
      <right style="hair"/>
      <top style="hair"/>
      <bottom style="mediumDashed"/>
    </border>
    <border>
      <left style="thin"/>
      <right style="hair"/>
      <top style="mediumDashed"/>
      <bottom style="hair"/>
    </border>
    <border>
      <left style="hair"/>
      <right style="thin"/>
      <top style="mediumDashed"/>
      <bottom>
        <color indexed="63"/>
      </bottom>
    </border>
    <border>
      <left style="thin"/>
      <right style="hair"/>
      <top style="mediumDashed"/>
      <bottom style="medium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1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5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3" fontId="1" fillId="0" borderId="18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1" fillId="0" borderId="25" xfId="0" applyNumberFormat="1" applyFont="1" applyBorder="1" applyAlignment="1">
      <alignment/>
    </xf>
    <xf numFmtId="0" fontId="0" fillId="0" borderId="5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9" xfId="0" applyNumberFormat="1" applyBorder="1" applyAlignment="1">
      <alignment horizontal="center"/>
    </xf>
    <xf numFmtId="3" fontId="0" fillId="0" borderId="8" xfId="0" applyNumberFormat="1" applyFont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3" xfId="0" applyFont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3" fontId="0" fillId="0" borderId="9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9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6" fontId="0" fillId="0" borderId="35" xfId="19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1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4" fontId="1" fillId="0" borderId="36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10" fontId="0" fillId="0" borderId="36" xfId="0" applyNumberFormat="1" applyFont="1" applyFill="1" applyBorder="1" applyAlignment="1">
      <alignment/>
    </xf>
    <xf numFmtId="14" fontId="0" fillId="0" borderId="21" xfId="0" applyNumberForma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3" fontId="0" fillId="0" borderId="37" xfId="0" applyNumberForma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3" fontId="1" fillId="0" borderId="38" xfId="0" applyNumberFormat="1" applyFon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3" fontId="0" fillId="0" borderId="39" xfId="0" applyNumberForma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/>
    </xf>
    <xf numFmtId="3" fontId="0" fillId="0" borderId="39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1" fillId="0" borderId="34" xfId="0" applyNumberFormat="1" applyFont="1" applyFill="1" applyBorder="1" applyAlignment="1">
      <alignment horizontal="center"/>
    </xf>
    <xf numFmtId="14" fontId="0" fillId="0" borderId="40" xfId="0" applyNumberFormat="1" applyFill="1" applyBorder="1" applyAlignment="1">
      <alignment/>
    </xf>
    <xf numFmtId="0" fontId="0" fillId="0" borderId="41" xfId="0" applyFill="1" applyBorder="1" applyAlignment="1">
      <alignment/>
    </xf>
    <xf numFmtId="3" fontId="0" fillId="0" borderId="41" xfId="0" applyNumberFormat="1" applyFill="1" applyBorder="1" applyAlignment="1">
      <alignment/>
    </xf>
    <xf numFmtId="166" fontId="0" fillId="0" borderId="41" xfId="19" applyNumberFormat="1" applyFill="1" applyBorder="1" applyAlignment="1">
      <alignment/>
    </xf>
    <xf numFmtId="3" fontId="1" fillId="0" borderId="41" xfId="0" applyNumberFormat="1" applyFont="1" applyFill="1" applyBorder="1" applyAlignment="1">
      <alignment/>
    </xf>
    <xf numFmtId="3" fontId="1" fillId="0" borderId="42" xfId="0" applyNumberFormat="1" applyFont="1" applyFill="1" applyBorder="1" applyAlignment="1">
      <alignment/>
    </xf>
    <xf numFmtId="14" fontId="0" fillId="0" borderId="43" xfId="0" applyNumberFormat="1" applyFill="1" applyBorder="1" applyAlignment="1">
      <alignment/>
    </xf>
    <xf numFmtId="0" fontId="0" fillId="0" borderId="27" xfId="0" applyFill="1" applyBorder="1" applyAlignment="1">
      <alignment/>
    </xf>
    <xf numFmtId="166" fontId="0" fillId="0" borderId="27" xfId="19" applyNumberForma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44" xfId="0" applyNumberFormat="1" applyFont="1" applyFill="1" applyBorder="1" applyAlignment="1">
      <alignment/>
    </xf>
    <xf numFmtId="10" fontId="0" fillId="0" borderId="27" xfId="0" applyNumberFormat="1" applyFill="1" applyBorder="1" applyAlignment="1">
      <alignment/>
    </xf>
    <xf numFmtId="3" fontId="0" fillId="0" borderId="44" xfId="0" applyNumberFormat="1" applyFill="1" applyBorder="1" applyAlignment="1">
      <alignment/>
    </xf>
    <xf numFmtId="14" fontId="0" fillId="0" borderId="45" xfId="0" applyNumberFormat="1" applyFill="1" applyBorder="1" applyAlignment="1">
      <alignment/>
    </xf>
    <xf numFmtId="0" fontId="0" fillId="0" borderId="46" xfId="0" applyFill="1" applyBorder="1" applyAlignment="1">
      <alignment/>
    </xf>
    <xf numFmtId="3" fontId="0" fillId="0" borderId="46" xfId="0" applyNumberFormat="1" applyFill="1" applyBorder="1" applyAlignment="1">
      <alignment/>
    </xf>
    <xf numFmtId="166" fontId="0" fillId="0" borderId="46" xfId="19" applyNumberFormat="1" applyFill="1" applyBorder="1" applyAlignment="1">
      <alignment/>
    </xf>
    <xf numFmtId="3" fontId="1" fillId="0" borderId="46" xfId="0" applyNumberFormat="1" applyFont="1" applyFill="1" applyBorder="1" applyAlignment="1">
      <alignment/>
    </xf>
    <xf numFmtId="3" fontId="1" fillId="0" borderId="47" xfId="0" applyNumberFormat="1" applyFont="1" applyFill="1" applyBorder="1" applyAlignment="1">
      <alignment/>
    </xf>
    <xf numFmtId="14" fontId="0" fillId="0" borderId="48" xfId="0" applyNumberFormat="1" applyFill="1" applyBorder="1" applyAlignment="1">
      <alignment/>
    </xf>
    <xf numFmtId="0" fontId="0" fillId="0" borderId="28" xfId="0" applyFill="1" applyBorder="1" applyAlignment="1">
      <alignment/>
    </xf>
    <xf numFmtId="10" fontId="0" fillId="0" borderId="28" xfId="0" applyNumberFormat="1" applyFill="1" applyBorder="1" applyAlignment="1">
      <alignment/>
    </xf>
    <xf numFmtId="3" fontId="0" fillId="0" borderId="49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0" fontId="0" fillId="0" borderId="50" xfId="0" applyFill="1" applyBorder="1" applyAlignment="1">
      <alignment/>
    </xf>
    <xf numFmtId="3" fontId="0" fillId="0" borderId="15" xfId="0" applyNumberFormat="1" applyFill="1" applyBorder="1" applyAlignment="1">
      <alignment/>
    </xf>
    <xf numFmtId="10" fontId="0" fillId="0" borderId="41" xfId="0" applyNumberFormat="1" applyFill="1" applyBorder="1" applyAlignment="1">
      <alignment/>
    </xf>
    <xf numFmtId="3" fontId="0" fillId="0" borderId="51" xfId="0" applyNumberFormat="1" applyFill="1" applyBorder="1" applyAlignment="1">
      <alignment/>
    </xf>
    <xf numFmtId="0" fontId="0" fillId="0" borderId="51" xfId="0" applyFill="1" applyBorder="1" applyAlignment="1">
      <alignment/>
    </xf>
    <xf numFmtId="3" fontId="0" fillId="0" borderId="13" xfId="0" applyNumberFormat="1" applyFill="1" applyBorder="1" applyAlignment="1">
      <alignment/>
    </xf>
    <xf numFmtId="14" fontId="0" fillId="0" borderId="52" xfId="0" applyNumberFormat="1" applyFill="1" applyBorder="1" applyAlignment="1">
      <alignment/>
    </xf>
    <xf numFmtId="0" fontId="0" fillId="0" borderId="53" xfId="0" applyFill="1" applyBorder="1" applyAlignment="1">
      <alignment/>
    </xf>
    <xf numFmtId="3" fontId="0" fillId="0" borderId="53" xfId="0" applyNumberFormat="1" applyFill="1" applyBorder="1" applyAlignment="1">
      <alignment/>
    </xf>
    <xf numFmtId="166" fontId="0" fillId="0" borderId="53" xfId="19" applyNumberForma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3" fontId="1" fillId="0" borderId="55" xfId="0" applyNumberFormat="1" applyFont="1" applyFill="1" applyBorder="1" applyAlignment="1">
      <alignment/>
    </xf>
    <xf numFmtId="10" fontId="1" fillId="0" borderId="55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6" fontId="0" fillId="0" borderId="0" xfId="0" applyNumberFormat="1" applyFill="1" applyAlignment="1">
      <alignment/>
    </xf>
    <xf numFmtId="3" fontId="1" fillId="0" borderId="56" xfId="0" applyNumberFormat="1" applyFont="1" applyFill="1" applyBorder="1" applyAlignment="1">
      <alignment/>
    </xf>
    <xf numFmtId="10" fontId="1" fillId="0" borderId="56" xfId="0" applyNumberFormat="1" applyFont="1" applyFill="1" applyBorder="1" applyAlignment="1">
      <alignment/>
    </xf>
    <xf numFmtId="0" fontId="1" fillId="0" borderId="56" xfId="0" applyFont="1" applyFill="1" applyBorder="1" applyAlignment="1">
      <alignment/>
    </xf>
    <xf numFmtId="6" fontId="1" fillId="0" borderId="56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56" xfId="0" applyNumberFormat="1" applyFill="1" applyBorder="1" applyAlignment="1">
      <alignment/>
    </xf>
    <xf numFmtId="10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4" fontId="1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3" fontId="0" fillId="0" borderId="1" xfId="0" applyNumberFormat="1" applyFont="1" applyFill="1" applyBorder="1" applyAlignment="1">
      <alignment horizontal="center"/>
    </xf>
    <xf numFmtId="0" fontId="0" fillId="0" borderId="35" xfId="0" applyFill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57" xfId="0" applyNumberFormat="1" applyFill="1" applyBorder="1" applyAlignment="1">
      <alignment/>
    </xf>
    <xf numFmtId="3" fontId="1" fillId="0" borderId="57" xfId="0" applyNumberFormat="1" applyFont="1" applyFill="1" applyBorder="1" applyAlignment="1">
      <alignment/>
    </xf>
    <xf numFmtId="3" fontId="1" fillId="0" borderId="58" xfId="0" applyNumberFormat="1" applyFont="1" applyFill="1" applyBorder="1" applyAlignment="1">
      <alignment/>
    </xf>
    <xf numFmtId="14" fontId="0" fillId="0" borderId="7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59" xfId="0" applyNumberFormat="1" applyFill="1" applyBorder="1" applyAlignment="1">
      <alignment/>
    </xf>
    <xf numFmtId="3" fontId="1" fillId="0" borderId="59" xfId="0" applyNumberFormat="1" applyFont="1" applyFill="1" applyBorder="1" applyAlignment="1">
      <alignment/>
    </xf>
    <xf numFmtId="3" fontId="1" fillId="0" borderId="60" xfId="0" applyNumberFormat="1" applyFont="1" applyFill="1" applyBorder="1" applyAlignment="1">
      <alignment/>
    </xf>
    <xf numFmtId="166" fontId="0" fillId="0" borderId="28" xfId="19" applyNumberForma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3" fontId="1" fillId="0" borderId="6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3" fontId="1" fillId="0" borderId="49" xfId="0" applyNumberFormat="1" applyFont="1" applyFill="1" applyBorder="1" applyAlignment="1">
      <alignment/>
    </xf>
    <xf numFmtId="3" fontId="0" fillId="0" borderId="62" xfId="0" applyNumberFormat="1" applyFill="1" applyBorder="1" applyAlignment="1">
      <alignment/>
    </xf>
    <xf numFmtId="3" fontId="1" fillId="0" borderId="62" xfId="0" applyNumberFormat="1" applyFont="1" applyFill="1" applyBorder="1" applyAlignment="1">
      <alignment/>
    </xf>
    <xf numFmtId="3" fontId="1" fillId="0" borderId="63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Continuous"/>
    </xf>
    <xf numFmtId="0" fontId="0" fillId="0" borderId="64" xfId="0" applyFill="1" applyBorder="1" applyAlignment="1">
      <alignment horizontal="centerContinuous"/>
    </xf>
    <xf numFmtId="3" fontId="0" fillId="0" borderId="64" xfId="0" applyNumberFormat="1" applyFill="1" applyBorder="1" applyAlignment="1">
      <alignment horizontal="centerContinuous"/>
    </xf>
    <xf numFmtId="3" fontId="1" fillId="0" borderId="64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10" fontId="1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0" fontId="0" fillId="0" borderId="65" xfId="0" applyNumberFormat="1" applyFill="1" applyBorder="1" applyAlignment="1">
      <alignment horizontal="center"/>
    </xf>
    <xf numFmtId="10" fontId="0" fillId="0" borderId="51" xfId="0" applyNumberFormat="1" applyFill="1" applyBorder="1" applyAlignment="1">
      <alignment horizontal="center"/>
    </xf>
    <xf numFmtId="164" fontId="0" fillId="0" borderId="39" xfId="19" applyNumberFormat="1" applyFont="1" applyFill="1" applyBorder="1" applyAlignment="1">
      <alignment horizontal="center"/>
    </xf>
    <xf numFmtId="10" fontId="0" fillId="0" borderId="66" xfId="0" applyNumberFormat="1" applyFill="1" applyBorder="1" applyAlignment="1">
      <alignment horizontal="center"/>
    </xf>
    <xf numFmtId="10" fontId="0" fillId="0" borderId="35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10" fontId="0" fillId="0" borderId="1" xfId="0" applyNumberFormat="1" applyFill="1" applyBorder="1" applyAlignment="1">
      <alignment/>
    </xf>
    <xf numFmtId="0" fontId="0" fillId="0" borderId="65" xfId="0" applyFill="1" applyBorder="1" applyAlignment="1">
      <alignment/>
    </xf>
    <xf numFmtId="10" fontId="0" fillId="0" borderId="57" xfId="0" applyNumberFormat="1" applyFill="1" applyBorder="1" applyAlignment="1">
      <alignment/>
    </xf>
    <xf numFmtId="3" fontId="0" fillId="0" borderId="66" xfId="0" applyNumberFormat="1" applyFill="1" applyBorder="1" applyAlignment="1">
      <alignment/>
    </xf>
    <xf numFmtId="10" fontId="0" fillId="0" borderId="62" xfId="0" applyNumberFormat="1" applyFill="1" applyBorder="1" applyAlignment="1">
      <alignment/>
    </xf>
    <xf numFmtId="10" fontId="0" fillId="0" borderId="59" xfId="0" applyNumberFormat="1" applyFill="1" applyBorder="1" applyAlignment="1">
      <alignment/>
    </xf>
    <xf numFmtId="10" fontId="1" fillId="0" borderId="64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3" fontId="0" fillId="0" borderId="0" xfId="0" applyNumberForma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14" fontId="0" fillId="0" borderId="21" xfId="0" applyNumberFormat="1" applyFill="1" applyBorder="1" applyAlignment="1">
      <alignment/>
    </xf>
    <xf numFmtId="1" fontId="0" fillId="0" borderId="46" xfId="0" applyNumberFormat="1" applyFill="1" applyBorder="1" applyAlignment="1">
      <alignment/>
    </xf>
    <xf numFmtId="10" fontId="0" fillId="0" borderId="46" xfId="0" applyNumberFormat="1" applyFill="1" applyBorder="1" applyAlignment="1">
      <alignment/>
    </xf>
    <xf numFmtId="3" fontId="1" fillId="0" borderId="66" xfId="0" applyNumberFormat="1" applyFont="1" applyFill="1" applyBorder="1" applyAlignment="1">
      <alignment/>
    </xf>
    <xf numFmtId="1" fontId="0" fillId="0" borderId="65" xfId="0" applyNumberFormat="1" applyFill="1" applyBorder="1" applyAlignment="1">
      <alignment/>
    </xf>
    <xf numFmtId="3" fontId="0" fillId="0" borderId="65" xfId="0" applyNumberFormat="1" applyFill="1" applyBorder="1" applyAlignment="1">
      <alignment/>
    </xf>
    <xf numFmtId="14" fontId="0" fillId="0" borderId="67" xfId="0" applyNumberFormat="1" applyFill="1" applyBorder="1" applyAlignment="1">
      <alignment/>
    </xf>
    <xf numFmtId="1" fontId="0" fillId="0" borderId="29" xfId="0" applyNumberFormat="1" applyFill="1" applyBorder="1" applyAlignment="1">
      <alignment/>
    </xf>
    <xf numFmtId="3" fontId="0" fillId="0" borderId="68" xfId="0" applyNumberFormat="1" applyFill="1" applyBorder="1" applyAlignment="1">
      <alignment/>
    </xf>
    <xf numFmtId="10" fontId="0" fillId="0" borderId="29" xfId="0" applyNumberFormat="1" applyFill="1" applyBorder="1" applyAlignment="1">
      <alignment/>
    </xf>
    <xf numFmtId="3" fontId="1" fillId="0" borderId="68" xfId="0" applyNumberFormat="1" applyFont="1" applyFill="1" applyBorder="1" applyAlignment="1">
      <alignment/>
    </xf>
    <xf numFmtId="3" fontId="1" fillId="0" borderId="69" xfId="0" applyNumberFormat="1" applyFont="1" applyFill="1" applyBorder="1" applyAlignment="1">
      <alignment/>
    </xf>
    <xf numFmtId="14" fontId="0" fillId="0" borderId="70" xfId="0" applyNumberFormat="1" applyFill="1" applyBorder="1" applyAlignment="1">
      <alignment/>
    </xf>
    <xf numFmtId="1" fontId="0" fillId="0" borderId="31" xfId="0" applyNumberFormat="1" applyFill="1" applyBorder="1" applyAlignment="1">
      <alignment/>
    </xf>
    <xf numFmtId="3" fontId="0" fillId="0" borderId="71" xfId="0" applyNumberFormat="1" applyFill="1" applyBorder="1" applyAlignment="1">
      <alignment/>
    </xf>
    <xf numFmtId="10" fontId="0" fillId="0" borderId="30" xfId="0" applyNumberFormat="1" applyFill="1" applyBorder="1" applyAlignment="1">
      <alignment/>
    </xf>
    <xf numFmtId="3" fontId="1" fillId="0" borderId="71" xfId="0" applyNumberFormat="1" applyFont="1" applyFill="1" applyBorder="1" applyAlignment="1">
      <alignment/>
    </xf>
    <xf numFmtId="3" fontId="1" fillId="0" borderId="72" xfId="0" applyNumberFormat="1" applyFont="1" applyFill="1" applyBorder="1" applyAlignment="1">
      <alignment/>
    </xf>
    <xf numFmtId="14" fontId="0" fillId="0" borderId="73" xfId="0" applyNumberFormat="1" applyFill="1" applyBorder="1" applyAlignment="1">
      <alignment/>
    </xf>
    <xf numFmtId="3" fontId="0" fillId="0" borderId="74" xfId="0" applyNumberFormat="1" applyFill="1" applyBorder="1" applyAlignment="1">
      <alignment/>
    </xf>
    <xf numFmtId="10" fontId="0" fillId="0" borderId="31" xfId="0" applyNumberFormat="1" applyFill="1" applyBorder="1" applyAlignment="1">
      <alignment/>
    </xf>
    <xf numFmtId="3" fontId="1" fillId="0" borderId="74" xfId="0" applyNumberFormat="1" applyFont="1" applyFill="1" applyBorder="1" applyAlignment="1">
      <alignment/>
    </xf>
    <xf numFmtId="3" fontId="1" fillId="0" borderId="75" xfId="0" applyNumberFormat="1" applyFont="1" applyFill="1" applyBorder="1" applyAlignment="1">
      <alignment/>
    </xf>
    <xf numFmtId="14" fontId="0" fillId="0" borderId="76" xfId="0" applyNumberFormat="1" applyFill="1" applyBorder="1" applyAlignment="1">
      <alignment/>
    </xf>
    <xf numFmtId="1" fontId="0" fillId="0" borderId="77" xfId="0" applyNumberFormat="1" applyFill="1" applyBorder="1" applyAlignment="1">
      <alignment/>
    </xf>
    <xf numFmtId="3" fontId="0" fillId="0" borderId="77" xfId="0" applyNumberFormat="1" applyFill="1" applyBorder="1" applyAlignment="1">
      <alignment/>
    </xf>
    <xf numFmtId="10" fontId="0" fillId="0" borderId="77" xfId="0" applyNumberFormat="1" applyFill="1" applyBorder="1" applyAlignment="1">
      <alignment/>
    </xf>
    <xf numFmtId="3" fontId="1" fillId="0" borderId="77" xfId="0" applyNumberFormat="1" applyFont="1" applyFill="1" applyBorder="1" applyAlignment="1">
      <alignment/>
    </xf>
    <xf numFmtId="3" fontId="1" fillId="0" borderId="78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79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1" fillId="0" borderId="80" xfId="0" applyNumberFormat="1" applyFont="1" applyFill="1" applyBorder="1" applyAlignment="1">
      <alignment/>
    </xf>
    <xf numFmtId="1" fontId="0" fillId="0" borderId="81" xfId="0" applyNumberFormat="1" applyFill="1" applyBorder="1" applyAlignment="1">
      <alignment/>
    </xf>
    <xf numFmtId="1" fontId="0" fillId="0" borderId="27" xfId="0" applyNumberFormat="1" applyFill="1" applyBorder="1" applyAlignment="1">
      <alignment/>
    </xf>
    <xf numFmtId="14" fontId="0" fillId="0" borderId="82" xfId="0" applyNumberFormat="1" applyFill="1" applyBorder="1" applyAlignment="1">
      <alignment/>
    </xf>
    <xf numFmtId="1" fontId="0" fillId="0" borderId="51" xfId="0" applyNumberFormat="1" applyFill="1" applyBorder="1" applyAlignment="1">
      <alignment/>
    </xf>
    <xf numFmtId="14" fontId="0" fillId="0" borderId="83" xfId="0" applyNumberFormat="1" applyFill="1" applyBorder="1" applyAlignment="1">
      <alignment/>
    </xf>
    <xf numFmtId="3" fontId="0" fillId="0" borderId="81" xfId="0" applyNumberFormat="1" applyFill="1" applyBorder="1" applyAlignment="1">
      <alignment/>
    </xf>
    <xf numFmtId="3" fontId="0" fillId="0" borderId="84" xfId="0" applyNumberFormat="1" applyFill="1" applyBorder="1" applyAlignment="1">
      <alignment/>
    </xf>
    <xf numFmtId="10" fontId="0" fillId="0" borderId="81" xfId="0" applyNumberFormat="1" applyFill="1" applyBorder="1" applyAlignment="1">
      <alignment/>
    </xf>
    <xf numFmtId="3" fontId="1" fillId="0" borderId="84" xfId="0" applyNumberFormat="1" applyFont="1" applyFill="1" applyBorder="1" applyAlignment="1">
      <alignment/>
    </xf>
    <xf numFmtId="3" fontId="1" fillId="0" borderId="85" xfId="0" applyNumberFormat="1" applyFont="1" applyFill="1" applyBorder="1" applyAlignment="1">
      <alignment/>
    </xf>
    <xf numFmtId="14" fontId="0" fillId="0" borderId="8" xfId="0" applyNumberFormat="1" applyFill="1" applyBorder="1" applyAlignment="1">
      <alignment/>
    </xf>
    <xf numFmtId="1" fontId="0" fillId="0" borderId="50" xfId="0" applyNumberFormat="1" applyFill="1" applyBorder="1" applyAlignment="1">
      <alignment/>
    </xf>
    <xf numFmtId="10" fontId="0" fillId="0" borderId="50" xfId="0" applyNumberForma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3" fontId="0" fillId="0" borderId="37" xfId="0" applyNumberFormat="1" applyFill="1" applyBorder="1" applyAlignment="1">
      <alignment/>
    </xf>
    <xf numFmtId="10" fontId="0" fillId="0" borderId="37" xfId="0" applyNumberFormat="1" applyFill="1" applyBorder="1" applyAlignment="1">
      <alignment/>
    </xf>
    <xf numFmtId="3" fontId="1" fillId="0" borderId="37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10" fontId="0" fillId="0" borderId="39" xfId="0" applyNumberFormat="1" applyFill="1" applyBorder="1" applyAlignment="1">
      <alignment/>
    </xf>
    <xf numFmtId="0" fontId="0" fillId="0" borderId="44" xfId="0" applyFill="1" applyBorder="1" applyAlignment="1">
      <alignment/>
    </xf>
    <xf numFmtId="10" fontId="0" fillId="0" borderId="53" xfId="0" applyNumberFormat="1" applyFill="1" applyBorder="1" applyAlignment="1">
      <alignment/>
    </xf>
    <xf numFmtId="172" fontId="1" fillId="0" borderId="0" xfId="0" applyNumberFormat="1" applyFont="1" applyFill="1" applyAlignment="1">
      <alignment/>
    </xf>
    <xf numFmtId="0" fontId="0" fillId="0" borderId="57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62" xfId="0" applyFill="1" applyBorder="1" applyAlignment="1">
      <alignment/>
    </xf>
    <xf numFmtId="166" fontId="0" fillId="0" borderId="62" xfId="19" applyNumberFormat="1" applyFill="1" applyBorder="1" applyAlignment="1">
      <alignment/>
    </xf>
    <xf numFmtId="0" fontId="0" fillId="0" borderId="59" xfId="0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2" xfId="0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0" fillId="0" borderId="49" xfId="0" applyFill="1" applyBorder="1" applyAlignment="1">
      <alignment/>
    </xf>
    <xf numFmtId="14" fontId="0" fillId="0" borderId="6" xfId="0" applyNumberFormat="1" applyFill="1" applyBorder="1" applyAlignment="1">
      <alignment/>
    </xf>
    <xf numFmtId="166" fontId="0" fillId="0" borderId="50" xfId="19" applyNumberFormat="1" applyFill="1" applyBorder="1" applyAlignment="1">
      <alignment/>
    </xf>
    <xf numFmtId="3" fontId="1" fillId="0" borderId="50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55" xfId="0" applyNumberFormat="1" applyFont="1" applyFill="1" applyBorder="1" applyAlignment="1">
      <alignment/>
    </xf>
    <xf numFmtId="0" fontId="0" fillId="0" borderId="55" xfId="0" applyFill="1" applyBorder="1" applyAlignment="1">
      <alignment/>
    </xf>
    <xf numFmtId="3" fontId="1" fillId="0" borderId="2" xfId="0" applyNumberFormat="1" applyFon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63" xfId="0" applyFill="1" applyBorder="1" applyAlignment="1">
      <alignment/>
    </xf>
    <xf numFmtId="0" fontId="0" fillId="0" borderId="15" xfId="0" applyFill="1" applyBorder="1" applyAlignment="1">
      <alignment/>
    </xf>
    <xf numFmtId="10" fontId="0" fillId="0" borderId="55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0" fontId="0" fillId="0" borderId="0" xfId="19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66" fontId="0" fillId="0" borderId="59" xfId="19" applyNumberFormat="1" applyFill="1" applyBorder="1" applyAlignment="1">
      <alignment/>
    </xf>
    <xf numFmtId="166" fontId="0" fillId="0" borderId="57" xfId="19" applyNumberForma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0" fillId="0" borderId="37" xfId="0" applyFill="1" applyBorder="1" applyAlignment="1">
      <alignment/>
    </xf>
    <xf numFmtId="14" fontId="0" fillId="0" borderId="22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10" fontId="1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14" fontId="0" fillId="0" borderId="86" xfId="0" applyNumberFormat="1" applyFill="1" applyBorder="1" applyAlignment="1">
      <alignment/>
    </xf>
    <xf numFmtId="0" fontId="0" fillId="0" borderId="29" xfId="0" applyFill="1" applyBorder="1" applyAlignment="1">
      <alignment/>
    </xf>
    <xf numFmtId="166" fontId="0" fillId="0" borderId="29" xfId="19" applyNumberFormat="1" applyFill="1" applyBorder="1" applyAlignment="1">
      <alignment/>
    </xf>
    <xf numFmtId="0" fontId="0" fillId="0" borderId="79" xfId="0" applyFill="1" applyBorder="1" applyAlignment="1">
      <alignment/>
    </xf>
    <xf numFmtId="10" fontId="0" fillId="0" borderId="51" xfId="0" applyNumberFormat="1" applyFill="1" applyBorder="1" applyAlignment="1">
      <alignment/>
    </xf>
    <xf numFmtId="166" fontId="0" fillId="0" borderId="68" xfId="19" applyNumberFormat="1" applyFill="1" applyBorder="1" applyAlignment="1">
      <alignment/>
    </xf>
    <xf numFmtId="14" fontId="0" fillId="0" borderId="87" xfId="0" applyNumberFormat="1" applyFill="1" applyBorder="1" applyAlignment="1">
      <alignment/>
    </xf>
    <xf numFmtId="0" fontId="0" fillId="0" borderId="77" xfId="0" applyFill="1" applyBorder="1" applyAlignment="1">
      <alignment/>
    </xf>
    <xf numFmtId="166" fontId="0" fillId="0" borderId="77" xfId="19" applyNumberFormat="1" applyFill="1" applyBorder="1" applyAlignment="1">
      <alignment/>
    </xf>
    <xf numFmtId="10" fontId="0" fillId="0" borderId="39" xfId="19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Continuous"/>
    </xf>
    <xf numFmtId="0" fontId="0" fillId="0" borderId="1" xfId="0" applyFill="1" applyBorder="1" applyAlignment="1">
      <alignment horizontal="centerContinuous"/>
    </xf>
    <xf numFmtId="3" fontId="0" fillId="0" borderId="1" xfId="0" applyNumberFormat="1" applyFill="1" applyBorder="1" applyAlignment="1">
      <alignment horizontal="centerContinuous"/>
    </xf>
    <xf numFmtId="10" fontId="1" fillId="0" borderId="1" xfId="0" applyNumberFormat="1" applyFont="1" applyFill="1" applyBorder="1" applyAlignment="1">
      <alignment/>
    </xf>
    <xf numFmtId="16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left"/>
    </xf>
    <xf numFmtId="0" fontId="0" fillId="0" borderId="81" xfId="0" applyFill="1" applyBorder="1" applyAlignment="1">
      <alignment/>
    </xf>
    <xf numFmtId="166" fontId="0" fillId="0" borderId="81" xfId="19" applyNumberFormat="1" applyFill="1" applyBorder="1" applyAlignment="1">
      <alignment/>
    </xf>
    <xf numFmtId="3" fontId="1" fillId="0" borderId="81" xfId="0" applyNumberFormat="1" applyFont="1" applyFill="1" applyBorder="1" applyAlignment="1">
      <alignment/>
    </xf>
    <xf numFmtId="3" fontId="1" fillId="0" borderId="88" xfId="0" applyNumberFormat="1" applyFont="1" applyFill="1" applyBorder="1" applyAlignment="1">
      <alignment/>
    </xf>
    <xf numFmtId="14" fontId="0" fillId="0" borderId="89" xfId="0" applyNumberFormat="1" applyFill="1" applyBorder="1" applyAlignment="1">
      <alignment/>
    </xf>
    <xf numFmtId="0" fontId="0" fillId="0" borderId="31" xfId="0" applyFill="1" applyBorder="1" applyAlignment="1">
      <alignment/>
    </xf>
    <xf numFmtId="166" fontId="0" fillId="0" borderId="31" xfId="19" applyNumberForma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44" xfId="0" applyNumberFormat="1" applyFont="1" applyFill="1" applyBorder="1" applyAlignment="1">
      <alignment/>
    </xf>
    <xf numFmtId="181" fontId="0" fillId="0" borderId="0" xfId="0" applyNumberFormat="1" applyFill="1" applyAlignment="1">
      <alignment/>
    </xf>
    <xf numFmtId="181" fontId="1" fillId="0" borderId="56" xfId="0" applyNumberFormat="1" applyFont="1" applyFill="1" applyBorder="1" applyAlignment="1">
      <alignment/>
    </xf>
    <xf numFmtId="0" fontId="0" fillId="0" borderId="90" xfId="0" applyFill="1" applyBorder="1" applyAlignment="1">
      <alignment/>
    </xf>
    <xf numFmtId="10" fontId="0" fillId="0" borderId="90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183" fontId="0" fillId="0" borderId="90" xfId="0" applyNumberFormat="1" applyFill="1" applyBorder="1" applyAlignment="1">
      <alignment/>
    </xf>
    <xf numFmtId="18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9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1" fillId="0" borderId="32" xfId="0" applyNumberFormat="1" applyFont="1" applyFill="1" applyBorder="1" applyAlignment="1">
      <alignment horizontal="center"/>
    </xf>
    <xf numFmtId="14" fontId="1" fillId="0" borderId="18" xfId="0" applyNumberFormat="1" applyFont="1" applyFill="1" applyBorder="1" applyAlignment="1">
      <alignment horizontal="center"/>
    </xf>
    <xf numFmtId="14" fontId="1" fillId="0" borderId="64" xfId="0" applyNumberFormat="1" applyFont="1" applyFill="1" applyBorder="1" applyAlignment="1">
      <alignment horizontal="center"/>
    </xf>
    <xf numFmtId="14" fontId="1" fillId="0" borderId="32" xfId="0" applyNumberFormat="1" applyFont="1" applyFill="1" applyBorder="1" applyAlignment="1">
      <alignment horizontal="center"/>
    </xf>
    <xf numFmtId="14" fontId="1" fillId="0" borderId="18" xfId="0" applyNumberFormat="1" applyFont="1" applyFill="1" applyBorder="1" applyAlignment="1">
      <alignment horizontal="center"/>
    </xf>
    <xf numFmtId="14" fontId="1" fillId="0" borderId="64" xfId="0" applyNumberFormat="1" applyFont="1" applyFill="1" applyBorder="1" applyAlignment="1">
      <alignment horizontal="center"/>
    </xf>
    <xf numFmtId="183" fontId="1" fillId="0" borderId="0" xfId="0" applyNumberFormat="1" applyFont="1" applyFill="1" applyAlignment="1">
      <alignment horizontal="right"/>
    </xf>
    <xf numFmtId="0" fontId="1" fillId="0" borderId="91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3" fontId="1" fillId="0" borderId="91" xfId="0" applyNumberFormat="1" applyFont="1" applyBorder="1" applyAlignment="1">
      <alignment horizontal="center"/>
    </xf>
    <xf numFmtId="3" fontId="1" fillId="0" borderId="58" xfId="0" applyNumberFormat="1" applyFont="1" applyBorder="1" applyAlignment="1">
      <alignment horizontal="center"/>
    </xf>
    <xf numFmtId="3" fontId="1" fillId="0" borderId="92" xfId="0" applyNumberFormat="1" applyFont="1" applyBorder="1" applyAlignment="1">
      <alignment horizontal="center"/>
    </xf>
    <xf numFmtId="0" fontId="1" fillId="0" borderId="9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I25"/>
  <sheetViews>
    <sheetView workbookViewId="0" topLeftCell="A9">
      <selection activeCell="A24" sqref="A24:I24"/>
    </sheetView>
  </sheetViews>
  <sheetFormatPr defaultColWidth="9.00390625" defaultRowHeight="12.75"/>
  <sheetData>
    <row r="15" spans="1:9" ht="30">
      <c r="A15" s="348" t="s">
        <v>107</v>
      </c>
      <c r="B15" s="348"/>
      <c r="C15" s="348"/>
      <c r="D15" s="348"/>
      <c r="E15" s="348"/>
      <c r="F15" s="348"/>
      <c r="G15" s="348"/>
      <c r="H15" s="348"/>
      <c r="I15" s="348"/>
    </row>
    <row r="16" spans="1:9" ht="30">
      <c r="A16" s="348" t="s">
        <v>108</v>
      </c>
      <c r="B16" s="348"/>
      <c r="C16" s="348"/>
      <c r="D16" s="348"/>
      <c r="E16" s="348"/>
      <c r="F16" s="348"/>
      <c r="G16" s="348"/>
      <c r="H16" s="348"/>
      <c r="I16" s="348"/>
    </row>
    <row r="19" spans="1:9" ht="18.75">
      <c r="A19" s="349" t="s">
        <v>119</v>
      </c>
      <c r="B19" s="349"/>
      <c r="C19" s="349"/>
      <c r="D19" s="349"/>
      <c r="E19" s="349"/>
      <c r="F19" s="349"/>
      <c r="G19" s="349"/>
      <c r="H19" s="349"/>
      <c r="I19" s="349"/>
    </row>
    <row r="21" spans="1:9" ht="15.75">
      <c r="A21" s="347" t="s">
        <v>152</v>
      </c>
      <c r="B21" s="347"/>
      <c r="C21" s="347"/>
      <c r="D21" s="347"/>
      <c r="E21" s="347"/>
      <c r="F21" s="347"/>
      <c r="G21" s="347"/>
      <c r="H21" s="347"/>
      <c r="I21" s="347"/>
    </row>
    <row r="23" spans="1:9" ht="15.75">
      <c r="A23" s="347" t="s">
        <v>153</v>
      </c>
      <c r="B23" s="347"/>
      <c r="C23" s="347"/>
      <c r="D23" s="347"/>
      <c r="E23" s="347"/>
      <c r="F23" s="347"/>
      <c r="G23" s="347"/>
      <c r="H23" s="347"/>
      <c r="I23" s="347"/>
    </row>
    <row r="24" spans="1:9" ht="15.75">
      <c r="A24" s="347"/>
      <c r="B24" s="347"/>
      <c r="C24" s="347"/>
      <c r="D24" s="347"/>
      <c r="E24" s="347"/>
      <c r="F24" s="347"/>
      <c r="G24" s="347"/>
      <c r="H24" s="347"/>
      <c r="I24" s="347"/>
    </row>
    <row r="25" spans="1:9" ht="15.75">
      <c r="A25" s="347"/>
      <c r="B25" s="347"/>
      <c r="C25" s="347"/>
      <c r="D25" s="347"/>
      <c r="E25" s="347"/>
      <c r="F25" s="347"/>
      <c r="G25" s="347"/>
      <c r="H25" s="347"/>
      <c r="I25" s="347"/>
    </row>
  </sheetData>
  <mergeCells count="7">
    <mergeCell ref="A24:I24"/>
    <mergeCell ref="A25:I25"/>
    <mergeCell ref="A23:I23"/>
    <mergeCell ref="A15:I15"/>
    <mergeCell ref="A16:I16"/>
    <mergeCell ref="A19:I19"/>
    <mergeCell ref="A21:I21"/>
  </mergeCells>
  <printOptions horizontalCentered="1"/>
  <pageMargins left="0.7874015748031497" right="0.7874015748031497" top="0.984251968503937" bottom="0.984251968503937" header="0.5118110236220472" footer="0.5118110236220472"/>
  <pageSetup horizontalDpi="150" verticalDpi="15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3"/>
  <sheetViews>
    <sheetView workbookViewId="0" topLeftCell="A83">
      <selection activeCell="A92" sqref="A92"/>
    </sheetView>
  </sheetViews>
  <sheetFormatPr defaultColWidth="9.00390625" defaultRowHeight="12.75"/>
  <cols>
    <col min="1" max="1" width="11.375" style="89" customWidth="1"/>
    <col min="2" max="2" width="6.875" style="155" customWidth="1"/>
    <col min="3" max="3" width="11.375" style="155" customWidth="1"/>
    <col min="4" max="4" width="12.625" style="155" customWidth="1"/>
    <col min="5" max="5" width="8.00390625" style="156" customWidth="1"/>
    <col min="6" max="6" width="12.625" style="89" customWidth="1"/>
    <col min="7" max="7" width="15.00390625" style="155" bestFit="1" customWidth="1"/>
    <col min="8" max="8" width="12.625" style="89" customWidth="1"/>
    <col min="9" max="9" width="14.375" style="155" customWidth="1"/>
    <col min="10" max="10" width="9.375" style="89" customWidth="1"/>
    <col min="11" max="11" width="11.125" style="89" customWidth="1"/>
    <col min="12" max="16384" width="9.375" style="89" customWidth="1"/>
  </cols>
  <sheetData>
    <row r="1" spans="1:9" ht="12.75">
      <c r="A1" s="85" t="s">
        <v>129</v>
      </c>
      <c r="B1" s="163"/>
      <c r="C1" s="163"/>
      <c r="D1" s="85"/>
      <c r="E1" s="86"/>
      <c r="F1" s="87"/>
      <c r="G1" s="85"/>
      <c r="H1" s="88"/>
      <c r="I1" s="88"/>
    </row>
    <row r="2" spans="1:9" ht="12.75">
      <c r="A2" s="90" t="s">
        <v>15</v>
      </c>
      <c r="B2" s="91"/>
      <c r="C2" s="91"/>
      <c r="D2" s="91"/>
      <c r="E2" s="92"/>
      <c r="F2" s="91"/>
      <c r="G2" s="91"/>
      <c r="H2" s="91"/>
      <c r="I2" s="91"/>
    </row>
    <row r="3" spans="1:9" ht="12.75">
      <c r="A3" s="90" t="s">
        <v>125</v>
      </c>
      <c r="B3" s="91"/>
      <c r="C3" s="91"/>
      <c r="D3" s="91"/>
      <c r="E3" s="92"/>
      <c r="F3" s="91"/>
      <c r="G3" s="91"/>
      <c r="H3" s="91"/>
      <c r="I3" s="91"/>
    </row>
    <row r="4" spans="1:9" ht="12.75">
      <c r="A4" s="93"/>
      <c r="B4" s="94"/>
      <c r="C4" s="94"/>
      <c r="D4" s="95"/>
      <c r="E4" s="96"/>
      <c r="F4" s="95"/>
      <c r="G4" s="95"/>
      <c r="H4" s="95"/>
      <c r="I4" s="95" t="s">
        <v>2</v>
      </c>
    </row>
    <row r="5" spans="1:9" ht="12.75">
      <c r="A5" s="97" t="s">
        <v>3</v>
      </c>
      <c r="B5" s="98" t="s">
        <v>4</v>
      </c>
      <c r="C5" s="99" t="s">
        <v>5</v>
      </c>
      <c r="D5" s="99" t="s">
        <v>21</v>
      </c>
      <c r="E5" s="99" t="s">
        <v>18</v>
      </c>
      <c r="F5" s="100" t="s">
        <v>20</v>
      </c>
      <c r="G5" s="101" t="s">
        <v>6</v>
      </c>
      <c r="H5" s="101" t="s">
        <v>6</v>
      </c>
      <c r="I5" s="102" t="s">
        <v>6</v>
      </c>
    </row>
    <row r="6" spans="1:9" ht="12.75">
      <c r="A6" s="103"/>
      <c r="B6" s="104" t="s">
        <v>7</v>
      </c>
      <c r="C6" s="105" t="s">
        <v>8</v>
      </c>
      <c r="D6" s="105" t="s">
        <v>13</v>
      </c>
      <c r="E6" s="105" t="s">
        <v>19</v>
      </c>
      <c r="F6" s="106" t="s">
        <v>13</v>
      </c>
      <c r="G6" s="107" t="s">
        <v>9</v>
      </c>
      <c r="H6" s="107" t="s">
        <v>11</v>
      </c>
      <c r="I6" s="108" t="s">
        <v>10</v>
      </c>
    </row>
    <row r="7" spans="1:9" ht="12.75">
      <c r="A7" s="109"/>
      <c r="B7" s="110"/>
      <c r="C7" s="111"/>
      <c r="D7" s="111"/>
      <c r="E7" s="111"/>
      <c r="F7" s="112"/>
      <c r="G7" s="112"/>
      <c r="H7" s="113" t="s">
        <v>13</v>
      </c>
      <c r="I7" s="114" t="s">
        <v>12</v>
      </c>
    </row>
    <row r="8" spans="1:9" ht="12.75">
      <c r="A8" s="115">
        <v>38243</v>
      </c>
      <c r="B8" s="116"/>
      <c r="C8" s="117">
        <v>214500913</v>
      </c>
      <c r="D8" s="117"/>
      <c r="E8" s="118"/>
      <c r="F8" s="59"/>
      <c r="G8" s="119"/>
      <c r="H8" s="119"/>
      <c r="I8" s="120"/>
    </row>
    <row r="9" spans="1:9" ht="12.75">
      <c r="A9" s="121">
        <v>38252</v>
      </c>
      <c r="B9" s="122">
        <f aca="true" t="shared" si="0" ref="B9:B65">A9-A8</f>
        <v>9</v>
      </c>
      <c r="C9" s="59">
        <v>212164432</v>
      </c>
      <c r="D9" s="59"/>
      <c r="E9" s="123"/>
      <c r="F9" s="59"/>
      <c r="G9" s="124"/>
      <c r="H9" s="124"/>
      <c r="I9" s="125"/>
    </row>
    <row r="10" spans="1:9" ht="12.75">
      <c r="A10" s="121">
        <v>38260</v>
      </c>
      <c r="B10" s="122">
        <f t="shared" si="0"/>
        <v>8</v>
      </c>
      <c r="C10" s="59">
        <v>212164432</v>
      </c>
      <c r="D10" s="59"/>
      <c r="E10" s="123">
        <v>0.1117</v>
      </c>
      <c r="F10" s="59">
        <v>526639</v>
      </c>
      <c r="G10" s="124"/>
      <c r="H10" s="124"/>
      <c r="I10" s="125"/>
    </row>
    <row r="11" spans="1:9" ht="12.75">
      <c r="A11" s="121">
        <v>38289</v>
      </c>
      <c r="B11" s="122">
        <f t="shared" si="0"/>
        <v>29</v>
      </c>
      <c r="C11" s="59">
        <f>C10+(C12-C9)/2</f>
        <v>465478716</v>
      </c>
      <c r="D11" s="59"/>
      <c r="E11" s="123"/>
      <c r="F11" s="117"/>
      <c r="G11" s="124"/>
      <c r="H11" s="124"/>
      <c r="I11" s="125"/>
    </row>
    <row r="12" spans="1:9" ht="12.75">
      <c r="A12" s="121">
        <v>38322</v>
      </c>
      <c r="B12" s="122">
        <f t="shared" si="0"/>
        <v>33</v>
      </c>
      <c r="C12" s="59">
        <v>718793000</v>
      </c>
      <c r="D12" s="59"/>
      <c r="E12" s="123"/>
      <c r="F12" s="122"/>
      <c r="G12" s="59"/>
      <c r="H12" s="122"/>
      <c r="I12" s="127"/>
    </row>
    <row r="13" spans="1:9" ht="12.75">
      <c r="A13" s="128">
        <v>38352</v>
      </c>
      <c r="B13" s="129">
        <f t="shared" si="0"/>
        <v>30</v>
      </c>
      <c r="C13" s="130">
        <f aca="true" t="shared" si="1" ref="C13:C57">C12-D13</f>
        <v>718793000</v>
      </c>
      <c r="D13" s="130"/>
      <c r="E13" s="131">
        <v>0.111</v>
      </c>
      <c r="F13" s="130">
        <f>((C11+D11)*E13/360*B11)+((C13+D13)*E13/360*B13)+((C12+D12)*E13/360*B12)</f>
        <v>18124709.543899998</v>
      </c>
      <c r="G13" s="132">
        <f>SUM(F8:F13)</f>
        <v>18651348.543899998</v>
      </c>
      <c r="H13" s="132">
        <f>SUM(D8:D13)</f>
        <v>0</v>
      </c>
      <c r="I13" s="133">
        <f>SUM(G13:H13)</f>
        <v>18651348.543899998</v>
      </c>
    </row>
    <row r="14" spans="1:9" ht="12.75">
      <c r="A14" s="115">
        <v>38442</v>
      </c>
      <c r="B14" s="116">
        <f t="shared" si="0"/>
        <v>90</v>
      </c>
      <c r="C14" s="117">
        <f t="shared" si="1"/>
        <v>718793000</v>
      </c>
      <c r="D14" s="117"/>
      <c r="E14" s="118">
        <f>E13</f>
        <v>0.111</v>
      </c>
      <c r="F14" s="117">
        <f>((C14+D14)*E14/360*B14)</f>
        <v>19946505.75</v>
      </c>
      <c r="G14" s="119"/>
      <c r="H14" s="119"/>
      <c r="I14" s="120"/>
    </row>
    <row r="15" spans="1:9" ht="12.75">
      <c r="A15" s="121">
        <v>38533</v>
      </c>
      <c r="B15" s="122">
        <f t="shared" si="0"/>
        <v>91</v>
      </c>
      <c r="C15" s="59">
        <f t="shared" si="1"/>
        <v>718793000</v>
      </c>
      <c r="D15" s="59"/>
      <c r="E15" s="123">
        <f>E14</f>
        <v>0.111</v>
      </c>
      <c r="F15" s="59">
        <f>((C15+D15)*E15/360*B15)</f>
        <v>20168133.59166667</v>
      </c>
      <c r="G15" s="124"/>
      <c r="H15" s="124"/>
      <c r="I15" s="125"/>
    </row>
    <row r="16" spans="1:9" ht="12.75">
      <c r="A16" s="121">
        <v>38623</v>
      </c>
      <c r="B16" s="122">
        <f t="shared" si="0"/>
        <v>90</v>
      </c>
      <c r="C16" s="59">
        <f t="shared" si="1"/>
        <v>698810000</v>
      </c>
      <c r="D16" s="59">
        <v>19983000</v>
      </c>
      <c r="E16" s="123"/>
      <c r="F16" s="59"/>
      <c r="G16" s="124"/>
      <c r="H16" s="124"/>
      <c r="I16" s="125"/>
    </row>
    <row r="17" spans="1:9" ht="12.75">
      <c r="A17" s="121">
        <v>38625</v>
      </c>
      <c r="B17" s="122">
        <f t="shared" si="0"/>
        <v>2</v>
      </c>
      <c r="C17" s="59">
        <f t="shared" si="1"/>
        <v>698810000</v>
      </c>
      <c r="D17" s="59"/>
      <c r="E17" s="123">
        <f>E15</f>
        <v>0.111</v>
      </c>
      <c r="F17" s="59">
        <f>((C16+D16)*E17/360*B16)+((C17+D17)*E17/360*B17)</f>
        <v>20377438.583333332</v>
      </c>
      <c r="G17" s="124"/>
      <c r="H17" s="124"/>
      <c r="I17" s="125"/>
    </row>
    <row r="18" spans="1:9" ht="12.75">
      <c r="A18" s="121">
        <v>38714</v>
      </c>
      <c r="B18" s="122">
        <f t="shared" si="0"/>
        <v>89</v>
      </c>
      <c r="C18" s="59">
        <f t="shared" si="1"/>
        <v>678844000</v>
      </c>
      <c r="D18" s="59">
        <v>19966000</v>
      </c>
      <c r="E18" s="123"/>
      <c r="F18" s="59"/>
      <c r="G18" s="124"/>
      <c r="H18" s="124"/>
      <c r="I18" s="125"/>
    </row>
    <row r="19" spans="1:9" ht="12.75">
      <c r="A19" s="128">
        <v>38717</v>
      </c>
      <c r="B19" s="129">
        <f t="shared" si="0"/>
        <v>3</v>
      </c>
      <c r="C19" s="130">
        <f t="shared" si="1"/>
        <v>678844000</v>
      </c>
      <c r="D19" s="130"/>
      <c r="E19" s="131">
        <f>E17</f>
        <v>0.111</v>
      </c>
      <c r="F19" s="130">
        <f>((C18+D18)*E19/360*B18)+((C19+D19)*E19/360*B19)</f>
        <v>19804441.78333333</v>
      </c>
      <c r="G19" s="132">
        <f>SUM(F14:F19)</f>
        <v>80296519.70833333</v>
      </c>
      <c r="H19" s="132">
        <f>SUM(D14:D19)</f>
        <v>39949000</v>
      </c>
      <c r="I19" s="133">
        <f>SUM(G19:H19)</f>
        <v>120245519.70833333</v>
      </c>
    </row>
    <row r="20" spans="1:9" ht="12.75">
      <c r="A20" s="134">
        <v>38804</v>
      </c>
      <c r="B20" s="135">
        <f t="shared" si="0"/>
        <v>87</v>
      </c>
      <c r="C20" s="60">
        <f t="shared" si="1"/>
        <v>658878000</v>
      </c>
      <c r="D20" s="60">
        <f>D18</f>
        <v>19966000</v>
      </c>
      <c r="E20" s="136"/>
      <c r="F20" s="135"/>
      <c r="G20" s="60"/>
      <c r="H20" s="135"/>
      <c r="I20" s="137"/>
    </row>
    <row r="21" spans="1:9" ht="12.75">
      <c r="A21" s="121">
        <v>38807</v>
      </c>
      <c r="B21" s="122">
        <f t="shared" si="0"/>
        <v>3</v>
      </c>
      <c r="C21" s="59">
        <f t="shared" si="1"/>
        <v>658878000</v>
      </c>
      <c r="D21" s="59"/>
      <c r="E21" s="123">
        <f>E19</f>
        <v>0.111</v>
      </c>
      <c r="F21" s="59">
        <f>((C20+D20)*E21/360*B20)+((C21+D21)*E21/360*B21)</f>
        <v>18819452.45</v>
      </c>
      <c r="G21" s="59"/>
      <c r="H21" s="122"/>
      <c r="I21" s="127"/>
    </row>
    <row r="22" spans="1:9" ht="12.75">
      <c r="A22" s="121">
        <v>38896</v>
      </c>
      <c r="B22" s="122">
        <f t="shared" si="0"/>
        <v>89</v>
      </c>
      <c r="C22" s="59">
        <f t="shared" si="1"/>
        <v>638912000</v>
      </c>
      <c r="D22" s="59">
        <f>D20</f>
        <v>19966000</v>
      </c>
      <c r="E22" s="126"/>
      <c r="F22" s="122"/>
      <c r="G22" s="59"/>
      <c r="H22" s="122"/>
      <c r="I22" s="127"/>
    </row>
    <row r="23" spans="1:9" ht="12.75">
      <c r="A23" s="121">
        <v>38898</v>
      </c>
      <c r="B23" s="122">
        <f t="shared" si="0"/>
        <v>2</v>
      </c>
      <c r="C23" s="59">
        <f t="shared" si="1"/>
        <v>638912000</v>
      </c>
      <c r="D23" s="59"/>
      <c r="E23" s="123">
        <f>E21</f>
        <v>0.111</v>
      </c>
      <c r="F23" s="59">
        <f>((C22+D22)*E23/360*B22)+((C23+D23)*E23/360*B23)</f>
        <v>18474706.183333334</v>
      </c>
      <c r="G23" s="59"/>
      <c r="H23" s="122"/>
      <c r="I23" s="127"/>
    </row>
    <row r="24" spans="1:9" ht="12.75">
      <c r="A24" s="121">
        <v>38988</v>
      </c>
      <c r="B24" s="122">
        <f t="shared" si="0"/>
        <v>90</v>
      </c>
      <c r="C24" s="59">
        <f t="shared" si="1"/>
        <v>618946000</v>
      </c>
      <c r="D24" s="59">
        <f>D22</f>
        <v>19966000</v>
      </c>
      <c r="E24" s="126"/>
      <c r="F24" s="122"/>
      <c r="G24" s="59"/>
      <c r="H24" s="122"/>
      <c r="I24" s="127"/>
    </row>
    <row r="25" spans="1:9" ht="12.75">
      <c r="A25" s="121">
        <v>38990</v>
      </c>
      <c r="B25" s="122">
        <f t="shared" si="0"/>
        <v>2</v>
      </c>
      <c r="C25" s="59">
        <f t="shared" si="1"/>
        <v>618946000</v>
      </c>
      <c r="D25" s="59"/>
      <c r="E25" s="123">
        <f>E23</f>
        <v>0.111</v>
      </c>
      <c r="F25" s="59">
        <f>((C24+D24)*E25/360*B24)+((C25+D25)*E25/360*B25)</f>
        <v>18111491.366666667</v>
      </c>
      <c r="G25" s="59"/>
      <c r="H25" s="122"/>
      <c r="I25" s="127"/>
    </row>
    <row r="26" spans="1:9" ht="12.75">
      <c r="A26" s="121">
        <v>39079</v>
      </c>
      <c r="B26" s="122">
        <f t="shared" si="0"/>
        <v>89</v>
      </c>
      <c r="C26" s="59">
        <f t="shared" si="1"/>
        <v>598980000</v>
      </c>
      <c r="D26" s="59">
        <f>D24</f>
        <v>19966000</v>
      </c>
      <c r="E26" s="126"/>
      <c r="F26" s="122"/>
      <c r="G26" s="59"/>
      <c r="H26" s="122"/>
      <c r="I26" s="127"/>
    </row>
    <row r="27" spans="1:9" ht="12.75">
      <c r="A27" s="128">
        <v>39082</v>
      </c>
      <c r="B27" s="129">
        <f t="shared" si="0"/>
        <v>3</v>
      </c>
      <c r="C27" s="130">
        <f t="shared" si="1"/>
        <v>598980000</v>
      </c>
      <c r="D27" s="130"/>
      <c r="E27" s="131">
        <f>E25</f>
        <v>0.111</v>
      </c>
      <c r="F27" s="130">
        <f>((C26+D26)*E27/360*B26)+((C27+D27)*E27/360*B27)</f>
        <v>17538966.316666666</v>
      </c>
      <c r="G27" s="132">
        <f>SUM(F21:F27)</f>
        <v>72944616.31666666</v>
      </c>
      <c r="H27" s="132">
        <f>SUM(D20:D27)</f>
        <v>79864000</v>
      </c>
      <c r="I27" s="133">
        <f>SUM(G27:H27)</f>
        <v>152808616.31666666</v>
      </c>
    </row>
    <row r="28" spans="1:9" ht="12.75">
      <c r="A28" s="134">
        <v>39169</v>
      </c>
      <c r="B28" s="135">
        <f t="shared" si="0"/>
        <v>87</v>
      </c>
      <c r="C28" s="60">
        <f t="shared" si="1"/>
        <v>579014000</v>
      </c>
      <c r="D28" s="60">
        <f>D26</f>
        <v>19966000</v>
      </c>
      <c r="E28" s="136"/>
      <c r="F28" s="135"/>
      <c r="G28" s="60"/>
      <c r="H28" s="135"/>
      <c r="I28" s="137"/>
    </row>
    <row r="29" spans="1:9" ht="12.75">
      <c r="A29" s="121">
        <v>39172</v>
      </c>
      <c r="B29" s="122">
        <f t="shared" si="0"/>
        <v>3</v>
      </c>
      <c r="C29" s="59">
        <f t="shared" si="1"/>
        <v>579014000</v>
      </c>
      <c r="D29" s="59"/>
      <c r="E29" s="123">
        <f>E27</f>
        <v>0.111</v>
      </c>
      <c r="F29" s="59">
        <f>((C28+D28)*E29/360*B28)+((C29+D29)*E29/360*B29)</f>
        <v>16603226.45</v>
      </c>
      <c r="G29" s="59"/>
      <c r="H29" s="122"/>
      <c r="I29" s="127"/>
    </row>
    <row r="30" spans="1:9" ht="12.75">
      <c r="A30" s="121">
        <v>39261</v>
      </c>
      <c r="B30" s="122">
        <f t="shared" si="0"/>
        <v>89</v>
      </c>
      <c r="C30" s="59">
        <f t="shared" si="1"/>
        <v>559048000</v>
      </c>
      <c r="D30" s="59">
        <f>D28</f>
        <v>19966000</v>
      </c>
      <c r="E30" s="126"/>
      <c r="F30" s="122"/>
      <c r="G30" s="59"/>
      <c r="H30" s="122"/>
      <c r="I30" s="127"/>
    </row>
    <row r="31" spans="1:9" ht="12.75">
      <c r="A31" s="121">
        <v>39263</v>
      </c>
      <c r="B31" s="122">
        <f t="shared" si="0"/>
        <v>2</v>
      </c>
      <c r="C31" s="59">
        <f t="shared" si="1"/>
        <v>559048000</v>
      </c>
      <c r="D31" s="59"/>
      <c r="E31" s="123">
        <f>E29</f>
        <v>0.111</v>
      </c>
      <c r="F31" s="59">
        <f>((C30+D30)*E31/360*B30)+((C31+D31)*E31/360*B31)</f>
        <v>16233855.450000003</v>
      </c>
      <c r="G31" s="59"/>
      <c r="H31" s="122"/>
      <c r="I31" s="127"/>
    </row>
    <row r="32" spans="1:9" ht="12.75">
      <c r="A32" s="121">
        <v>39353</v>
      </c>
      <c r="B32" s="122">
        <f t="shared" si="0"/>
        <v>90</v>
      </c>
      <c r="C32" s="59">
        <f t="shared" si="1"/>
        <v>539082000</v>
      </c>
      <c r="D32" s="59">
        <f>D30</f>
        <v>19966000</v>
      </c>
      <c r="E32" s="126"/>
      <c r="F32" s="122"/>
      <c r="G32" s="59"/>
      <c r="H32" s="122"/>
      <c r="I32" s="127"/>
    </row>
    <row r="33" spans="1:9" ht="12.75">
      <c r="A33" s="121">
        <v>39355</v>
      </c>
      <c r="B33" s="122">
        <f t="shared" si="0"/>
        <v>2</v>
      </c>
      <c r="C33" s="59">
        <f t="shared" si="1"/>
        <v>539082000</v>
      </c>
      <c r="D33" s="59"/>
      <c r="E33" s="123">
        <f>E31</f>
        <v>0.111</v>
      </c>
      <c r="F33" s="59">
        <f>((C32+D32)*E33/360*B32)+((C33+D33)*E33/360*B33)</f>
        <v>15846015.9</v>
      </c>
      <c r="G33" s="59"/>
      <c r="H33" s="122"/>
      <c r="I33" s="127"/>
    </row>
    <row r="34" spans="1:9" ht="12.75">
      <c r="A34" s="121">
        <v>39444</v>
      </c>
      <c r="B34" s="122">
        <f t="shared" si="0"/>
        <v>89</v>
      </c>
      <c r="C34" s="59">
        <f t="shared" si="1"/>
        <v>519116000</v>
      </c>
      <c r="D34" s="59">
        <f>D32</f>
        <v>19966000</v>
      </c>
      <c r="E34" s="126"/>
      <c r="F34" s="122"/>
      <c r="G34" s="59"/>
      <c r="H34" s="122"/>
      <c r="I34" s="127"/>
    </row>
    <row r="35" spans="1:9" ht="12.75">
      <c r="A35" s="128">
        <v>39447</v>
      </c>
      <c r="B35" s="129">
        <f t="shared" si="0"/>
        <v>3</v>
      </c>
      <c r="C35" s="130">
        <f t="shared" si="1"/>
        <v>519116000</v>
      </c>
      <c r="D35" s="130"/>
      <c r="E35" s="131">
        <f>E33</f>
        <v>0.111</v>
      </c>
      <c r="F35" s="130">
        <f>((C34+D34)*E35/360*B34)+((C35+D35)*E35/360*B35)</f>
        <v>15273490.850000001</v>
      </c>
      <c r="G35" s="132">
        <f>SUM(F29:F35)</f>
        <v>63956588.650000006</v>
      </c>
      <c r="H35" s="132">
        <f>SUM(D28:D35)</f>
        <v>79864000</v>
      </c>
      <c r="I35" s="133">
        <f>SUM(G35:H35)</f>
        <v>143820588.65</v>
      </c>
    </row>
    <row r="36" spans="1:9" ht="12.75">
      <c r="A36" s="134">
        <v>39535</v>
      </c>
      <c r="B36" s="135">
        <f t="shared" si="0"/>
        <v>88</v>
      </c>
      <c r="C36" s="60">
        <f t="shared" si="1"/>
        <v>499150000</v>
      </c>
      <c r="D36" s="60">
        <f>D34</f>
        <v>19966000</v>
      </c>
      <c r="E36" s="136"/>
      <c r="F36" s="135"/>
      <c r="G36" s="60"/>
      <c r="H36" s="135"/>
      <c r="I36" s="137"/>
    </row>
    <row r="37" spans="1:9" ht="12.75">
      <c r="A37" s="121">
        <v>39538</v>
      </c>
      <c r="B37" s="122">
        <f t="shared" si="0"/>
        <v>3</v>
      </c>
      <c r="C37" s="59">
        <f t="shared" si="1"/>
        <v>499150000</v>
      </c>
      <c r="D37" s="59"/>
      <c r="E37" s="123">
        <f>E35</f>
        <v>0.111</v>
      </c>
      <c r="F37" s="59">
        <f>((C36+D36)*E37/360*B36)+((C37+D37)*E37/360*B37)</f>
        <v>14547061.216666667</v>
      </c>
      <c r="G37" s="59"/>
      <c r="H37" s="122"/>
      <c r="I37" s="127"/>
    </row>
    <row r="38" spans="1:9" ht="12.75">
      <c r="A38" s="121">
        <v>39627</v>
      </c>
      <c r="B38" s="122">
        <f t="shared" si="0"/>
        <v>89</v>
      </c>
      <c r="C38" s="59">
        <f t="shared" si="1"/>
        <v>479184000</v>
      </c>
      <c r="D38" s="59">
        <f>D36</f>
        <v>19966000</v>
      </c>
      <c r="E38" s="126"/>
      <c r="F38" s="122"/>
      <c r="G38" s="59"/>
      <c r="H38" s="122"/>
      <c r="I38" s="127"/>
    </row>
    <row r="39" spans="1:9" ht="12.75">
      <c r="A39" s="121">
        <v>39629</v>
      </c>
      <c r="B39" s="122">
        <f t="shared" si="0"/>
        <v>2</v>
      </c>
      <c r="C39" s="59">
        <f t="shared" si="1"/>
        <v>479184000</v>
      </c>
      <c r="D39" s="59"/>
      <c r="E39" s="123">
        <f>E37</f>
        <v>0.111</v>
      </c>
      <c r="F39" s="59">
        <f>((C38+D38)*E39/360*B38)+((C39+D39)*E39/360*B39)</f>
        <v>13993004.716666669</v>
      </c>
      <c r="G39" s="59"/>
      <c r="H39" s="122"/>
      <c r="I39" s="127"/>
    </row>
    <row r="40" spans="1:9" ht="12.75">
      <c r="A40" s="121">
        <v>39719</v>
      </c>
      <c r="B40" s="122">
        <f t="shared" si="0"/>
        <v>90</v>
      </c>
      <c r="C40" s="59">
        <f t="shared" si="1"/>
        <v>459218000</v>
      </c>
      <c r="D40" s="59">
        <f>D38</f>
        <v>19966000</v>
      </c>
      <c r="E40" s="126"/>
      <c r="F40" s="122"/>
      <c r="G40" s="59"/>
      <c r="H40" s="122"/>
      <c r="I40" s="127"/>
    </row>
    <row r="41" spans="1:9" ht="12.75">
      <c r="A41" s="121">
        <v>39721</v>
      </c>
      <c r="B41" s="122">
        <f t="shared" si="0"/>
        <v>2</v>
      </c>
      <c r="C41" s="59">
        <f t="shared" si="1"/>
        <v>459218000</v>
      </c>
      <c r="D41" s="59"/>
      <c r="E41" s="123">
        <f>E39</f>
        <v>0.111</v>
      </c>
      <c r="F41" s="59">
        <f>((C40+D40)*E41/360*B40)+((C41+D41)*E41/360*B41)</f>
        <v>13580540.433333334</v>
      </c>
      <c r="G41" s="59"/>
      <c r="H41" s="122"/>
      <c r="I41" s="127"/>
    </row>
    <row r="42" spans="1:9" ht="12.75">
      <c r="A42" s="121">
        <v>39810</v>
      </c>
      <c r="B42" s="122">
        <f t="shared" si="0"/>
        <v>89</v>
      </c>
      <c r="C42" s="59">
        <f t="shared" si="1"/>
        <v>439252000</v>
      </c>
      <c r="D42" s="59">
        <f>D40</f>
        <v>19966000</v>
      </c>
      <c r="E42" s="126"/>
      <c r="F42" s="122"/>
      <c r="G42" s="59"/>
      <c r="H42" s="122"/>
      <c r="I42" s="127"/>
    </row>
    <row r="43" spans="1:9" ht="12.75">
      <c r="A43" s="128">
        <v>39813</v>
      </c>
      <c r="B43" s="129">
        <f t="shared" si="0"/>
        <v>3</v>
      </c>
      <c r="C43" s="130">
        <f t="shared" si="1"/>
        <v>439252000</v>
      </c>
      <c r="D43" s="130"/>
      <c r="E43" s="131">
        <f>E41</f>
        <v>0.111</v>
      </c>
      <c r="F43" s="130">
        <f>((C42+D42)*E43/360*B42)+((C43+D43)*E43/360*B43)</f>
        <v>13008015.383333333</v>
      </c>
      <c r="G43" s="132">
        <f>SUM(F37:F43)</f>
        <v>55128621.75000001</v>
      </c>
      <c r="H43" s="132">
        <f>SUM(D36:D43)</f>
        <v>79864000</v>
      </c>
      <c r="I43" s="133">
        <f>SUM(G43:H43)</f>
        <v>134992621.75</v>
      </c>
    </row>
    <row r="44" spans="1:9" ht="12.75">
      <c r="A44" s="134">
        <v>39900</v>
      </c>
      <c r="B44" s="135">
        <f t="shared" si="0"/>
        <v>87</v>
      </c>
      <c r="C44" s="60">
        <f t="shared" si="1"/>
        <v>419286000</v>
      </c>
      <c r="D44" s="60">
        <f>D42</f>
        <v>19966000</v>
      </c>
      <c r="E44" s="136"/>
      <c r="F44" s="135"/>
      <c r="G44" s="60"/>
      <c r="H44" s="135"/>
      <c r="I44" s="137"/>
    </row>
    <row r="45" spans="1:9" ht="12.75">
      <c r="A45" s="121">
        <v>39903</v>
      </c>
      <c r="B45" s="122">
        <f t="shared" si="0"/>
        <v>3</v>
      </c>
      <c r="C45" s="59">
        <f t="shared" si="1"/>
        <v>419286000</v>
      </c>
      <c r="D45" s="59"/>
      <c r="E45" s="123">
        <f>E43</f>
        <v>0.111</v>
      </c>
      <c r="F45" s="59">
        <f>((C44+D44)*E45/360*B44)+((C45+D45)*E45/360*B45)</f>
        <v>12170774.45</v>
      </c>
      <c r="G45" s="59"/>
      <c r="H45" s="122"/>
      <c r="I45" s="127"/>
    </row>
    <row r="46" spans="1:9" ht="12.75">
      <c r="A46" s="121">
        <v>39992</v>
      </c>
      <c r="B46" s="122">
        <f t="shared" si="0"/>
        <v>89</v>
      </c>
      <c r="C46" s="59">
        <f t="shared" si="1"/>
        <v>399320000</v>
      </c>
      <c r="D46" s="59">
        <f>D44</f>
        <v>19966000</v>
      </c>
      <c r="E46" s="126"/>
      <c r="F46" s="122"/>
      <c r="G46" s="59"/>
      <c r="H46" s="122"/>
      <c r="I46" s="127"/>
    </row>
    <row r="47" spans="1:9" ht="12.75">
      <c r="A47" s="121">
        <v>39994</v>
      </c>
      <c r="B47" s="122">
        <f t="shared" si="0"/>
        <v>2</v>
      </c>
      <c r="C47" s="59">
        <f t="shared" si="1"/>
        <v>399320000</v>
      </c>
      <c r="D47" s="59"/>
      <c r="E47" s="123">
        <f>E45</f>
        <v>0.111</v>
      </c>
      <c r="F47" s="59">
        <f>((C46+D46)*E47/360*B46)+((C47+D47)*E47/360*B47)</f>
        <v>11752153.983333334</v>
      </c>
      <c r="G47" s="59"/>
      <c r="H47" s="122"/>
      <c r="I47" s="127"/>
    </row>
    <row r="48" spans="1:9" ht="12.75">
      <c r="A48" s="121">
        <v>40084</v>
      </c>
      <c r="B48" s="122">
        <f t="shared" si="0"/>
        <v>90</v>
      </c>
      <c r="C48" s="59">
        <f t="shared" si="1"/>
        <v>379354000</v>
      </c>
      <c r="D48" s="59">
        <f>D46</f>
        <v>19966000</v>
      </c>
      <c r="E48" s="126"/>
      <c r="F48" s="122"/>
      <c r="G48" s="59"/>
      <c r="H48" s="122"/>
      <c r="I48" s="127"/>
    </row>
    <row r="49" spans="1:9" ht="12.75">
      <c r="A49" s="121">
        <v>40086</v>
      </c>
      <c r="B49" s="122">
        <f t="shared" si="0"/>
        <v>2</v>
      </c>
      <c r="C49" s="59">
        <f t="shared" si="1"/>
        <v>379354000</v>
      </c>
      <c r="D49" s="59"/>
      <c r="E49" s="123">
        <f>E47</f>
        <v>0.111</v>
      </c>
      <c r="F49" s="59">
        <f>((C48+D48)*E49/360*B48)+((C49+D49)*E49/360*B49)</f>
        <v>11315064.966666667</v>
      </c>
      <c r="G49" s="59"/>
      <c r="H49" s="122"/>
      <c r="I49" s="127"/>
    </row>
    <row r="50" spans="1:9" ht="12.75">
      <c r="A50" s="121">
        <v>40175</v>
      </c>
      <c r="B50" s="122">
        <f t="shared" si="0"/>
        <v>89</v>
      </c>
      <c r="C50" s="59">
        <f t="shared" si="1"/>
        <v>359388000</v>
      </c>
      <c r="D50" s="59">
        <f>D48</f>
        <v>19966000</v>
      </c>
      <c r="E50" s="126"/>
      <c r="F50" s="122"/>
      <c r="G50" s="59"/>
      <c r="H50" s="122"/>
      <c r="I50" s="127"/>
    </row>
    <row r="51" spans="1:9" ht="12.75">
      <c r="A51" s="128">
        <v>40178</v>
      </c>
      <c r="B51" s="129">
        <f t="shared" si="0"/>
        <v>3</v>
      </c>
      <c r="C51" s="130">
        <f t="shared" si="1"/>
        <v>359388000</v>
      </c>
      <c r="D51" s="130"/>
      <c r="E51" s="131">
        <f>E49</f>
        <v>0.111</v>
      </c>
      <c r="F51" s="130">
        <f>((C50+D50)*E51/360*B50)+((C51+D51)*E51/360*B51)</f>
        <v>10742539.916666668</v>
      </c>
      <c r="G51" s="132">
        <f>SUM(F45:F51)</f>
        <v>45980533.31666666</v>
      </c>
      <c r="H51" s="132">
        <f>SUM(D44:D51)</f>
        <v>79864000</v>
      </c>
      <c r="I51" s="133">
        <f>SUM(G51:H51)</f>
        <v>125844533.31666666</v>
      </c>
    </row>
    <row r="52" spans="1:9" ht="12.75">
      <c r="A52" s="134">
        <v>40265</v>
      </c>
      <c r="B52" s="135">
        <f t="shared" si="0"/>
        <v>87</v>
      </c>
      <c r="C52" s="60">
        <f t="shared" si="1"/>
        <v>339422000</v>
      </c>
      <c r="D52" s="60">
        <f>D50</f>
        <v>19966000</v>
      </c>
      <c r="E52" s="136"/>
      <c r="F52" s="135"/>
      <c r="G52" s="60"/>
      <c r="H52" s="135"/>
      <c r="I52" s="137"/>
    </row>
    <row r="53" spans="1:9" ht="12.75">
      <c r="A53" s="121">
        <v>40268</v>
      </c>
      <c r="B53" s="122">
        <f t="shared" si="0"/>
        <v>3</v>
      </c>
      <c r="C53" s="59">
        <f t="shared" si="1"/>
        <v>339422000</v>
      </c>
      <c r="D53" s="59"/>
      <c r="E53" s="123">
        <f>E51</f>
        <v>0.111</v>
      </c>
      <c r="F53" s="59">
        <f>((C52+D52)*E53/360*B52)+((C53+D53)*E53/360*B53)</f>
        <v>9954548.45</v>
      </c>
      <c r="G53" s="59"/>
      <c r="H53" s="122"/>
      <c r="I53" s="127"/>
    </row>
    <row r="54" spans="1:9" ht="12.75">
      <c r="A54" s="121">
        <v>40357</v>
      </c>
      <c r="B54" s="122">
        <f t="shared" si="0"/>
        <v>89</v>
      </c>
      <c r="C54" s="59">
        <f t="shared" si="1"/>
        <v>319456000</v>
      </c>
      <c r="D54" s="59">
        <f>D52</f>
        <v>19966000</v>
      </c>
      <c r="E54" s="123"/>
      <c r="F54" s="59"/>
      <c r="G54" s="59"/>
      <c r="H54" s="122"/>
      <c r="I54" s="127"/>
    </row>
    <row r="55" spans="1:9" ht="12.75">
      <c r="A55" s="121">
        <v>40359</v>
      </c>
      <c r="B55" s="122">
        <f t="shared" si="0"/>
        <v>2</v>
      </c>
      <c r="C55" s="59">
        <f t="shared" si="1"/>
        <v>319456000</v>
      </c>
      <c r="D55" s="59"/>
      <c r="E55" s="123">
        <f>E53</f>
        <v>0.111</v>
      </c>
      <c r="F55" s="59">
        <f>((C54+D54)*E55/360*B54)+((C55+D55)*E55/360*B55)</f>
        <v>9511303.25</v>
      </c>
      <c r="G55" s="59"/>
      <c r="H55" s="122"/>
      <c r="I55" s="127"/>
    </row>
    <row r="56" spans="1:9" ht="12.75">
      <c r="A56" s="121">
        <v>40449</v>
      </c>
      <c r="B56" s="122">
        <f t="shared" si="0"/>
        <v>90</v>
      </c>
      <c r="C56" s="59">
        <f t="shared" si="1"/>
        <v>299490000</v>
      </c>
      <c r="D56" s="59">
        <f>D54</f>
        <v>19966000</v>
      </c>
      <c r="E56" s="123"/>
      <c r="F56" s="59"/>
      <c r="G56" s="59"/>
      <c r="H56" s="122"/>
      <c r="I56" s="127"/>
    </row>
    <row r="57" spans="1:9" ht="12.75">
      <c r="A57" s="121">
        <v>40451</v>
      </c>
      <c r="B57" s="122">
        <f t="shared" si="0"/>
        <v>2</v>
      </c>
      <c r="C57" s="59">
        <f t="shared" si="1"/>
        <v>299490000</v>
      </c>
      <c r="D57" s="59"/>
      <c r="E57" s="123">
        <f>E55</f>
        <v>0.111</v>
      </c>
      <c r="F57" s="59">
        <f>((C56+D56)*E57/360*B56)+((C57+D57)*E57/360*B57)</f>
        <v>9049589.5</v>
      </c>
      <c r="G57" s="59"/>
      <c r="H57" s="122"/>
      <c r="I57" s="127"/>
    </row>
    <row r="58" spans="1:9" ht="12.75">
      <c r="A58" s="121">
        <v>40540</v>
      </c>
      <c r="B58" s="122">
        <f t="shared" si="0"/>
        <v>89</v>
      </c>
      <c r="C58" s="59">
        <f>C57-D58</f>
        <v>279524000</v>
      </c>
      <c r="D58" s="59">
        <f>D56</f>
        <v>19966000</v>
      </c>
      <c r="E58" s="126"/>
      <c r="F58" s="122"/>
      <c r="G58" s="59"/>
      <c r="H58" s="122"/>
      <c r="I58" s="127"/>
    </row>
    <row r="59" spans="1:9" ht="12.75">
      <c r="A59" s="128">
        <v>40543</v>
      </c>
      <c r="B59" s="129">
        <f t="shared" si="0"/>
        <v>3</v>
      </c>
      <c r="C59" s="130">
        <f>C58-D59</f>
        <v>279524000</v>
      </c>
      <c r="D59" s="130"/>
      <c r="E59" s="131">
        <f>E57</f>
        <v>0.111</v>
      </c>
      <c r="F59" s="130">
        <f>((C58+D58)*E59/360*B58)</f>
        <v>8218504.75</v>
      </c>
      <c r="G59" s="132">
        <f>SUM(F52:F59)</f>
        <v>36733945.95</v>
      </c>
      <c r="H59" s="132">
        <f>SUM(D52:D59)</f>
        <v>79864000</v>
      </c>
      <c r="I59" s="133">
        <f>SUM(G59:H59)</f>
        <v>116597945.95</v>
      </c>
    </row>
    <row r="60" spans="1:9" ht="12.75">
      <c r="A60" s="134">
        <v>40630</v>
      </c>
      <c r="B60" s="135">
        <f t="shared" si="0"/>
        <v>87</v>
      </c>
      <c r="C60" s="60">
        <f aca="true" t="shared" si="2" ref="C60:C65">C59-D60</f>
        <v>259558000</v>
      </c>
      <c r="D60" s="60">
        <f>D58</f>
        <v>19966000</v>
      </c>
      <c r="E60" s="136"/>
      <c r="F60" s="135"/>
      <c r="G60" s="60"/>
      <c r="H60" s="135"/>
      <c r="I60" s="137"/>
    </row>
    <row r="61" spans="1:9" ht="12.75">
      <c r="A61" s="121">
        <v>40633</v>
      </c>
      <c r="B61" s="122">
        <f t="shared" si="0"/>
        <v>3</v>
      </c>
      <c r="C61" s="59">
        <f t="shared" si="2"/>
        <v>259558000</v>
      </c>
      <c r="D61" s="59"/>
      <c r="E61" s="123">
        <f>E59</f>
        <v>0.111</v>
      </c>
      <c r="F61" s="59">
        <f>((C60+D60)*E61/360*B60)+((C61+D61)*E61/360*B61)</f>
        <v>7738322.45</v>
      </c>
      <c r="G61" s="59"/>
      <c r="H61" s="122"/>
      <c r="I61" s="127"/>
    </row>
    <row r="62" spans="1:9" ht="12.75">
      <c r="A62" s="121">
        <v>40722</v>
      </c>
      <c r="B62" s="122">
        <f t="shared" si="0"/>
        <v>89</v>
      </c>
      <c r="C62" s="59">
        <f t="shared" si="2"/>
        <v>239592000</v>
      </c>
      <c r="D62" s="59">
        <f>D60</f>
        <v>19966000</v>
      </c>
      <c r="E62" s="123"/>
      <c r="F62" s="59"/>
      <c r="G62" s="59"/>
      <c r="H62" s="122"/>
      <c r="I62" s="127"/>
    </row>
    <row r="63" spans="1:9" ht="12.75">
      <c r="A63" s="121">
        <v>40724</v>
      </c>
      <c r="B63" s="122">
        <f t="shared" si="0"/>
        <v>2</v>
      </c>
      <c r="C63" s="59">
        <f t="shared" si="2"/>
        <v>239592000</v>
      </c>
      <c r="D63" s="59"/>
      <c r="E63" s="123">
        <f>E61</f>
        <v>0.111</v>
      </c>
      <c r="F63" s="59">
        <f>((C62+D62)*E63/360*B62)+((C63+D63)*E63/360*B63)</f>
        <v>7270452.516666667</v>
      </c>
      <c r="G63" s="59"/>
      <c r="H63" s="122"/>
      <c r="I63" s="127"/>
    </row>
    <row r="64" spans="1:9" ht="12.75">
      <c r="A64" s="121">
        <v>40814</v>
      </c>
      <c r="B64" s="122">
        <f t="shared" si="0"/>
        <v>90</v>
      </c>
      <c r="C64" s="59">
        <f t="shared" si="2"/>
        <v>219626000</v>
      </c>
      <c r="D64" s="59">
        <f>D62</f>
        <v>19966000</v>
      </c>
      <c r="E64" s="123"/>
      <c r="F64" s="59"/>
      <c r="G64" s="59"/>
      <c r="H64" s="122"/>
      <c r="I64" s="127"/>
    </row>
    <row r="65" spans="1:9" ht="12.75">
      <c r="A65" s="121">
        <v>40816</v>
      </c>
      <c r="B65" s="122">
        <f t="shared" si="0"/>
        <v>2</v>
      </c>
      <c r="C65" s="59">
        <f t="shared" si="2"/>
        <v>219626000</v>
      </c>
      <c r="D65" s="59"/>
      <c r="E65" s="123">
        <f>E63</f>
        <v>0.111</v>
      </c>
      <c r="F65" s="59">
        <f>((C64+D64)*E65/360*B64)+((C65+D65)*E65/360*B65)</f>
        <v>6784114.033333333</v>
      </c>
      <c r="G65" s="59"/>
      <c r="H65" s="122"/>
      <c r="I65" s="127"/>
    </row>
    <row r="66" spans="1:9" ht="12.75">
      <c r="A66" s="121">
        <v>40905</v>
      </c>
      <c r="B66" s="122">
        <f>A66-A65</f>
        <v>89</v>
      </c>
      <c r="C66" s="59">
        <f>C65-D66</f>
        <v>199660000</v>
      </c>
      <c r="D66" s="59">
        <f>D64</f>
        <v>19966000</v>
      </c>
      <c r="E66" s="126"/>
      <c r="F66" s="122"/>
      <c r="G66" s="59"/>
      <c r="H66" s="122"/>
      <c r="I66" s="127"/>
    </row>
    <row r="67" spans="1:9" ht="12.75">
      <c r="A67" s="128">
        <v>40908</v>
      </c>
      <c r="B67" s="129">
        <f>A67-A66</f>
        <v>3</v>
      </c>
      <c r="C67" s="130">
        <f>C66-D67</f>
        <v>199660000</v>
      </c>
      <c r="D67" s="130"/>
      <c r="E67" s="131">
        <f>E65</f>
        <v>0.111</v>
      </c>
      <c r="F67" s="130">
        <f>((C66+D66)*E67/360*B66)</f>
        <v>6026903.483333333</v>
      </c>
      <c r="G67" s="132">
        <f>SUM(F60:F67)</f>
        <v>27819792.483333334</v>
      </c>
      <c r="H67" s="132">
        <f>SUM(D60:D67)</f>
        <v>79864000</v>
      </c>
      <c r="I67" s="133">
        <f>SUM(G67:H67)</f>
        <v>107683792.48333333</v>
      </c>
    </row>
    <row r="68" spans="1:9" ht="12.75">
      <c r="A68" s="134">
        <v>40996</v>
      </c>
      <c r="B68" s="135">
        <f aca="true" t="shared" si="3" ref="B68:B86">A68-A67</f>
        <v>88</v>
      </c>
      <c r="C68" s="60">
        <f aca="true" t="shared" si="4" ref="C68:C86">C67-D68</f>
        <v>179694000</v>
      </c>
      <c r="D68" s="60">
        <f>D66</f>
        <v>19966000</v>
      </c>
      <c r="E68" s="136"/>
      <c r="F68" s="135"/>
      <c r="G68" s="60"/>
      <c r="H68" s="135"/>
      <c r="I68" s="137"/>
    </row>
    <row r="69" spans="1:9" ht="12.75">
      <c r="A69" s="121">
        <v>40999</v>
      </c>
      <c r="B69" s="122">
        <f t="shared" si="3"/>
        <v>3</v>
      </c>
      <c r="C69" s="59">
        <f t="shared" si="4"/>
        <v>179694000</v>
      </c>
      <c r="D69" s="59"/>
      <c r="E69" s="123">
        <f>E67</f>
        <v>0.111</v>
      </c>
      <c r="F69" s="59">
        <f>((C68+D68)*E69/360*B68)+((C69+D69)*E69/360*B69)</f>
        <v>5583658.283333334</v>
      </c>
      <c r="G69" s="59"/>
      <c r="H69" s="122"/>
      <c r="I69" s="127"/>
    </row>
    <row r="70" spans="1:9" ht="12.75">
      <c r="A70" s="121">
        <v>41088</v>
      </c>
      <c r="B70" s="122">
        <f t="shared" si="3"/>
        <v>89</v>
      </c>
      <c r="C70" s="59">
        <f t="shared" si="4"/>
        <v>159728000</v>
      </c>
      <c r="D70" s="59">
        <f>D68</f>
        <v>19966000</v>
      </c>
      <c r="E70" s="123"/>
      <c r="F70" s="59"/>
      <c r="G70" s="59"/>
      <c r="H70" s="122"/>
      <c r="I70" s="127"/>
    </row>
    <row r="71" spans="1:9" ht="12.75">
      <c r="A71" s="121">
        <v>41090</v>
      </c>
      <c r="B71" s="122">
        <f t="shared" si="3"/>
        <v>2</v>
      </c>
      <c r="C71" s="59">
        <f t="shared" si="4"/>
        <v>159728000</v>
      </c>
      <c r="D71" s="59"/>
      <c r="E71" s="123">
        <f>E69</f>
        <v>0.111</v>
      </c>
      <c r="F71" s="59">
        <f>((C70+D70)*E71/360*B70)+((C71+D71)*E71/360*B71)</f>
        <v>5029601.783333334</v>
      </c>
      <c r="G71" s="59"/>
      <c r="H71" s="122"/>
      <c r="I71" s="127"/>
    </row>
    <row r="72" spans="1:9" ht="12.75">
      <c r="A72" s="121">
        <v>41180</v>
      </c>
      <c r="B72" s="122">
        <f t="shared" si="3"/>
        <v>90</v>
      </c>
      <c r="C72" s="59">
        <f t="shared" si="4"/>
        <v>139762000</v>
      </c>
      <c r="D72" s="59">
        <f>D70</f>
        <v>19966000</v>
      </c>
      <c r="E72" s="123"/>
      <c r="F72" s="59"/>
      <c r="G72" s="59"/>
      <c r="H72" s="122"/>
      <c r="I72" s="127"/>
    </row>
    <row r="73" spans="1:9" ht="12.75">
      <c r="A73" s="121">
        <v>41182</v>
      </c>
      <c r="B73" s="122">
        <f t="shared" si="3"/>
        <v>2</v>
      </c>
      <c r="C73" s="59">
        <f t="shared" si="4"/>
        <v>139762000</v>
      </c>
      <c r="D73" s="59"/>
      <c r="E73" s="123">
        <f>E71</f>
        <v>0.111</v>
      </c>
      <c r="F73" s="59">
        <f>((C72+D72)*E73/360*B72)+((C73+D73)*E73/360*B73)</f>
        <v>4518638.566666666</v>
      </c>
      <c r="G73" s="59"/>
      <c r="H73" s="122"/>
      <c r="I73" s="127"/>
    </row>
    <row r="74" spans="1:9" ht="12.75">
      <c r="A74" s="121">
        <v>41271</v>
      </c>
      <c r="B74" s="122">
        <f t="shared" si="3"/>
        <v>89</v>
      </c>
      <c r="C74" s="59">
        <f t="shared" si="4"/>
        <v>119796000</v>
      </c>
      <c r="D74" s="59">
        <f>D72</f>
        <v>19966000</v>
      </c>
      <c r="E74" s="126"/>
      <c r="F74" s="122"/>
      <c r="G74" s="59"/>
      <c r="H74" s="122"/>
      <c r="I74" s="127"/>
    </row>
    <row r="75" spans="1:9" ht="12.75">
      <c r="A75" s="128">
        <v>41274</v>
      </c>
      <c r="B75" s="129">
        <f t="shared" si="3"/>
        <v>3</v>
      </c>
      <c r="C75" s="130">
        <f t="shared" si="4"/>
        <v>119796000</v>
      </c>
      <c r="D75" s="130"/>
      <c r="E75" s="131">
        <f>E73</f>
        <v>0.111</v>
      </c>
      <c r="F75" s="130">
        <f>((C74+D74)*E75/360*B74)</f>
        <v>3835302.216666667</v>
      </c>
      <c r="G75" s="132">
        <f>SUM(F68:F75)</f>
        <v>18967200.85</v>
      </c>
      <c r="H75" s="132">
        <f>SUM(D68:D75)</f>
        <v>79864000</v>
      </c>
      <c r="I75" s="133">
        <f>SUM(G75:H75)</f>
        <v>98831200.85</v>
      </c>
    </row>
    <row r="76" spans="1:9" ht="12.75">
      <c r="A76" s="134">
        <v>41361</v>
      </c>
      <c r="B76" s="135">
        <f t="shared" si="3"/>
        <v>87</v>
      </c>
      <c r="C76" s="60">
        <f t="shared" si="4"/>
        <v>99830000</v>
      </c>
      <c r="D76" s="60">
        <f>D74</f>
        <v>19966000</v>
      </c>
      <c r="E76" s="136"/>
      <c r="F76" s="135"/>
      <c r="G76" s="60"/>
      <c r="H76" s="135"/>
      <c r="I76" s="137"/>
    </row>
    <row r="77" spans="1:9" ht="12.75">
      <c r="A77" s="121">
        <v>41364</v>
      </c>
      <c r="B77" s="122">
        <f t="shared" si="3"/>
        <v>3</v>
      </c>
      <c r="C77" s="59">
        <f t="shared" si="4"/>
        <v>99830000</v>
      </c>
      <c r="D77" s="59"/>
      <c r="E77" s="123">
        <f>E75</f>
        <v>0.111</v>
      </c>
      <c r="F77" s="59">
        <f>((C76+D76)*E77/360*B76)+((C77+D77)*E77/360*B77)</f>
        <v>3305870.4499999997</v>
      </c>
      <c r="G77" s="59"/>
      <c r="H77" s="122"/>
      <c r="I77" s="127"/>
    </row>
    <row r="78" spans="1:9" ht="12.75">
      <c r="A78" s="121">
        <v>41453</v>
      </c>
      <c r="B78" s="122">
        <f t="shared" si="3"/>
        <v>89</v>
      </c>
      <c r="C78" s="59">
        <f t="shared" si="4"/>
        <v>79864000</v>
      </c>
      <c r="D78" s="59">
        <f>D76</f>
        <v>19966000</v>
      </c>
      <c r="E78" s="123"/>
      <c r="F78" s="59"/>
      <c r="G78" s="59"/>
      <c r="H78" s="122"/>
      <c r="I78" s="127"/>
    </row>
    <row r="79" spans="1:9" ht="12.75">
      <c r="A79" s="121">
        <v>41455</v>
      </c>
      <c r="B79" s="122">
        <f t="shared" si="3"/>
        <v>2</v>
      </c>
      <c r="C79" s="59">
        <f t="shared" si="4"/>
        <v>79864000</v>
      </c>
      <c r="D79" s="59"/>
      <c r="E79" s="123">
        <f>E77</f>
        <v>0.111</v>
      </c>
      <c r="F79" s="59">
        <f>((C78+D78)*E79/360*B78)+((C79+D79)*E79/360*B79)</f>
        <v>2788751.0500000003</v>
      </c>
      <c r="G79" s="59"/>
      <c r="H79" s="122"/>
      <c r="I79" s="127"/>
    </row>
    <row r="80" spans="1:9" ht="12.75">
      <c r="A80" s="121">
        <v>41545</v>
      </c>
      <c r="B80" s="122">
        <f t="shared" si="3"/>
        <v>90</v>
      </c>
      <c r="C80" s="59">
        <f t="shared" si="4"/>
        <v>59898000</v>
      </c>
      <c r="D80" s="59">
        <f>D78</f>
        <v>19966000</v>
      </c>
      <c r="E80" s="123"/>
      <c r="F80" s="59"/>
      <c r="G80" s="138"/>
      <c r="H80" s="139"/>
      <c r="I80" s="140"/>
    </row>
    <row r="81" spans="1:9" ht="12.75">
      <c r="A81" s="121">
        <v>41547</v>
      </c>
      <c r="B81" s="122">
        <f t="shared" si="3"/>
        <v>2</v>
      </c>
      <c r="C81" s="59">
        <f t="shared" si="4"/>
        <v>59898000</v>
      </c>
      <c r="D81" s="59"/>
      <c r="E81" s="123">
        <f>E79</f>
        <v>0.111</v>
      </c>
      <c r="F81" s="59">
        <f>((C80+D80)*E81/360*B80)+((C81+D81)*E81/360*B81)</f>
        <v>2253163.1</v>
      </c>
      <c r="G81" s="138"/>
      <c r="H81" s="139"/>
      <c r="I81" s="140"/>
    </row>
    <row r="82" spans="1:9" ht="12.75">
      <c r="A82" s="121">
        <v>41636</v>
      </c>
      <c r="B82" s="122">
        <f t="shared" si="3"/>
        <v>89</v>
      </c>
      <c r="C82" s="59">
        <f t="shared" si="4"/>
        <v>39932000</v>
      </c>
      <c r="D82" s="59">
        <f>D80</f>
        <v>19966000</v>
      </c>
      <c r="E82" s="123"/>
      <c r="F82" s="59"/>
      <c r="G82" s="138"/>
      <c r="H82" s="139"/>
      <c r="I82" s="140"/>
    </row>
    <row r="83" spans="1:9" ht="12.75">
      <c r="A83" s="128">
        <v>41639</v>
      </c>
      <c r="B83" s="129">
        <f t="shared" si="3"/>
        <v>3</v>
      </c>
      <c r="C83" s="130">
        <f t="shared" si="4"/>
        <v>39932000</v>
      </c>
      <c r="D83" s="130"/>
      <c r="E83" s="131">
        <f>E81</f>
        <v>0.111</v>
      </c>
      <c r="F83" s="130">
        <f>((C82+D82)*E83/360*B82)+((C83+D83)*E83/360*B83)</f>
        <v>1680638.05</v>
      </c>
      <c r="G83" s="132">
        <f>SUM(F76:F83)</f>
        <v>10028422.65</v>
      </c>
      <c r="H83" s="132">
        <f>SUM(D76:D83)</f>
        <v>79864000</v>
      </c>
      <c r="I83" s="133">
        <f>SUM(G83:H83)</f>
        <v>89892422.65</v>
      </c>
    </row>
    <row r="84" spans="1:9" ht="12.75">
      <c r="A84" s="115">
        <v>41726</v>
      </c>
      <c r="B84" s="116">
        <f t="shared" si="3"/>
        <v>87</v>
      </c>
      <c r="C84" s="117">
        <f t="shared" si="4"/>
        <v>19966000</v>
      </c>
      <c r="D84" s="117">
        <f>D82</f>
        <v>19966000</v>
      </c>
      <c r="E84" s="141"/>
      <c r="F84" s="116"/>
      <c r="G84" s="142"/>
      <c r="H84" s="143"/>
      <c r="I84" s="144"/>
    </row>
    <row r="85" spans="1:9" ht="12.75">
      <c r="A85" s="121">
        <v>41729</v>
      </c>
      <c r="B85" s="122">
        <f t="shared" si="3"/>
        <v>3</v>
      </c>
      <c r="C85" s="59">
        <f t="shared" si="4"/>
        <v>19966000</v>
      </c>
      <c r="D85" s="59"/>
      <c r="E85" s="123">
        <f>E83</f>
        <v>0.111</v>
      </c>
      <c r="F85" s="59">
        <f>((C84+D84)*E85/360*B84)+((C85+D85)*E85/360*B85)</f>
        <v>1089644.45</v>
      </c>
      <c r="G85" s="59"/>
      <c r="H85" s="122"/>
      <c r="I85" s="127"/>
    </row>
    <row r="86" spans="1:9" ht="13.5" thickBot="1">
      <c r="A86" s="145">
        <v>41818</v>
      </c>
      <c r="B86" s="146">
        <f t="shared" si="3"/>
        <v>89</v>
      </c>
      <c r="C86" s="147">
        <f t="shared" si="4"/>
        <v>0</v>
      </c>
      <c r="D86" s="147">
        <f>D84</f>
        <v>19966000</v>
      </c>
      <c r="E86" s="148">
        <f>E79</f>
        <v>0.111</v>
      </c>
      <c r="F86" s="147">
        <f>(C86+D86)*E86/360*B86</f>
        <v>547900.3166666667</v>
      </c>
      <c r="G86" s="149">
        <f>SUM(F84:F86)</f>
        <v>1637544.7666666666</v>
      </c>
      <c r="H86" s="149">
        <f>SUM(D84:D86)</f>
        <v>39932000</v>
      </c>
      <c r="I86" s="150">
        <f>SUM(G86:H86)</f>
        <v>41569544.766666666</v>
      </c>
    </row>
    <row r="87" spans="1:9" ht="13.5" thickTop="1">
      <c r="A87" s="353" t="s">
        <v>14</v>
      </c>
      <c r="B87" s="354"/>
      <c r="C87" s="355"/>
      <c r="D87" s="151">
        <f>SUM(D8:D86)</f>
        <v>718793000</v>
      </c>
      <c r="E87" s="152"/>
      <c r="F87" s="151">
        <f>SUM(F8:F86)</f>
        <v>432145134.9855667</v>
      </c>
      <c r="G87" s="151">
        <f>SUM(G8:G86)</f>
        <v>432145134.9855667</v>
      </c>
      <c r="H87" s="151">
        <f>SUM(H8:H86)</f>
        <v>718793000</v>
      </c>
      <c r="I87" s="153">
        <f>SUM(I8:I86)</f>
        <v>1150938134.9855666</v>
      </c>
    </row>
    <row r="88" ht="12.75">
      <c r="A88" s="154"/>
    </row>
    <row r="89" ht="12.75">
      <c r="A89" s="154"/>
    </row>
    <row r="90" spans="2:7" ht="12.75">
      <c r="B90" s="89" t="s">
        <v>126</v>
      </c>
      <c r="D90" s="89"/>
      <c r="E90" s="156" t="s">
        <v>130</v>
      </c>
      <c r="G90" s="157">
        <v>212164432</v>
      </c>
    </row>
    <row r="91" spans="2:7" ht="12.75">
      <c r="B91" s="89" t="s">
        <v>131</v>
      </c>
      <c r="D91" s="89"/>
      <c r="E91" s="156" t="s">
        <v>127</v>
      </c>
      <c r="G91" s="157">
        <f>C11-C9</f>
        <v>253314284</v>
      </c>
    </row>
    <row r="92" spans="2:7" ht="13.5" thickBot="1">
      <c r="B92" s="89" t="s">
        <v>132</v>
      </c>
      <c r="D92" s="89"/>
      <c r="E92" s="156" t="s">
        <v>169</v>
      </c>
      <c r="G92" s="157">
        <f>C12-C11</f>
        <v>253314284</v>
      </c>
    </row>
    <row r="93" spans="2:7" ht="13.5" thickTop="1">
      <c r="B93" s="158" t="s">
        <v>14</v>
      </c>
      <c r="C93" s="164"/>
      <c r="D93" s="158"/>
      <c r="E93" s="159"/>
      <c r="F93" s="160"/>
      <c r="G93" s="161">
        <f>SUM(G90:G92)</f>
        <v>718793000</v>
      </c>
    </row>
  </sheetData>
  <mergeCells count="1">
    <mergeCell ref="A87:C87"/>
  </mergeCells>
  <printOptions horizontalCentered="1"/>
  <pageMargins left="0.5905511811023623" right="0.5905511811023623" top="0.7874015748031497" bottom="0.5905511811023623" header="0.1968503937007874" footer="0.1968503937007874"/>
  <pageSetup horizontalDpi="150" verticalDpi="150" orientation="portrait" paperSize="9" scale="90" r:id="rId1"/>
  <headerFooter alignWithMargins="0">
    <oddHeader xml:space="preserve">&amp;C&amp;"Times New Roman CE,Félkövér"&amp;12Adósságszolgálat számítása az OTP tájékoztatása alapján 
&amp;"Times New Roman CE,Félkövér dőlt"2004. szeptemberben, októberben és decemberben felvételre tervezett 718.793 eFt  célhitel </oddHeader>
    <oddFooter>&amp;LNyomtatás dátuma: &amp;D
C:\Andi\adósságszolgálat\&amp;F\&amp;A&amp;R&amp;P/&amp;N</oddFooter>
  </headerFooter>
  <rowBreaks count="1" manualBreakCount="1">
    <brk id="5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85"/>
  <sheetViews>
    <sheetView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10.125" style="89" customWidth="1"/>
    <col min="2" max="2" width="7.00390625" style="89" customWidth="1"/>
    <col min="3" max="3" width="11.875" style="89" customWidth="1"/>
    <col min="4" max="4" width="12.625" style="89" customWidth="1"/>
    <col min="5" max="5" width="9.50390625" style="89" customWidth="1"/>
    <col min="6" max="7" width="11.50390625" style="89" customWidth="1"/>
    <col min="8" max="8" width="12.375" style="89" customWidth="1"/>
    <col min="9" max="9" width="12.625" style="89" customWidth="1"/>
    <col min="10" max="10" width="9.375" style="89" customWidth="1"/>
    <col min="11" max="11" width="10.125" style="89" bestFit="1" customWidth="1"/>
    <col min="12" max="16384" width="9.375" style="89" customWidth="1"/>
  </cols>
  <sheetData>
    <row r="1" spans="1:9" ht="12.75">
      <c r="A1" s="167" t="s">
        <v>114</v>
      </c>
      <c r="B1" s="168"/>
      <c r="C1" s="167"/>
      <c r="D1" s="167"/>
      <c r="F1" s="167"/>
      <c r="G1" s="167"/>
      <c r="H1" s="167"/>
      <c r="I1" s="167"/>
    </row>
    <row r="2" spans="1:9" s="170" customFormat="1" ht="12.75">
      <c r="A2" s="169" t="s">
        <v>17</v>
      </c>
      <c r="B2" s="169"/>
      <c r="C2" s="169"/>
      <c r="D2" s="169"/>
      <c r="E2" s="169"/>
      <c r="I2" s="169"/>
    </row>
    <row r="3" spans="1:9" s="170" customFormat="1" ht="12.75">
      <c r="A3" s="171" t="s">
        <v>71</v>
      </c>
      <c r="C3" s="169"/>
      <c r="D3" s="169"/>
      <c r="E3" s="169"/>
      <c r="F3" s="169"/>
      <c r="G3" s="169"/>
      <c r="H3" s="169"/>
      <c r="I3" s="169"/>
    </row>
    <row r="4" spans="1:9" ht="12.75">
      <c r="A4" s="172"/>
      <c r="B4" s="170"/>
      <c r="C4" s="169"/>
      <c r="D4" s="169"/>
      <c r="E4" s="169"/>
      <c r="F4" s="169"/>
      <c r="G4" s="169"/>
      <c r="H4" s="169"/>
      <c r="I4" s="169" t="s">
        <v>2</v>
      </c>
    </row>
    <row r="5" spans="1:9" ht="12.75">
      <c r="A5" s="97" t="s">
        <v>3</v>
      </c>
      <c r="B5" s="98" t="s">
        <v>4</v>
      </c>
      <c r="C5" s="99" t="s">
        <v>5</v>
      </c>
      <c r="D5" s="99" t="s">
        <v>21</v>
      </c>
      <c r="E5" s="99" t="s">
        <v>121</v>
      </c>
      <c r="F5" s="100" t="s">
        <v>20</v>
      </c>
      <c r="G5" s="101" t="s">
        <v>6</v>
      </c>
      <c r="H5" s="101" t="s">
        <v>6</v>
      </c>
      <c r="I5" s="102" t="s">
        <v>6</v>
      </c>
    </row>
    <row r="6" spans="1:9" ht="12.75">
      <c r="A6" s="103"/>
      <c r="B6" s="104" t="s">
        <v>7</v>
      </c>
      <c r="C6" s="105" t="s">
        <v>8</v>
      </c>
      <c r="D6" s="105" t="s">
        <v>13</v>
      </c>
      <c r="E6" s="105" t="s">
        <v>19</v>
      </c>
      <c r="F6" s="106" t="s">
        <v>13</v>
      </c>
      <c r="G6" s="107" t="s">
        <v>9</v>
      </c>
      <c r="H6" s="107" t="s">
        <v>11</v>
      </c>
      <c r="I6" s="108" t="s">
        <v>10</v>
      </c>
    </row>
    <row r="7" spans="1:9" ht="12.75">
      <c r="A7" s="109"/>
      <c r="B7" s="110"/>
      <c r="C7" s="111"/>
      <c r="D7" s="111"/>
      <c r="E7" s="173"/>
      <c r="F7" s="112"/>
      <c r="G7" s="112"/>
      <c r="H7" s="113" t="s">
        <v>13</v>
      </c>
      <c r="I7" s="114" t="s">
        <v>12</v>
      </c>
    </row>
    <row r="8" spans="1:9" ht="12.75">
      <c r="A8" s="115">
        <v>37236</v>
      </c>
      <c r="B8" s="174"/>
      <c r="C8" s="175">
        <v>107411000</v>
      </c>
      <c r="D8" s="60"/>
      <c r="E8" s="176"/>
      <c r="F8" s="176"/>
      <c r="G8" s="177"/>
      <c r="H8" s="177"/>
      <c r="I8" s="178"/>
    </row>
    <row r="9" spans="1:9" ht="12.75">
      <c r="A9" s="179">
        <v>37253</v>
      </c>
      <c r="B9" s="129">
        <f aca="true" t="shared" si="0" ref="B9:B72">A9-A8</f>
        <v>17</v>
      </c>
      <c r="C9" s="180">
        <f>C8-D9</f>
        <v>107411000</v>
      </c>
      <c r="D9" s="130"/>
      <c r="E9" s="131">
        <v>0.0478</v>
      </c>
      <c r="F9" s="181">
        <v>189043</v>
      </c>
      <c r="G9" s="182">
        <f>SUM(F8:F9)</f>
        <v>189043</v>
      </c>
      <c r="H9" s="182">
        <f>SUM(D8:D9)</f>
        <v>0</v>
      </c>
      <c r="I9" s="183">
        <f>SUM(G9:H9)</f>
        <v>189043</v>
      </c>
    </row>
    <row r="10" spans="1:9" ht="12.75">
      <c r="A10" s="134">
        <v>37344</v>
      </c>
      <c r="B10" s="116">
        <f t="shared" si="0"/>
        <v>91</v>
      </c>
      <c r="C10" s="176">
        <f aca="true" t="shared" si="1" ref="C10:C73">C9-D10</f>
        <v>107411000</v>
      </c>
      <c r="D10" s="176"/>
      <c r="E10" s="184">
        <v>0.0456</v>
      </c>
      <c r="F10" s="176">
        <v>684195</v>
      </c>
      <c r="G10" s="177"/>
      <c r="H10" s="177"/>
      <c r="I10" s="178"/>
    </row>
    <row r="11" spans="1:9" ht="12.75">
      <c r="A11" s="115">
        <v>37437</v>
      </c>
      <c r="B11" s="122">
        <f t="shared" si="0"/>
        <v>93</v>
      </c>
      <c r="C11" s="175">
        <f t="shared" si="1"/>
        <v>107411000</v>
      </c>
      <c r="D11" s="175"/>
      <c r="E11" s="84">
        <v>0.0444</v>
      </c>
      <c r="F11" s="175">
        <v>852038</v>
      </c>
      <c r="G11" s="185"/>
      <c r="H11" s="185"/>
      <c r="I11" s="186"/>
    </row>
    <row r="12" spans="1:9" ht="12.75">
      <c r="A12" s="115">
        <v>37527</v>
      </c>
      <c r="B12" s="122">
        <f t="shared" si="0"/>
        <v>90</v>
      </c>
      <c r="C12" s="175">
        <f t="shared" si="1"/>
        <v>104440000</v>
      </c>
      <c r="D12" s="175">
        <v>2971000</v>
      </c>
      <c r="E12" s="84"/>
      <c r="F12" s="175"/>
      <c r="G12" s="185"/>
      <c r="H12" s="185"/>
      <c r="I12" s="186"/>
    </row>
    <row r="13" spans="1:9" ht="12.75">
      <c r="A13" s="115">
        <v>37529</v>
      </c>
      <c r="B13" s="122">
        <f t="shared" si="0"/>
        <v>2</v>
      </c>
      <c r="C13" s="175">
        <f t="shared" si="1"/>
        <v>104440000</v>
      </c>
      <c r="D13" s="175"/>
      <c r="E13" s="84">
        <v>0.0424</v>
      </c>
      <c r="F13" s="175">
        <v>907504</v>
      </c>
      <c r="G13" s="185"/>
      <c r="H13" s="185"/>
      <c r="I13" s="186"/>
    </row>
    <row r="14" spans="1:9" ht="12.75">
      <c r="A14" s="115">
        <v>37618</v>
      </c>
      <c r="B14" s="122">
        <f t="shared" si="0"/>
        <v>89</v>
      </c>
      <c r="C14" s="175">
        <f t="shared" si="1"/>
        <v>101456000</v>
      </c>
      <c r="D14" s="175">
        <v>2984000</v>
      </c>
      <c r="E14" s="84"/>
      <c r="F14" s="175"/>
      <c r="G14" s="185"/>
      <c r="H14" s="185"/>
      <c r="I14" s="186"/>
    </row>
    <row r="15" spans="1:9" ht="12.75">
      <c r="A15" s="179">
        <v>37621</v>
      </c>
      <c r="B15" s="129">
        <f t="shared" si="0"/>
        <v>3</v>
      </c>
      <c r="C15" s="180">
        <f t="shared" si="1"/>
        <v>101456000</v>
      </c>
      <c r="D15" s="180"/>
      <c r="E15" s="131">
        <v>0.0427</v>
      </c>
      <c r="F15" s="175">
        <v>956408</v>
      </c>
      <c r="G15" s="187">
        <f>SUM(F10:F15)</f>
        <v>3400145</v>
      </c>
      <c r="H15" s="187">
        <f>SUM(D10:D15)</f>
        <v>5955000</v>
      </c>
      <c r="I15" s="188">
        <f>SUM(G15:H15)</f>
        <v>9355145</v>
      </c>
    </row>
    <row r="16" spans="1:9" ht="12.75">
      <c r="A16" s="134">
        <v>37708</v>
      </c>
      <c r="B16" s="116">
        <f t="shared" si="0"/>
        <v>87</v>
      </c>
      <c r="C16" s="176">
        <f t="shared" si="1"/>
        <v>98472000</v>
      </c>
      <c r="D16" s="175">
        <v>2984000</v>
      </c>
      <c r="E16" s="84"/>
      <c r="F16" s="176"/>
      <c r="G16" s="177"/>
      <c r="H16" s="177"/>
      <c r="I16" s="178"/>
    </row>
    <row r="17" spans="1:11" ht="12.75">
      <c r="A17" s="115">
        <v>37711</v>
      </c>
      <c r="B17" s="122">
        <f t="shared" si="0"/>
        <v>3</v>
      </c>
      <c r="C17" s="175">
        <f t="shared" si="1"/>
        <v>98472000</v>
      </c>
      <c r="D17" s="175"/>
      <c r="E17" s="84">
        <v>0.0369</v>
      </c>
      <c r="F17" s="175">
        <v>819438</v>
      </c>
      <c r="G17" s="185"/>
      <c r="H17" s="185"/>
      <c r="I17" s="186"/>
      <c r="K17" s="155"/>
    </row>
    <row r="18" spans="1:9" ht="12.75">
      <c r="A18" s="115">
        <v>37800</v>
      </c>
      <c r="B18" s="122">
        <f t="shared" si="0"/>
        <v>89</v>
      </c>
      <c r="C18" s="175">
        <f t="shared" si="1"/>
        <v>95488000</v>
      </c>
      <c r="D18" s="175">
        <f>D16</f>
        <v>2984000</v>
      </c>
      <c r="E18" s="84"/>
      <c r="F18" s="175"/>
      <c r="G18" s="185"/>
      <c r="H18" s="185"/>
      <c r="I18" s="186"/>
    </row>
    <row r="19" spans="1:11" ht="12.75">
      <c r="A19" s="115">
        <v>37802</v>
      </c>
      <c r="B19" s="122">
        <f t="shared" si="0"/>
        <v>2</v>
      </c>
      <c r="C19" s="175">
        <f t="shared" si="1"/>
        <v>95488000</v>
      </c>
      <c r="D19" s="175"/>
      <c r="E19" s="84">
        <v>0.0356</v>
      </c>
      <c r="F19" s="175">
        <f>488996+248915</f>
        <v>737911</v>
      </c>
      <c r="G19" s="185"/>
      <c r="H19" s="185"/>
      <c r="I19" s="186"/>
      <c r="K19" s="155"/>
    </row>
    <row r="20" spans="1:9" ht="12.75">
      <c r="A20" s="115">
        <v>37892</v>
      </c>
      <c r="B20" s="122">
        <f t="shared" si="0"/>
        <v>90</v>
      </c>
      <c r="C20" s="175">
        <f t="shared" si="1"/>
        <v>92504000</v>
      </c>
      <c r="D20" s="175">
        <f>D16</f>
        <v>2984000</v>
      </c>
      <c r="E20" s="84"/>
      <c r="F20" s="175"/>
      <c r="G20" s="185"/>
      <c r="H20" s="185"/>
      <c r="I20" s="186"/>
    </row>
    <row r="21" spans="1:9" ht="12.75">
      <c r="A21" s="115">
        <v>37894</v>
      </c>
      <c r="B21" s="122">
        <f t="shared" si="0"/>
        <v>2</v>
      </c>
      <c r="C21" s="175">
        <f t="shared" si="1"/>
        <v>92504000</v>
      </c>
      <c r="D21" s="175"/>
      <c r="E21" s="84">
        <v>0.0584</v>
      </c>
      <c r="F21" s="175">
        <v>1418090</v>
      </c>
      <c r="G21" s="185"/>
      <c r="H21" s="185"/>
      <c r="I21" s="186"/>
    </row>
    <row r="22" spans="1:9" ht="12.75">
      <c r="A22" s="115">
        <v>37983</v>
      </c>
      <c r="B22" s="122">
        <f t="shared" si="0"/>
        <v>89</v>
      </c>
      <c r="C22" s="175">
        <f t="shared" si="1"/>
        <v>89520000</v>
      </c>
      <c r="D22" s="175">
        <f>D16</f>
        <v>2984000</v>
      </c>
      <c r="E22" s="84"/>
      <c r="F22" s="175"/>
      <c r="G22" s="185"/>
      <c r="H22" s="185"/>
      <c r="I22" s="186"/>
    </row>
    <row r="23" spans="1:9" ht="12.75">
      <c r="A23" s="179">
        <v>37986</v>
      </c>
      <c r="B23" s="129">
        <f t="shared" si="0"/>
        <v>3</v>
      </c>
      <c r="C23" s="180">
        <f t="shared" si="1"/>
        <v>89520000</v>
      </c>
      <c r="D23" s="180"/>
      <c r="E23" s="131">
        <v>0.057</v>
      </c>
      <c r="F23" s="175">
        <f>1134164+236150</f>
        <v>1370314</v>
      </c>
      <c r="G23" s="187">
        <f>SUM(F17:F23)</f>
        <v>4345753</v>
      </c>
      <c r="H23" s="187">
        <f>SUM(D16:D23)</f>
        <v>11936000</v>
      </c>
      <c r="I23" s="188">
        <f>SUM(G23:H23)</f>
        <v>16281753</v>
      </c>
    </row>
    <row r="24" spans="1:9" ht="12.75">
      <c r="A24" s="134">
        <v>38074</v>
      </c>
      <c r="B24" s="116">
        <f t="shared" si="0"/>
        <v>88</v>
      </c>
      <c r="C24" s="176">
        <f t="shared" si="1"/>
        <v>86536000</v>
      </c>
      <c r="D24" s="175">
        <f>D16</f>
        <v>2984000</v>
      </c>
      <c r="E24" s="84"/>
      <c r="F24" s="176"/>
      <c r="G24" s="177"/>
      <c r="H24" s="177"/>
      <c r="I24" s="178"/>
    </row>
    <row r="25" spans="1:9" ht="12.75">
      <c r="A25" s="115">
        <v>38077</v>
      </c>
      <c r="B25" s="122">
        <f t="shared" si="0"/>
        <v>3</v>
      </c>
      <c r="C25" s="175">
        <f t="shared" si="1"/>
        <v>86536000</v>
      </c>
      <c r="D25" s="175"/>
      <c r="E25" s="84">
        <v>0.06</v>
      </c>
      <c r="F25" s="175">
        <f>((C24+D24)*E25/360*B24)+((C25+D25)*E25/360*B25)</f>
        <v>1356228</v>
      </c>
      <c r="G25" s="185"/>
      <c r="H25" s="185"/>
      <c r="I25" s="186"/>
    </row>
    <row r="26" spans="1:9" ht="12.75">
      <c r="A26" s="115">
        <v>38166</v>
      </c>
      <c r="B26" s="122">
        <f t="shared" si="0"/>
        <v>89</v>
      </c>
      <c r="C26" s="175">
        <f t="shared" si="1"/>
        <v>83552000</v>
      </c>
      <c r="D26" s="175">
        <f>D16</f>
        <v>2984000</v>
      </c>
      <c r="E26" s="84"/>
      <c r="F26" s="175"/>
      <c r="G26" s="185"/>
      <c r="H26" s="185"/>
      <c r="I26" s="186"/>
    </row>
    <row r="27" spans="1:9" ht="12.75">
      <c r="A27" s="115">
        <v>38168</v>
      </c>
      <c r="B27" s="122">
        <f t="shared" si="0"/>
        <v>2</v>
      </c>
      <c r="C27" s="175">
        <f t="shared" si="1"/>
        <v>83552000</v>
      </c>
      <c r="D27" s="175"/>
      <c r="E27" s="84">
        <v>0.06</v>
      </c>
      <c r="F27" s="175">
        <f>((C26+D26)*E27/360*B26)+((C27+D27)*E27/360*B27)</f>
        <v>1311468</v>
      </c>
      <c r="G27" s="185"/>
      <c r="H27" s="185"/>
      <c r="I27" s="186"/>
    </row>
    <row r="28" spans="1:9" ht="12.75">
      <c r="A28" s="115">
        <v>38258</v>
      </c>
      <c r="B28" s="122">
        <f t="shared" si="0"/>
        <v>90</v>
      </c>
      <c r="C28" s="175">
        <f t="shared" si="1"/>
        <v>80568000</v>
      </c>
      <c r="D28" s="175">
        <f>D16</f>
        <v>2984000</v>
      </c>
      <c r="E28" s="84"/>
      <c r="F28" s="175"/>
      <c r="G28" s="185"/>
      <c r="H28" s="185"/>
      <c r="I28" s="186"/>
    </row>
    <row r="29" spans="1:9" ht="12.75">
      <c r="A29" s="115">
        <v>38260</v>
      </c>
      <c r="B29" s="122">
        <f t="shared" si="0"/>
        <v>2</v>
      </c>
      <c r="C29" s="175">
        <f t="shared" si="1"/>
        <v>80568000</v>
      </c>
      <c r="D29" s="175"/>
      <c r="E29" s="84">
        <f>E27</f>
        <v>0.06</v>
      </c>
      <c r="F29" s="175">
        <f>((C28+D28)*E29/360*B28)+((C29+D29)*E29/360*B29)</f>
        <v>1280136</v>
      </c>
      <c r="G29" s="185"/>
      <c r="H29" s="185"/>
      <c r="I29" s="186"/>
    </row>
    <row r="30" spans="1:9" ht="12.75">
      <c r="A30" s="115">
        <v>38349</v>
      </c>
      <c r="B30" s="122">
        <f t="shared" si="0"/>
        <v>89</v>
      </c>
      <c r="C30" s="175">
        <f t="shared" si="1"/>
        <v>77584000</v>
      </c>
      <c r="D30" s="175">
        <f>D16</f>
        <v>2984000</v>
      </c>
      <c r="E30" s="84"/>
      <c r="F30" s="175"/>
      <c r="G30" s="185"/>
      <c r="H30" s="185"/>
      <c r="I30" s="186"/>
    </row>
    <row r="31" spans="1:9" ht="12.75">
      <c r="A31" s="179">
        <v>38352</v>
      </c>
      <c r="B31" s="129">
        <f t="shared" si="0"/>
        <v>3</v>
      </c>
      <c r="C31" s="180">
        <f t="shared" si="1"/>
        <v>77584000</v>
      </c>
      <c r="D31" s="180"/>
      <c r="E31" s="131">
        <v>0.0408</v>
      </c>
      <c r="F31" s="175">
        <f>((C30+D30)*E31/360*B30)+((C31+D31)*E31/360*B31)</f>
        <v>839041.1200000001</v>
      </c>
      <c r="G31" s="187">
        <f>SUM(F25:F31)</f>
        <v>4786873.12</v>
      </c>
      <c r="H31" s="187">
        <f>SUM(D24:D31)</f>
        <v>11936000</v>
      </c>
      <c r="I31" s="188">
        <f>SUM(G31:H31)</f>
        <v>16722873.120000001</v>
      </c>
    </row>
    <row r="32" spans="1:9" ht="12.75">
      <c r="A32" s="134">
        <v>38439</v>
      </c>
      <c r="B32" s="116">
        <f t="shared" si="0"/>
        <v>87</v>
      </c>
      <c r="C32" s="176">
        <f t="shared" si="1"/>
        <v>74600000</v>
      </c>
      <c r="D32" s="175">
        <f>D16</f>
        <v>2984000</v>
      </c>
      <c r="E32" s="84"/>
      <c r="F32" s="176"/>
      <c r="G32" s="177"/>
      <c r="H32" s="177"/>
      <c r="I32" s="178"/>
    </row>
    <row r="33" spans="1:9" ht="12.75">
      <c r="A33" s="115">
        <v>38442</v>
      </c>
      <c r="B33" s="122">
        <f t="shared" si="0"/>
        <v>3</v>
      </c>
      <c r="C33" s="175">
        <f t="shared" si="1"/>
        <v>74600000</v>
      </c>
      <c r="D33" s="175"/>
      <c r="E33" s="84">
        <f>E31</f>
        <v>0.0408</v>
      </c>
      <c r="F33" s="175">
        <f>((C32+D32)*E33/360*B32)+((C33+D33)*E33/360*B33)</f>
        <v>790342.2400000001</v>
      </c>
      <c r="G33" s="185"/>
      <c r="H33" s="185"/>
      <c r="I33" s="186"/>
    </row>
    <row r="34" spans="1:9" ht="12.75">
      <c r="A34" s="115">
        <v>38531</v>
      </c>
      <c r="B34" s="122">
        <f t="shared" si="0"/>
        <v>89</v>
      </c>
      <c r="C34" s="175">
        <f t="shared" si="1"/>
        <v>71616000</v>
      </c>
      <c r="D34" s="175">
        <f>D16</f>
        <v>2984000</v>
      </c>
      <c r="E34" s="84"/>
      <c r="F34" s="175"/>
      <c r="G34" s="185"/>
      <c r="H34" s="185"/>
      <c r="I34" s="186"/>
    </row>
    <row r="35" spans="1:9" ht="12.75">
      <c r="A35" s="115">
        <v>38533</v>
      </c>
      <c r="B35" s="122">
        <f t="shared" si="0"/>
        <v>2</v>
      </c>
      <c r="C35" s="175">
        <f t="shared" si="1"/>
        <v>71616000</v>
      </c>
      <c r="D35" s="175"/>
      <c r="E35" s="84">
        <f>E33</f>
        <v>0.0408</v>
      </c>
      <c r="F35" s="175">
        <f>((C34+D34)*E35/360*B34)+((C35+D35)*E35/360*B35)</f>
        <v>768698.2933333332</v>
      </c>
      <c r="G35" s="185"/>
      <c r="H35" s="185"/>
      <c r="I35" s="186"/>
    </row>
    <row r="36" spans="1:9" ht="12.75">
      <c r="A36" s="115">
        <v>38623</v>
      </c>
      <c r="B36" s="122">
        <f t="shared" si="0"/>
        <v>90</v>
      </c>
      <c r="C36" s="175">
        <f t="shared" si="1"/>
        <v>68632000</v>
      </c>
      <c r="D36" s="175">
        <f>D16</f>
        <v>2984000</v>
      </c>
      <c r="E36" s="84"/>
      <c r="F36" s="175"/>
      <c r="G36" s="185"/>
      <c r="H36" s="185"/>
      <c r="I36" s="186"/>
    </row>
    <row r="37" spans="1:9" ht="12.75">
      <c r="A37" s="115">
        <v>38625</v>
      </c>
      <c r="B37" s="122">
        <f t="shared" si="0"/>
        <v>2</v>
      </c>
      <c r="C37" s="175">
        <f t="shared" si="1"/>
        <v>68632000</v>
      </c>
      <c r="D37" s="175"/>
      <c r="E37" s="84">
        <f>E35</f>
        <v>0.0408</v>
      </c>
      <c r="F37" s="175">
        <f>((C36+D36)*E37/360*B36)+((C37+D37)*E37/360*B37)</f>
        <v>746039.7866666667</v>
      </c>
      <c r="G37" s="185"/>
      <c r="H37" s="185"/>
      <c r="I37" s="186"/>
    </row>
    <row r="38" spans="1:9" ht="12.75">
      <c r="A38" s="115">
        <v>38714</v>
      </c>
      <c r="B38" s="122">
        <f t="shared" si="0"/>
        <v>89</v>
      </c>
      <c r="C38" s="175">
        <f t="shared" si="1"/>
        <v>65648000</v>
      </c>
      <c r="D38" s="175">
        <f>D16</f>
        <v>2984000</v>
      </c>
      <c r="E38" s="84"/>
      <c r="F38" s="175"/>
      <c r="G38" s="185"/>
      <c r="H38" s="185"/>
      <c r="I38" s="186"/>
    </row>
    <row r="39" spans="1:9" ht="12.75">
      <c r="A39" s="179">
        <v>38717</v>
      </c>
      <c r="B39" s="129">
        <f t="shared" si="0"/>
        <v>3</v>
      </c>
      <c r="C39" s="180">
        <f t="shared" si="1"/>
        <v>65648000</v>
      </c>
      <c r="D39" s="180"/>
      <c r="E39" s="131">
        <f>E37</f>
        <v>0.0408</v>
      </c>
      <c r="F39" s="175">
        <f>((C38+D38)*E39/360*B38)+((C39+D39)*E39/360*B39)</f>
        <v>714588.4266666666</v>
      </c>
      <c r="G39" s="187">
        <f>SUM(F33:F39)</f>
        <v>3019668.7466666666</v>
      </c>
      <c r="H39" s="187">
        <f>SUM(D32:D39)</f>
        <v>11936000</v>
      </c>
      <c r="I39" s="188">
        <f>SUM(G39:H39)</f>
        <v>14955668.746666666</v>
      </c>
    </row>
    <row r="40" spans="1:9" ht="12.75">
      <c r="A40" s="134">
        <v>38804</v>
      </c>
      <c r="B40" s="116">
        <f t="shared" si="0"/>
        <v>87</v>
      </c>
      <c r="C40" s="176">
        <f t="shared" si="1"/>
        <v>62664000</v>
      </c>
      <c r="D40" s="175">
        <f>D16</f>
        <v>2984000</v>
      </c>
      <c r="E40" s="84"/>
      <c r="F40" s="176"/>
      <c r="G40" s="177"/>
      <c r="H40" s="177"/>
      <c r="I40" s="178"/>
    </row>
    <row r="41" spans="1:9" ht="12.75">
      <c r="A41" s="115">
        <v>38807</v>
      </c>
      <c r="B41" s="122">
        <f t="shared" si="0"/>
        <v>3</v>
      </c>
      <c r="C41" s="175">
        <f t="shared" si="1"/>
        <v>62664000</v>
      </c>
      <c r="D41" s="175"/>
      <c r="E41" s="84">
        <f>E39</f>
        <v>0.0408</v>
      </c>
      <c r="F41" s="175">
        <f>((C40+D40)*E41/360*B40)+((C41+D41)*E41/360*B41)</f>
        <v>668595.04</v>
      </c>
      <c r="G41" s="185"/>
      <c r="H41" s="185"/>
      <c r="I41" s="186"/>
    </row>
    <row r="42" spans="1:9" ht="12.75">
      <c r="A42" s="115">
        <v>38896</v>
      </c>
      <c r="B42" s="122">
        <f t="shared" si="0"/>
        <v>89</v>
      </c>
      <c r="C42" s="175">
        <f t="shared" si="1"/>
        <v>59680000</v>
      </c>
      <c r="D42" s="175">
        <f>D16</f>
        <v>2984000</v>
      </c>
      <c r="E42" s="84"/>
      <c r="F42" s="175"/>
      <c r="G42" s="185"/>
      <c r="H42" s="185"/>
      <c r="I42" s="186"/>
    </row>
    <row r="43" spans="1:9" ht="12.75">
      <c r="A43" s="115">
        <v>38898</v>
      </c>
      <c r="B43" s="122">
        <f t="shared" si="0"/>
        <v>2</v>
      </c>
      <c r="C43" s="175">
        <f t="shared" si="1"/>
        <v>59680000</v>
      </c>
      <c r="D43" s="175"/>
      <c r="E43" s="84">
        <f>E41</f>
        <v>0.0408</v>
      </c>
      <c r="F43" s="175">
        <f>((C42+D42)*E43/360*B42)+((C43+D43)*E43/360*B43)</f>
        <v>645598.3466666667</v>
      </c>
      <c r="G43" s="185"/>
      <c r="H43" s="185"/>
      <c r="I43" s="186"/>
    </row>
    <row r="44" spans="1:9" ht="12.75">
      <c r="A44" s="115">
        <v>38988</v>
      </c>
      <c r="B44" s="122">
        <f t="shared" si="0"/>
        <v>90</v>
      </c>
      <c r="C44" s="175">
        <f t="shared" si="1"/>
        <v>56696000</v>
      </c>
      <c r="D44" s="175">
        <f>D16</f>
        <v>2984000</v>
      </c>
      <c r="E44" s="84"/>
      <c r="F44" s="175"/>
      <c r="G44" s="185"/>
      <c r="H44" s="185"/>
      <c r="I44" s="186"/>
    </row>
    <row r="45" spans="1:9" ht="12.75">
      <c r="A45" s="115">
        <v>38990</v>
      </c>
      <c r="B45" s="122">
        <f t="shared" si="0"/>
        <v>2</v>
      </c>
      <c r="C45" s="175">
        <f t="shared" si="1"/>
        <v>56696000</v>
      </c>
      <c r="D45" s="175"/>
      <c r="E45" s="84">
        <f>E43</f>
        <v>0.0408</v>
      </c>
      <c r="F45" s="175">
        <f>((C44+D44)*E45/360*B44)+((C45+D45)*E45/360*B45)</f>
        <v>621587.0933333334</v>
      </c>
      <c r="G45" s="185"/>
      <c r="H45" s="185"/>
      <c r="I45" s="186"/>
    </row>
    <row r="46" spans="1:9" ht="12.75">
      <c r="A46" s="115">
        <v>39079</v>
      </c>
      <c r="B46" s="122">
        <f t="shared" si="0"/>
        <v>89</v>
      </c>
      <c r="C46" s="175">
        <f t="shared" si="1"/>
        <v>53712000</v>
      </c>
      <c r="D46" s="175">
        <f>D16</f>
        <v>2984000</v>
      </c>
      <c r="E46" s="84"/>
      <c r="F46" s="175"/>
      <c r="G46" s="185"/>
      <c r="H46" s="185"/>
      <c r="I46" s="186"/>
    </row>
    <row r="47" spans="1:9" ht="12.75">
      <c r="A47" s="179">
        <v>39082</v>
      </c>
      <c r="B47" s="129">
        <f t="shared" si="0"/>
        <v>3</v>
      </c>
      <c r="C47" s="180">
        <f t="shared" si="1"/>
        <v>53712000</v>
      </c>
      <c r="D47" s="180"/>
      <c r="E47" s="131">
        <f>E45</f>
        <v>0.0408</v>
      </c>
      <c r="F47" s="175">
        <f>((C46+D46)*E47/360*B46)+((C47+D47)*E47/360*B47)</f>
        <v>590135.7333333333</v>
      </c>
      <c r="G47" s="187">
        <f>SUM(F41:F47)</f>
        <v>2525916.2133333334</v>
      </c>
      <c r="H47" s="187">
        <f>SUM(D40:D47)</f>
        <v>11936000</v>
      </c>
      <c r="I47" s="188">
        <f>SUM(G47:H47)</f>
        <v>14461916.213333333</v>
      </c>
    </row>
    <row r="48" spans="1:9" ht="12.75">
      <c r="A48" s="134">
        <v>39169</v>
      </c>
      <c r="B48" s="116">
        <f t="shared" si="0"/>
        <v>87</v>
      </c>
      <c r="C48" s="176">
        <f t="shared" si="1"/>
        <v>50728000</v>
      </c>
      <c r="D48" s="175">
        <f>D16</f>
        <v>2984000</v>
      </c>
      <c r="E48" s="84"/>
      <c r="F48" s="176"/>
      <c r="G48" s="177"/>
      <c r="H48" s="177"/>
      <c r="I48" s="178"/>
    </row>
    <row r="49" spans="1:9" ht="12.75">
      <c r="A49" s="115">
        <v>39172</v>
      </c>
      <c r="B49" s="122">
        <f t="shared" si="0"/>
        <v>3</v>
      </c>
      <c r="C49" s="175">
        <f t="shared" si="1"/>
        <v>50728000</v>
      </c>
      <c r="D49" s="175"/>
      <c r="E49" s="84">
        <f>E47</f>
        <v>0.0408</v>
      </c>
      <c r="F49" s="175">
        <f>((C48+D48)*E49/360*B48)+((C49+D49)*E49/360*B49)</f>
        <v>546847.8400000001</v>
      </c>
      <c r="G49" s="185"/>
      <c r="H49" s="185"/>
      <c r="I49" s="186"/>
    </row>
    <row r="50" spans="1:9" ht="12.75">
      <c r="A50" s="115">
        <v>39261</v>
      </c>
      <c r="B50" s="122">
        <f t="shared" si="0"/>
        <v>89</v>
      </c>
      <c r="C50" s="175">
        <f t="shared" si="1"/>
        <v>47744000</v>
      </c>
      <c r="D50" s="175">
        <f>D16</f>
        <v>2984000</v>
      </c>
      <c r="E50" s="84"/>
      <c r="F50" s="175"/>
      <c r="G50" s="185"/>
      <c r="H50" s="185"/>
      <c r="I50" s="186"/>
    </row>
    <row r="51" spans="1:9" ht="12.75">
      <c r="A51" s="115">
        <v>39263</v>
      </c>
      <c r="B51" s="122">
        <f t="shared" si="0"/>
        <v>2</v>
      </c>
      <c r="C51" s="175">
        <f t="shared" si="1"/>
        <v>47744000</v>
      </c>
      <c r="D51" s="175"/>
      <c r="E51" s="84">
        <f>E49</f>
        <v>0.0408</v>
      </c>
      <c r="F51" s="175">
        <f>((C50+D50)*E51/360*B50)+((C51+D51)*E51/360*B51)</f>
        <v>522498.4000000001</v>
      </c>
      <c r="G51" s="185"/>
      <c r="H51" s="185"/>
      <c r="I51" s="186"/>
    </row>
    <row r="52" spans="1:9" ht="12.75">
      <c r="A52" s="115">
        <v>39353</v>
      </c>
      <c r="B52" s="122">
        <f t="shared" si="0"/>
        <v>90</v>
      </c>
      <c r="C52" s="175">
        <f t="shared" si="1"/>
        <v>44760000</v>
      </c>
      <c r="D52" s="175">
        <f>D16</f>
        <v>2984000</v>
      </c>
      <c r="E52" s="84"/>
      <c r="F52" s="175"/>
      <c r="G52" s="185"/>
      <c r="H52" s="185"/>
      <c r="I52" s="186"/>
    </row>
    <row r="53" spans="1:9" ht="12.75">
      <c r="A53" s="115">
        <v>39355</v>
      </c>
      <c r="B53" s="122">
        <f t="shared" si="0"/>
        <v>2</v>
      </c>
      <c r="C53" s="175">
        <f t="shared" si="1"/>
        <v>44760000</v>
      </c>
      <c r="D53" s="175"/>
      <c r="E53" s="84">
        <f>E51</f>
        <v>0.0408</v>
      </c>
      <c r="F53" s="175">
        <f>((C52+D52)*E53/360*B52)+((C53+D53)*E53/360*B53)</f>
        <v>497134.4000000001</v>
      </c>
      <c r="G53" s="185"/>
      <c r="H53" s="185"/>
      <c r="I53" s="186"/>
    </row>
    <row r="54" spans="1:9" ht="12.75">
      <c r="A54" s="115">
        <v>39444</v>
      </c>
      <c r="B54" s="122">
        <f t="shared" si="0"/>
        <v>89</v>
      </c>
      <c r="C54" s="175">
        <f t="shared" si="1"/>
        <v>41776000</v>
      </c>
      <c r="D54" s="175">
        <f>D16</f>
        <v>2984000</v>
      </c>
      <c r="E54" s="84"/>
      <c r="F54" s="175"/>
      <c r="G54" s="185"/>
      <c r="H54" s="185"/>
      <c r="I54" s="186"/>
    </row>
    <row r="55" spans="1:9" ht="12.75">
      <c r="A55" s="128">
        <v>39447</v>
      </c>
      <c r="B55" s="129">
        <f t="shared" si="0"/>
        <v>3</v>
      </c>
      <c r="C55" s="130">
        <f t="shared" si="1"/>
        <v>41776000</v>
      </c>
      <c r="D55" s="130"/>
      <c r="E55" s="131">
        <f>E53</f>
        <v>0.0408</v>
      </c>
      <c r="F55" s="130">
        <f>((C54+D54)*E55/360*B54)+((C55+D55)*E55/360*B55)</f>
        <v>465683.0400000001</v>
      </c>
      <c r="G55" s="132">
        <f>SUM(F49:F55)</f>
        <v>2032163.6800000004</v>
      </c>
      <c r="H55" s="132">
        <f>SUM(D48:D55)</f>
        <v>11936000</v>
      </c>
      <c r="I55" s="133">
        <f>SUM(G55:H55)</f>
        <v>13968163.68</v>
      </c>
    </row>
    <row r="56" spans="1:9" ht="12.75">
      <c r="A56" s="134">
        <v>39535</v>
      </c>
      <c r="B56" s="135">
        <f t="shared" si="0"/>
        <v>88</v>
      </c>
      <c r="C56" s="60">
        <f t="shared" si="1"/>
        <v>38792000</v>
      </c>
      <c r="D56" s="60">
        <f>D16</f>
        <v>2984000</v>
      </c>
      <c r="E56" s="184"/>
      <c r="F56" s="60"/>
      <c r="G56" s="189"/>
      <c r="H56" s="189"/>
      <c r="I56" s="190"/>
    </row>
    <row r="57" spans="1:9" ht="12.75">
      <c r="A57" s="121">
        <v>39538</v>
      </c>
      <c r="B57" s="122">
        <f t="shared" si="0"/>
        <v>3</v>
      </c>
      <c r="C57" s="191">
        <f t="shared" si="1"/>
        <v>38792000</v>
      </c>
      <c r="D57" s="191"/>
      <c r="E57" s="84">
        <f>E55</f>
        <v>0.0408</v>
      </c>
      <c r="F57" s="175">
        <f>((C56+D56)*E57/360*B56)+((C57+D57)*E57/360*B57)</f>
        <v>429835.2533333334</v>
      </c>
      <c r="G57" s="192"/>
      <c r="H57" s="192"/>
      <c r="I57" s="193"/>
    </row>
    <row r="58" spans="1:9" ht="12.75">
      <c r="A58" s="121">
        <v>39627</v>
      </c>
      <c r="B58" s="122">
        <f t="shared" si="0"/>
        <v>89</v>
      </c>
      <c r="C58" s="191">
        <f t="shared" si="1"/>
        <v>35808000</v>
      </c>
      <c r="D58" s="191">
        <f>D16</f>
        <v>2984000</v>
      </c>
      <c r="E58" s="84"/>
      <c r="F58" s="191"/>
      <c r="G58" s="192"/>
      <c r="H58" s="192"/>
      <c r="I58" s="193"/>
    </row>
    <row r="59" spans="1:9" ht="12.75">
      <c r="A59" s="121">
        <v>39629</v>
      </c>
      <c r="B59" s="122">
        <f t="shared" si="0"/>
        <v>2</v>
      </c>
      <c r="C59" s="191">
        <f t="shared" si="1"/>
        <v>35808000</v>
      </c>
      <c r="D59" s="191"/>
      <c r="E59" s="84">
        <f>E57</f>
        <v>0.0408</v>
      </c>
      <c r="F59" s="175">
        <f>((C58+D58)*E59/360*B58)+((C59+D59)*E59/360*B59)</f>
        <v>399398.45333333337</v>
      </c>
      <c r="G59" s="192"/>
      <c r="H59" s="192"/>
      <c r="I59" s="193"/>
    </row>
    <row r="60" spans="1:9" ht="12.75">
      <c r="A60" s="115">
        <v>39719</v>
      </c>
      <c r="B60" s="122">
        <f t="shared" si="0"/>
        <v>90</v>
      </c>
      <c r="C60" s="175">
        <f t="shared" si="1"/>
        <v>32824000</v>
      </c>
      <c r="D60" s="175">
        <f>D16</f>
        <v>2984000</v>
      </c>
      <c r="E60" s="84"/>
      <c r="F60" s="175"/>
      <c r="G60" s="185"/>
      <c r="H60" s="185"/>
      <c r="I60" s="186"/>
    </row>
    <row r="61" spans="1:9" ht="12.75">
      <c r="A61" s="115">
        <v>39721</v>
      </c>
      <c r="B61" s="122">
        <f t="shared" si="0"/>
        <v>2</v>
      </c>
      <c r="C61" s="175">
        <f t="shared" si="1"/>
        <v>32824000</v>
      </c>
      <c r="D61" s="175"/>
      <c r="E61" s="84">
        <f>E59</f>
        <v>0.0408</v>
      </c>
      <c r="F61" s="175">
        <f>((C60+D60)*E61/360*B60)+((C61+D61)*E61/360*B61)</f>
        <v>372681.7066666667</v>
      </c>
      <c r="G61" s="185"/>
      <c r="H61" s="185"/>
      <c r="I61" s="186"/>
    </row>
    <row r="62" spans="1:9" ht="12.75">
      <c r="A62" s="115">
        <v>39810</v>
      </c>
      <c r="B62" s="122">
        <f t="shared" si="0"/>
        <v>89</v>
      </c>
      <c r="C62" s="175">
        <f t="shared" si="1"/>
        <v>29840000</v>
      </c>
      <c r="D62" s="175">
        <f>D16</f>
        <v>2984000</v>
      </c>
      <c r="E62" s="84"/>
      <c r="F62" s="175"/>
      <c r="G62" s="185"/>
      <c r="H62" s="185"/>
      <c r="I62" s="186"/>
    </row>
    <row r="63" spans="1:9" ht="12.75">
      <c r="A63" s="128">
        <v>39813</v>
      </c>
      <c r="B63" s="129">
        <f t="shared" si="0"/>
        <v>3</v>
      </c>
      <c r="C63" s="181">
        <f t="shared" si="1"/>
        <v>29840000</v>
      </c>
      <c r="D63" s="181"/>
      <c r="E63" s="131">
        <f>E61</f>
        <v>0.0408</v>
      </c>
      <c r="F63" s="175">
        <f>((C62+D62)*E63/360*B62)+((C63+D63)*E63/360*B63)</f>
        <v>341230.3466666667</v>
      </c>
      <c r="G63" s="182">
        <f>SUM(F57:F63)</f>
        <v>1543145.7600000002</v>
      </c>
      <c r="H63" s="182">
        <f>SUM(D56:D63)</f>
        <v>11936000</v>
      </c>
      <c r="I63" s="183">
        <f>SUM(G63:H63)</f>
        <v>13479145.76</v>
      </c>
    </row>
    <row r="64" spans="1:9" ht="12.75">
      <c r="A64" s="134">
        <v>39900</v>
      </c>
      <c r="B64" s="116">
        <f t="shared" si="0"/>
        <v>87</v>
      </c>
      <c r="C64" s="176">
        <f t="shared" si="1"/>
        <v>26856000</v>
      </c>
      <c r="D64" s="175">
        <f>D16</f>
        <v>2984000</v>
      </c>
      <c r="E64" s="84"/>
      <c r="F64" s="176"/>
      <c r="G64" s="177"/>
      <c r="H64" s="177"/>
      <c r="I64" s="178"/>
    </row>
    <row r="65" spans="1:9" ht="12.75">
      <c r="A65" s="115">
        <v>39903</v>
      </c>
      <c r="B65" s="122">
        <f t="shared" si="0"/>
        <v>3</v>
      </c>
      <c r="C65" s="175">
        <f t="shared" si="1"/>
        <v>26856000</v>
      </c>
      <c r="D65" s="175"/>
      <c r="E65" s="84">
        <f>E63</f>
        <v>0.0408</v>
      </c>
      <c r="F65" s="175">
        <f>((C64+D64)*E65/360*B64)+((C65+D65)*E65/360*B65)</f>
        <v>303353.44</v>
      </c>
      <c r="G65" s="185"/>
      <c r="H65" s="185"/>
      <c r="I65" s="186"/>
    </row>
    <row r="66" spans="1:9" ht="12.75">
      <c r="A66" s="115">
        <v>39992</v>
      </c>
      <c r="B66" s="122">
        <f t="shared" si="0"/>
        <v>89</v>
      </c>
      <c r="C66" s="175">
        <f t="shared" si="1"/>
        <v>23872000</v>
      </c>
      <c r="D66" s="175">
        <f>D16</f>
        <v>2984000</v>
      </c>
      <c r="E66" s="84"/>
      <c r="F66" s="175"/>
      <c r="G66" s="185"/>
      <c r="H66" s="185"/>
      <c r="I66" s="186"/>
    </row>
    <row r="67" spans="1:9" ht="12.75">
      <c r="A67" s="115">
        <v>39994</v>
      </c>
      <c r="B67" s="122">
        <f t="shared" si="0"/>
        <v>2</v>
      </c>
      <c r="C67" s="175">
        <f t="shared" si="1"/>
        <v>23872000</v>
      </c>
      <c r="D67" s="175"/>
      <c r="E67" s="84">
        <f>E65</f>
        <v>0.0408</v>
      </c>
      <c r="F67" s="175">
        <f>((C66+D66)*E67/360*B66)+((C67+D67)*E67/360*B67)</f>
        <v>276298.5066666667</v>
      </c>
      <c r="G67" s="185"/>
      <c r="H67" s="185"/>
      <c r="I67" s="186"/>
    </row>
    <row r="68" spans="1:9" ht="12.75">
      <c r="A68" s="115">
        <v>40084</v>
      </c>
      <c r="B68" s="122">
        <f t="shared" si="0"/>
        <v>90</v>
      </c>
      <c r="C68" s="175">
        <f t="shared" si="1"/>
        <v>20888000</v>
      </c>
      <c r="D68" s="175">
        <f>D16</f>
        <v>2984000</v>
      </c>
      <c r="E68" s="84"/>
      <c r="F68" s="175"/>
      <c r="G68" s="185"/>
      <c r="H68" s="185"/>
      <c r="I68" s="186"/>
    </row>
    <row r="69" spans="1:9" ht="12.75">
      <c r="A69" s="115">
        <v>40086</v>
      </c>
      <c r="B69" s="122">
        <f t="shared" si="0"/>
        <v>2</v>
      </c>
      <c r="C69" s="175">
        <f t="shared" si="1"/>
        <v>20888000</v>
      </c>
      <c r="D69" s="175"/>
      <c r="E69" s="84">
        <f>E67</f>
        <v>0.0408</v>
      </c>
      <c r="F69" s="175">
        <f>((C68+D68)*E69/360*B68)+((C69+D69)*E69/360*B69)</f>
        <v>248229.0133333334</v>
      </c>
      <c r="G69" s="185"/>
      <c r="H69" s="185"/>
      <c r="I69" s="186"/>
    </row>
    <row r="70" spans="1:9" ht="12.75">
      <c r="A70" s="115">
        <v>40175</v>
      </c>
      <c r="B70" s="122">
        <f t="shared" si="0"/>
        <v>89</v>
      </c>
      <c r="C70" s="175">
        <f t="shared" si="1"/>
        <v>17904000</v>
      </c>
      <c r="D70" s="175">
        <f>D16</f>
        <v>2984000</v>
      </c>
      <c r="E70" s="84"/>
      <c r="F70" s="175"/>
      <c r="G70" s="185"/>
      <c r="H70" s="185"/>
      <c r="I70" s="186"/>
    </row>
    <row r="71" spans="1:9" ht="12.75">
      <c r="A71" s="128">
        <v>40178</v>
      </c>
      <c r="B71" s="129">
        <f t="shared" si="0"/>
        <v>3</v>
      </c>
      <c r="C71" s="181">
        <f t="shared" si="1"/>
        <v>17904000</v>
      </c>
      <c r="D71" s="181"/>
      <c r="E71" s="131">
        <f>E69</f>
        <v>0.0408</v>
      </c>
      <c r="F71" s="175">
        <f>((C70+D70)*E71/360*B70)+((C71+D71)*E71/360*B71)</f>
        <v>216777.65333333332</v>
      </c>
      <c r="G71" s="182">
        <f>SUM(F65:F71)</f>
        <v>1044658.6133333335</v>
      </c>
      <c r="H71" s="182">
        <f>SUM(D64:D71)</f>
        <v>11936000</v>
      </c>
      <c r="I71" s="183">
        <f>SUM(G71:H71)</f>
        <v>12980658.613333333</v>
      </c>
    </row>
    <row r="72" spans="1:9" ht="12.75">
      <c r="A72" s="134">
        <v>40265</v>
      </c>
      <c r="B72" s="116">
        <f t="shared" si="0"/>
        <v>87</v>
      </c>
      <c r="C72" s="176">
        <f t="shared" si="1"/>
        <v>14920000</v>
      </c>
      <c r="D72" s="175">
        <f>D16</f>
        <v>2984000</v>
      </c>
      <c r="E72" s="84"/>
      <c r="F72" s="176"/>
      <c r="G72" s="177"/>
      <c r="H72" s="177"/>
      <c r="I72" s="178"/>
    </row>
    <row r="73" spans="1:9" ht="12.75">
      <c r="A73" s="115">
        <v>40268</v>
      </c>
      <c r="B73" s="122">
        <f aca="true" t="shared" si="2" ref="B73:B82">A73-A72</f>
        <v>3</v>
      </c>
      <c r="C73" s="175">
        <f t="shared" si="1"/>
        <v>14920000</v>
      </c>
      <c r="D73" s="175"/>
      <c r="E73" s="84">
        <f>E71</f>
        <v>0.0408</v>
      </c>
      <c r="F73" s="175">
        <f>((C72+D72)*E73/360*B72)+((C73+D73)*E73/360*B73)</f>
        <v>181606.24</v>
      </c>
      <c r="G73" s="185"/>
      <c r="H73" s="185"/>
      <c r="I73" s="186"/>
    </row>
    <row r="74" spans="1:9" ht="12.75">
      <c r="A74" s="115">
        <v>40357</v>
      </c>
      <c r="B74" s="122">
        <f t="shared" si="2"/>
        <v>89</v>
      </c>
      <c r="C74" s="175">
        <f aca="true" t="shared" si="3" ref="C74:C82">C73-D74</f>
        <v>11936000</v>
      </c>
      <c r="D74" s="175">
        <f>D16</f>
        <v>2984000</v>
      </c>
      <c r="E74" s="84"/>
      <c r="F74" s="175"/>
      <c r="G74" s="185"/>
      <c r="H74" s="185"/>
      <c r="I74" s="186"/>
    </row>
    <row r="75" spans="1:9" ht="12.75">
      <c r="A75" s="115">
        <v>40359</v>
      </c>
      <c r="B75" s="122">
        <f t="shared" si="2"/>
        <v>2</v>
      </c>
      <c r="C75" s="175">
        <f t="shared" si="3"/>
        <v>11936000</v>
      </c>
      <c r="D75" s="175"/>
      <c r="E75" s="84">
        <f>E73</f>
        <v>0.0408</v>
      </c>
      <c r="F75" s="175">
        <f>((C74+D74)*E75/360*B74)+((C75+D75)*E75/360*B75)</f>
        <v>153198.56000000003</v>
      </c>
      <c r="G75" s="185"/>
      <c r="H75" s="185"/>
      <c r="I75" s="186"/>
    </row>
    <row r="76" spans="1:9" ht="12.75">
      <c r="A76" s="115">
        <v>40449</v>
      </c>
      <c r="B76" s="122">
        <f t="shared" si="2"/>
        <v>90</v>
      </c>
      <c r="C76" s="175">
        <f t="shared" si="3"/>
        <v>8952000</v>
      </c>
      <c r="D76" s="175">
        <f>D16</f>
        <v>2984000</v>
      </c>
      <c r="E76" s="84"/>
      <c r="F76" s="175"/>
      <c r="G76" s="185"/>
      <c r="H76" s="185"/>
      <c r="I76" s="186"/>
    </row>
    <row r="77" spans="1:9" ht="12.75">
      <c r="A77" s="115">
        <v>40451</v>
      </c>
      <c r="B77" s="122">
        <f t="shared" si="2"/>
        <v>2</v>
      </c>
      <c r="C77" s="175">
        <f t="shared" si="3"/>
        <v>8952000</v>
      </c>
      <c r="D77" s="175"/>
      <c r="E77" s="84">
        <f>E75</f>
        <v>0.0408</v>
      </c>
      <c r="F77" s="175">
        <f>((C76+D76)*E77/360*B76)+((C77+D77)*E77/360*B77)</f>
        <v>123776.32000000002</v>
      </c>
      <c r="G77" s="185"/>
      <c r="H77" s="185"/>
      <c r="I77" s="186"/>
    </row>
    <row r="78" spans="1:9" ht="12.75">
      <c r="A78" s="115">
        <v>40540</v>
      </c>
      <c r="B78" s="122">
        <f t="shared" si="2"/>
        <v>89</v>
      </c>
      <c r="C78" s="175">
        <f t="shared" si="3"/>
        <v>5968000</v>
      </c>
      <c r="D78" s="175">
        <f>D16</f>
        <v>2984000</v>
      </c>
      <c r="E78" s="84"/>
      <c r="F78" s="175"/>
      <c r="G78" s="185"/>
      <c r="H78" s="185"/>
      <c r="I78" s="186"/>
    </row>
    <row r="79" spans="1:9" ht="12.75">
      <c r="A79" s="128">
        <v>40543</v>
      </c>
      <c r="B79" s="129">
        <f t="shared" si="2"/>
        <v>3</v>
      </c>
      <c r="C79" s="181">
        <f t="shared" si="3"/>
        <v>5968000</v>
      </c>
      <c r="D79" s="181"/>
      <c r="E79" s="131">
        <f>E77</f>
        <v>0.0408</v>
      </c>
      <c r="F79" s="175">
        <f>((C78+D78)*E79/360*B78)+((C79+D79)*E79/360*B79)</f>
        <v>92324.96</v>
      </c>
      <c r="G79" s="182">
        <f>SUM(F73:F79)</f>
        <v>550906.0800000001</v>
      </c>
      <c r="H79" s="182">
        <f>SUM(D72:D79)</f>
        <v>11936000</v>
      </c>
      <c r="I79" s="183">
        <f>SUM(G79:H79)</f>
        <v>12486906.08</v>
      </c>
    </row>
    <row r="80" spans="1:9" ht="12.75">
      <c r="A80" s="134">
        <v>40630</v>
      </c>
      <c r="B80" s="116">
        <f t="shared" si="2"/>
        <v>87</v>
      </c>
      <c r="C80" s="176">
        <f t="shared" si="3"/>
        <v>2984000</v>
      </c>
      <c r="D80" s="175">
        <f>D16</f>
        <v>2984000</v>
      </c>
      <c r="E80" s="84"/>
      <c r="F80" s="176"/>
      <c r="G80" s="177"/>
      <c r="H80" s="177"/>
      <c r="I80" s="178"/>
    </row>
    <row r="81" spans="1:9" ht="12.75">
      <c r="A81" s="115">
        <v>40633</v>
      </c>
      <c r="B81" s="122">
        <f t="shared" si="2"/>
        <v>3</v>
      </c>
      <c r="C81" s="175">
        <f t="shared" si="3"/>
        <v>2984000</v>
      </c>
      <c r="D81" s="175"/>
      <c r="E81" s="84">
        <f>E79</f>
        <v>0.0408</v>
      </c>
      <c r="F81" s="175">
        <f>((C80+D80)*E81/360*B80)+((C81+D81)*E81/360*B81)</f>
        <v>59859.04000000001</v>
      </c>
      <c r="G81" s="185"/>
      <c r="H81" s="185"/>
      <c r="I81" s="186"/>
    </row>
    <row r="82" spans="1:9" ht="13.5" thickBot="1">
      <c r="A82" s="115">
        <v>40722</v>
      </c>
      <c r="B82" s="122">
        <f t="shared" si="2"/>
        <v>89</v>
      </c>
      <c r="C82" s="175">
        <f t="shared" si="3"/>
        <v>0</v>
      </c>
      <c r="D82" s="175">
        <f>D16</f>
        <v>2984000</v>
      </c>
      <c r="E82" s="84">
        <f>E81</f>
        <v>0.0408</v>
      </c>
      <c r="F82" s="175">
        <f>((C82+D82)*E82/360*B82)</f>
        <v>30098.61333333334</v>
      </c>
      <c r="G82" s="185">
        <f>SUM(F80:F82)</f>
        <v>89957.65333333335</v>
      </c>
      <c r="H82" s="185">
        <f>SUM(D80:D82)</f>
        <v>5968000</v>
      </c>
      <c r="I82" s="186">
        <f>SUM(G82:H82)</f>
        <v>6057957.653333333</v>
      </c>
    </row>
    <row r="83" spans="1:9" ht="13.5" thickTop="1">
      <c r="A83" s="194" t="s">
        <v>14</v>
      </c>
      <c r="B83" s="195"/>
      <c r="C83" s="196"/>
      <c r="D83" s="197">
        <f>SUM(D8:D82)</f>
        <v>107411000</v>
      </c>
      <c r="E83" s="197"/>
      <c r="F83" s="197">
        <f>SUM(F8:F82)</f>
        <v>23528230.866666663</v>
      </c>
      <c r="G83" s="197">
        <f>SUM(G8:G82)</f>
        <v>23528230.86666667</v>
      </c>
      <c r="H83" s="197">
        <f>SUM(H8:H82)</f>
        <v>107411000</v>
      </c>
      <c r="I83" s="198">
        <f>SUM(I8:I82)</f>
        <v>130939230.86666669</v>
      </c>
    </row>
    <row r="85" ht="12.75">
      <c r="A85" s="199" t="s">
        <v>122</v>
      </c>
    </row>
  </sheetData>
  <printOptions horizontalCentered="1"/>
  <pageMargins left="0.5905511811023623" right="0.5905511811023623" top="0.7874015748031497" bottom="0.5905511811023623" header="0.1968503937007874" footer="0.1968503937007874"/>
  <pageSetup blackAndWhite="1" horizontalDpi="300" verticalDpi="300" orientation="portrait" paperSize="9" r:id="rId1"/>
  <headerFooter alignWithMargins="0">
    <oddHeader xml:space="preserve">&amp;C&amp;"Times New Roman CE,Félkövér"&amp;12Adósságszolgálat számítása az OTP tájékoztatása alapján&amp;"Times New Roman CE,Félkövér dőlt"
69 db bérlakás építésére 2001. decemberben felvett 107.411 eFt hitel </oddHeader>
    <oddFooter>&amp;L&amp;9Nyomtatás dátuma: &amp;D
C:\Andi\adósságszolgálat\&amp;F\&amp;A&amp;R&amp;P/&amp;N</oddFooter>
  </headerFooter>
  <rowBreaks count="1" manualBreakCount="1">
    <brk id="5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97"/>
  <sheetViews>
    <sheetView workbookViewId="0" topLeftCell="A1">
      <selection activeCell="A1" sqref="A1"/>
    </sheetView>
  </sheetViews>
  <sheetFormatPr defaultColWidth="9.00390625" defaultRowHeight="12.75"/>
  <cols>
    <col min="1" max="1" width="10.50390625" style="89" customWidth="1"/>
    <col min="2" max="2" width="6.125" style="89" customWidth="1"/>
    <col min="3" max="3" width="11.50390625" style="89" customWidth="1"/>
    <col min="4" max="4" width="13.00390625" style="89" customWidth="1"/>
    <col min="5" max="5" width="6.50390625" style="156" customWidth="1"/>
    <col min="6" max="6" width="11.50390625" style="89" customWidth="1"/>
    <col min="7" max="7" width="11.125" style="89" customWidth="1"/>
    <col min="8" max="8" width="12.625" style="89" customWidth="1"/>
    <col min="9" max="9" width="12.875" style="89" customWidth="1"/>
    <col min="10" max="10" width="9.375" style="89" customWidth="1"/>
    <col min="11" max="11" width="11.125" style="89" bestFit="1" customWidth="1"/>
    <col min="12" max="16384" width="9.375" style="89" customWidth="1"/>
  </cols>
  <sheetData>
    <row r="1" spans="1:9" ht="12.75">
      <c r="A1" s="200" t="s">
        <v>117</v>
      </c>
      <c r="B1" s="199"/>
      <c r="C1" s="200"/>
      <c r="D1" s="200"/>
      <c r="E1" s="201"/>
      <c r="F1" s="200"/>
      <c r="H1" s="200"/>
      <c r="I1" s="200"/>
    </row>
    <row r="2" spans="1:9" ht="12.75">
      <c r="A2" s="89" t="s">
        <v>47</v>
      </c>
      <c r="B2" s="170"/>
      <c r="C2" s="169"/>
      <c r="D2" s="169"/>
      <c r="E2" s="202"/>
      <c r="F2" s="169"/>
      <c r="G2" s="169"/>
      <c r="H2" s="169"/>
      <c r="I2" s="169"/>
    </row>
    <row r="3" spans="1:9" ht="12.75">
      <c r="A3" s="172" t="s">
        <v>50</v>
      </c>
      <c r="B3" s="170"/>
      <c r="C3" s="169"/>
      <c r="D3" s="169"/>
      <c r="E3" s="202"/>
      <c r="F3" s="169"/>
      <c r="G3" s="169"/>
      <c r="H3" s="169"/>
      <c r="I3" s="169"/>
    </row>
    <row r="4" spans="1:9" ht="12.75">
      <c r="A4" s="171" t="s">
        <v>71</v>
      </c>
      <c r="B4" s="170"/>
      <c r="C4" s="169"/>
      <c r="D4" s="169"/>
      <c r="E4" s="202"/>
      <c r="F4" s="169"/>
      <c r="G4" s="169"/>
      <c r="H4" s="169"/>
      <c r="I4" s="169"/>
    </row>
    <row r="5" spans="1:9" ht="12.75">
      <c r="A5" s="97" t="s">
        <v>3</v>
      </c>
      <c r="B5" s="98" t="s">
        <v>4</v>
      </c>
      <c r="C5" s="99" t="s">
        <v>5</v>
      </c>
      <c r="D5" s="99" t="s">
        <v>33</v>
      </c>
      <c r="E5" s="203" t="s">
        <v>20</v>
      </c>
      <c r="F5" s="99" t="s">
        <v>43</v>
      </c>
      <c r="G5" s="101" t="s">
        <v>6</v>
      </c>
      <c r="H5" s="101" t="s">
        <v>6</v>
      </c>
      <c r="I5" s="102" t="s">
        <v>6</v>
      </c>
    </row>
    <row r="6" spans="1:9" ht="12.75">
      <c r="A6" s="103"/>
      <c r="B6" s="104" t="s">
        <v>7</v>
      </c>
      <c r="C6" s="105" t="s">
        <v>8</v>
      </c>
      <c r="D6" s="105"/>
      <c r="E6" s="204" t="s">
        <v>124</v>
      </c>
      <c r="F6" s="205"/>
      <c r="G6" s="107" t="s">
        <v>9</v>
      </c>
      <c r="H6" s="107" t="s">
        <v>11</v>
      </c>
      <c r="I6" s="108" t="s">
        <v>10</v>
      </c>
    </row>
    <row r="7" spans="1:9" ht="12.75">
      <c r="A7" s="109"/>
      <c r="B7" s="110"/>
      <c r="C7" s="111"/>
      <c r="D7" s="111"/>
      <c r="E7" s="206" t="s">
        <v>48</v>
      </c>
      <c r="F7" s="111"/>
      <c r="G7" s="113"/>
      <c r="H7" s="113" t="s">
        <v>13</v>
      </c>
      <c r="I7" s="114" t="s">
        <v>12</v>
      </c>
    </row>
    <row r="8" spans="1:9" ht="12.75">
      <c r="A8" s="115">
        <v>37591</v>
      </c>
      <c r="B8" s="135"/>
      <c r="C8" s="175">
        <v>124412000</v>
      </c>
      <c r="D8" s="175"/>
      <c r="E8" s="207"/>
      <c r="F8" s="175"/>
      <c r="G8" s="185"/>
      <c r="H8" s="185"/>
      <c r="I8" s="186"/>
    </row>
    <row r="9" spans="1:9" ht="12.75">
      <c r="A9" s="179">
        <v>37621</v>
      </c>
      <c r="B9" s="139">
        <f>A9-A8</f>
        <v>30</v>
      </c>
      <c r="C9" s="208">
        <f>C8-D9</f>
        <v>124412000</v>
      </c>
      <c r="D9" s="180"/>
      <c r="E9" s="209">
        <v>0.0422</v>
      </c>
      <c r="F9" s="208">
        <v>399224</v>
      </c>
      <c r="G9" s="187">
        <f>SUM(F8:F9)</f>
        <v>399224</v>
      </c>
      <c r="H9" s="187">
        <f>SUM(D8:D9)</f>
        <v>0</v>
      </c>
      <c r="I9" s="188">
        <f>SUM(G9:H9)</f>
        <v>399224</v>
      </c>
    </row>
    <row r="10" spans="1:9" ht="12.75">
      <c r="A10" s="134">
        <v>37711</v>
      </c>
      <c r="B10" s="210">
        <f aca="true" t="shared" si="0" ref="B10:B24">A10-A9</f>
        <v>90</v>
      </c>
      <c r="C10" s="60">
        <f aca="true" t="shared" si="1" ref="C10:C73">C9-D10</f>
        <v>124412000</v>
      </c>
      <c r="D10" s="176"/>
      <c r="E10" s="211">
        <v>0.0369</v>
      </c>
      <c r="F10" s="60">
        <v>1005456</v>
      </c>
      <c r="G10" s="177"/>
      <c r="H10" s="177"/>
      <c r="I10" s="178"/>
    </row>
    <row r="11" spans="1:9" ht="12.75">
      <c r="A11" s="115">
        <v>37802</v>
      </c>
      <c r="B11" s="139">
        <f t="shared" si="0"/>
        <v>91</v>
      </c>
      <c r="C11" s="117">
        <f t="shared" si="1"/>
        <v>124412000</v>
      </c>
      <c r="D11" s="175"/>
      <c r="E11" s="207">
        <v>0.0356</v>
      </c>
      <c r="F11" s="117">
        <f>617809+314486</f>
        <v>932295</v>
      </c>
      <c r="G11" s="185"/>
      <c r="H11" s="185"/>
      <c r="I11" s="186"/>
    </row>
    <row r="12" spans="1:9" ht="12.75">
      <c r="A12" s="115">
        <v>37892</v>
      </c>
      <c r="B12" s="139">
        <f t="shared" si="0"/>
        <v>90</v>
      </c>
      <c r="C12" s="117">
        <f t="shared" si="1"/>
        <v>121442000</v>
      </c>
      <c r="D12" s="175">
        <v>2970000</v>
      </c>
      <c r="E12" s="207"/>
      <c r="F12" s="117"/>
      <c r="G12" s="185"/>
      <c r="H12" s="185"/>
      <c r="I12" s="186"/>
    </row>
    <row r="13" spans="1:9" ht="12.75">
      <c r="A13" s="115">
        <v>37894</v>
      </c>
      <c r="B13" s="139">
        <f t="shared" si="0"/>
        <v>2</v>
      </c>
      <c r="C13" s="117">
        <f t="shared" si="1"/>
        <v>121442000</v>
      </c>
      <c r="D13" s="175"/>
      <c r="E13" s="207">
        <v>0.0584</v>
      </c>
      <c r="F13" s="117">
        <v>1847937</v>
      </c>
      <c r="G13" s="185"/>
      <c r="H13" s="185"/>
      <c r="I13" s="186"/>
    </row>
    <row r="14" spans="1:11" ht="12.75">
      <c r="A14" s="115">
        <v>37983</v>
      </c>
      <c r="B14" s="139">
        <f t="shared" si="0"/>
        <v>89</v>
      </c>
      <c r="C14" s="117">
        <f t="shared" si="1"/>
        <v>118480000</v>
      </c>
      <c r="D14" s="175">
        <v>2962000</v>
      </c>
      <c r="E14" s="207"/>
      <c r="F14" s="117"/>
      <c r="G14" s="185"/>
      <c r="H14" s="185"/>
      <c r="I14" s="186"/>
      <c r="K14" s="155"/>
    </row>
    <row r="15" spans="1:9" ht="12.75">
      <c r="A15" s="179">
        <v>37986</v>
      </c>
      <c r="B15" s="129">
        <f t="shared" si="0"/>
        <v>3</v>
      </c>
      <c r="C15" s="212">
        <f t="shared" si="1"/>
        <v>118480000</v>
      </c>
      <c r="D15" s="180"/>
      <c r="E15" s="209">
        <v>0.057</v>
      </c>
      <c r="F15" s="117">
        <f>1489338+310105</f>
        <v>1799443</v>
      </c>
      <c r="G15" s="187">
        <f>SUM(F10:F15)</f>
        <v>5585131</v>
      </c>
      <c r="H15" s="187">
        <f>SUM(D10:D15)</f>
        <v>5932000</v>
      </c>
      <c r="I15" s="188">
        <f>SUM(G15:H15)</f>
        <v>11517131</v>
      </c>
    </row>
    <row r="16" spans="1:9" ht="12.75">
      <c r="A16" s="134">
        <v>38074</v>
      </c>
      <c r="B16" s="143">
        <f t="shared" si="0"/>
        <v>88</v>
      </c>
      <c r="C16" s="175">
        <f t="shared" si="1"/>
        <v>115518000</v>
      </c>
      <c r="D16" s="175">
        <f>D14</f>
        <v>2962000</v>
      </c>
      <c r="E16" s="207"/>
      <c r="F16" s="60"/>
      <c r="G16" s="177"/>
      <c r="H16" s="177"/>
      <c r="I16" s="178"/>
    </row>
    <row r="17" spans="1:9" ht="12.75">
      <c r="A17" s="115">
        <v>38077</v>
      </c>
      <c r="B17" s="139">
        <f t="shared" si="0"/>
        <v>3</v>
      </c>
      <c r="C17" s="175">
        <f t="shared" si="1"/>
        <v>115518000</v>
      </c>
      <c r="D17" s="175"/>
      <c r="E17" s="207">
        <v>0.06</v>
      </c>
      <c r="F17" s="117">
        <f>((C16+D16)*E17/360*B16)+((C17+D17)*E17/360*B17)</f>
        <v>1795465.6666666667</v>
      </c>
      <c r="G17" s="185"/>
      <c r="H17" s="185"/>
      <c r="I17" s="186"/>
    </row>
    <row r="18" spans="1:9" ht="12.75">
      <c r="A18" s="115">
        <v>38166</v>
      </c>
      <c r="B18" s="139">
        <f>A18-A17</f>
        <v>89</v>
      </c>
      <c r="C18" s="175">
        <f t="shared" si="1"/>
        <v>112556000</v>
      </c>
      <c r="D18" s="175">
        <f>D16</f>
        <v>2962000</v>
      </c>
      <c r="E18" s="207"/>
      <c r="F18" s="117"/>
      <c r="G18" s="185"/>
      <c r="H18" s="185"/>
      <c r="I18" s="186"/>
    </row>
    <row r="19" spans="1:9" ht="12.75">
      <c r="A19" s="115">
        <v>38168</v>
      </c>
      <c r="B19" s="139">
        <f t="shared" si="0"/>
        <v>2</v>
      </c>
      <c r="C19" s="175">
        <f t="shared" si="1"/>
        <v>112556000</v>
      </c>
      <c r="D19" s="175"/>
      <c r="E19" s="207">
        <v>0.06</v>
      </c>
      <c r="F19" s="117">
        <f>((C18+D18)*E19/360*B18)+((C19+D19)*E19/360*B19)-1</f>
        <v>1751034.6666666667</v>
      </c>
      <c r="G19" s="185"/>
      <c r="H19" s="185"/>
      <c r="I19" s="186"/>
    </row>
    <row r="20" spans="1:9" ht="12.75">
      <c r="A20" s="115">
        <v>38258</v>
      </c>
      <c r="B20" s="139">
        <f t="shared" si="0"/>
        <v>90</v>
      </c>
      <c r="C20" s="175">
        <f t="shared" si="1"/>
        <v>109594000</v>
      </c>
      <c r="D20" s="175">
        <f>D18</f>
        <v>2962000</v>
      </c>
      <c r="E20" s="207"/>
      <c r="F20" s="117"/>
      <c r="G20" s="185"/>
      <c r="H20" s="185"/>
      <c r="I20" s="186"/>
    </row>
    <row r="21" spans="1:9" ht="12.75">
      <c r="A21" s="115">
        <v>38260</v>
      </c>
      <c r="B21" s="139">
        <f t="shared" si="0"/>
        <v>2</v>
      </c>
      <c r="C21" s="175">
        <f t="shared" si="1"/>
        <v>109594000</v>
      </c>
      <c r="D21" s="175"/>
      <c r="E21" s="207">
        <f>E19</f>
        <v>0.06</v>
      </c>
      <c r="F21" s="117">
        <f>((C20+D20)*E21/360*B20)+((C21+D21)*E21/360*B21)+1</f>
        <v>1724872.3333333333</v>
      </c>
      <c r="G21" s="185"/>
      <c r="H21" s="185"/>
      <c r="I21" s="186"/>
    </row>
    <row r="22" spans="1:9" ht="12.75">
      <c r="A22" s="115">
        <v>38349</v>
      </c>
      <c r="B22" s="139">
        <f t="shared" si="0"/>
        <v>89</v>
      </c>
      <c r="C22" s="175">
        <f t="shared" si="1"/>
        <v>106632000</v>
      </c>
      <c r="D22" s="175">
        <f>D20</f>
        <v>2962000</v>
      </c>
      <c r="E22" s="207"/>
      <c r="F22" s="117"/>
      <c r="G22" s="185"/>
      <c r="H22" s="185"/>
      <c r="I22" s="186"/>
    </row>
    <row r="23" spans="1:9" ht="12.75">
      <c r="A23" s="179">
        <v>38352</v>
      </c>
      <c r="B23" s="139">
        <f t="shared" si="0"/>
        <v>3</v>
      </c>
      <c r="C23" s="208">
        <f t="shared" si="1"/>
        <v>106632000</v>
      </c>
      <c r="D23" s="180"/>
      <c r="E23" s="209">
        <v>0.0408</v>
      </c>
      <c r="F23" s="130">
        <f>((C22+D22)*E23/360*B22)+((C23+D23)*E23/360*B23)</f>
        <v>1141693.0266666668</v>
      </c>
      <c r="G23" s="187">
        <f>SUM(F16:F23)</f>
        <v>6413065.693333333</v>
      </c>
      <c r="H23" s="187">
        <f>SUM(D16:D23)</f>
        <v>11848000</v>
      </c>
      <c r="I23" s="188">
        <f>SUM(G23:H23)</f>
        <v>18261065.693333335</v>
      </c>
    </row>
    <row r="24" spans="1:9" ht="12.75">
      <c r="A24" s="134">
        <v>38439</v>
      </c>
      <c r="B24" s="210">
        <f t="shared" si="0"/>
        <v>87</v>
      </c>
      <c r="C24" s="60">
        <f t="shared" si="1"/>
        <v>103670000</v>
      </c>
      <c r="D24" s="175">
        <f>D22</f>
        <v>2962000</v>
      </c>
      <c r="E24" s="207"/>
      <c r="F24" s="175"/>
      <c r="G24" s="177"/>
      <c r="H24" s="177"/>
      <c r="I24" s="178"/>
    </row>
    <row r="25" spans="1:9" ht="12.75">
      <c r="A25" s="115">
        <v>38442</v>
      </c>
      <c r="B25" s="139">
        <f aca="true" t="shared" si="2" ref="B25:B72">A25-A24</f>
        <v>3</v>
      </c>
      <c r="C25" s="117">
        <f t="shared" si="1"/>
        <v>103670000</v>
      </c>
      <c r="D25" s="175"/>
      <c r="E25" s="207">
        <f>E23</f>
        <v>0.0408</v>
      </c>
      <c r="F25" s="117">
        <f>((C24+D24)*E25/360*B24)+((C25+D25)*E25/360*B25)</f>
        <v>1086639.32</v>
      </c>
      <c r="G25" s="185"/>
      <c r="H25" s="185"/>
      <c r="I25" s="186"/>
    </row>
    <row r="26" spans="1:9" ht="12.75">
      <c r="A26" s="115">
        <v>38531</v>
      </c>
      <c r="B26" s="139">
        <f t="shared" si="2"/>
        <v>89</v>
      </c>
      <c r="C26" s="117">
        <f t="shared" si="1"/>
        <v>100708000</v>
      </c>
      <c r="D26" s="175">
        <f>D24</f>
        <v>2962000</v>
      </c>
      <c r="E26" s="207"/>
      <c r="F26" s="175"/>
      <c r="G26" s="185"/>
      <c r="H26" s="185"/>
      <c r="I26" s="186"/>
    </row>
    <row r="27" spans="1:9" ht="12.75">
      <c r="A27" s="115">
        <v>38533</v>
      </c>
      <c r="B27" s="139">
        <f t="shared" si="2"/>
        <v>2</v>
      </c>
      <c r="C27" s="117">
        <f t="shared" si="1"/>
        <v>100708000</v>
      </c>
      <c r="D27" s="175"/>
      <c r="E27" s="207">
        <f>E25</f>
        <v>0.0408</v>
      </c>
      <c r="F27" s="117">
        <f>((C26+D26)*E27/360*B26)+((C27+D27)*E27/360*B27)</f>
        <v>1068511.88</v>
      </c>
      <c r="G27" s="185"/>
      <c r="H27" s="185"/>
      <c r="I27" s="186"/>
    </row>
    <row r="28" spans="1:9" ht="12.75">
      <c r="A28" s="115">
        <v>38623</v>
      </c>
      <c r="B28" s="139">
        <f t="shared" si="2"/>
        <v>90</v>
      </c>
      <c r="C28" s="117">
        <f t="shared" si="1"/>
        <v>97746000</v>
      </c>
      <c r="D28" s="175">
        <f>D26</f>
        <v>2962000</v>
      </c>
      <c r="E28" s="207"/>
      <c r="F28" s="175"/>
      <c r="G28" s="185"/>
      <c r="H28" s="185"/>
      <c r="I28" s="186"/>
    </row>
    <row r="29" spans="1:9" ht="12.75">
      <c r="A29" s="115">
        <v>38625</v>
      </c>
      <c r="B29" s="139">
        <f t="shared" si="2"/>
        <v>2</v>
      </c>
      <c r="C29" s="117">
        <f>C28-D29</f>
        <v>97746000</v>
      </c>
      <c r="D29" s="175"/>
      <c r="E29" s="207">
        <f>E27</f>
        <v>0.0408</v>
      </c>
      <c r="F29" s="117">
        <f>((C28+D28)*E29/360*B28)+((C29+D29)*E29/360*B29)</f>
        <v>1049377.36</v>
      </c>
      <c r="G29" s="185"/>
      <c r="H29" s="185"/>
      <c r="I29" s="186"/>
    </row>
    <row r="30" spans="1:9" ht="12.75">
      <c r="A30" s="115">
        <v>38714</v>
      </c>
      <c r="B30" s="139">
        <f t="shared" si="2"/>
        <v>89</v>
      </c>
      <c r="C30" s="117">
        <f t="shared" si="1"/>
        <v>94784000</v>
      </c>
      <c r="D30" s="175">
        <f>D28</f>
        <v>2962000</v>
      </c>
      <c r="E30" s="207"/>
      <c r="F30" s="175"/>
      <c r="G30" s="185"/>
      <c r="H30" s="185"/>
      <c r="I30" s="186"/>
    </row>
    <row r="31" spans="1:9" ht="12.75">
      <c r="A31" s="179">
        <v>38717</v>
      </c>
      <c r="B31" s="129">
        <f t="shared" si="2"/>
        <v>3</v>
      </c>
      <c r="C31" s="212">
        <f t="shared" si="1"/>
        <v>94784000</v>
      </c>
      <c r="D31" s="180"/>
      <c r="E31" s="209">
        <f>E29</f>
        <v>0.0408</v>
      </c>
      <c r="F31" s="117">
        <f>((C30+D30)*E31/360*B30)+((C31+D31)*E31/360*B31)</f>
        <v>1018157.8800000001</v>
      </c>
      <c r="G31" s="187">
        <f>SUM(F24:F31)</f>
        <v>4222686.44</v>
      </c>
      <c r="H31" s="187">
        <f>SUM(D24:D31)</f>
        <v>11848000</v>
      </c>
      <c r="I31" s="188">
        <f>SUM(G31:H31)</f>
        <v>16070686.440000001</v>
      </c>
    </row>
    <row r="32" spans="1:9" ht="12.75">
      <c r="A32" s="134">
        <v>38804</v>
      </c>
      <c r="B32" s="210">
        <f t="shared" si="2"/>
        <v>87</v>
      </c>
      <c r="C32" s="175">
        <f t="shared" si="1"/>
        <v>91822000</v>
      </c>
      <c r="D32" s="175">
        <f>D30</f>
        <v>2962000</v>
      </c>
      <c r="E32" s="207"/>
      <c r="F32" s="60"/>
      <c r="G32" s="177"/>
      <c r="H32" s="177"/>
      <c r="I32" s="178"/>
    </row>
    <row r="33" spans="1:9" ht="12.75">
      <c r="A33" s="115">
        <v>38807</v>
      </c>
      <c r="B33" s="139">
        <f t="shared" si="2"/>
        <v>3</v>
      </c>
      <c r="C33" s="175">
        <f t="shared" si="1"/>
        <v>91822000</v>
      </c>
      <c r="D33" s="175"/>
      <c r="E33" s="207">
        <f>E31</f>
        <v>0.0408</v>
      </c>
      <c r="F33" s="117">
        <f>((C32+D32)*E33/360*B32)+((C33+D33)*E33/360*B33)</f>
        <v>965789.72</v>
      </c>
      <c r="G33" s="185"/>
      <c r="H33" s="185"/>
      <c r="I33" s="186"/>
    </row>
    <row r="34" spans="1:9" ht="12.75">
      <c r="A34" s="115">
        <v>38896</v>
      </c>
      <c r="B34" s="139">
        <f t="shared" si="2"/>
        <v>89</v>
      </c>
      <c r="C34" s="175">
        <f t="shared" si="1"/>
        <v>88860000</v>
      </c>
      <c r="D34" s="175">
        <f>D32</f>
        <v>2962000</v>
      </c>
      <c r="E34" s="207"/>
      <c r="F34" s="117"/>
      <c r="G34" s="185"/>
      <c r="H34" s="185"/>
      <c r="I34" s="186"/>
    </row>
    <row r="35" spans="1:9" ht="12.75">
      <c r="A35" s="115">
        <v>38898</v>
      </c>
      <c r="B35" s="139">
        <f t="shared" si="2"/>
        <v>2</v>
      </c>
      <c r="C35" s="175">
        <f t="shared" si="1"/>
        <v>88860000</v>
      </c>
      <c r="D35" s="175"/>
      <c r="E35" s="207">
        <f>E33</f>
        <v>0.0408</v>
      </c>
      <c r="F35" s="117">
        <f>((C34+D34)*E35/360*B34)+((C35+D35)*E35/360*B35)</f>
        <v>946319.5066666667</v>
      </c>
      <c r="G35" s="185"/>
      <c r="H35" s="185"/>
      <c r="I35" s="186"/>
    </row>
    <row r="36" spans="1:9" ht="12.75">
      <c r="A36" s="115">
        <v>38988</v>
      </c>
      <c r="B36" s="139">
        <f t="shared" si="2"/>
        <v>90</v>
      </c>
      <c r="C36" s="175">
        <f t="shared" si="1"/>
        <v>85898000</v>
      </c>
      <c r="D36" s="175">
        <f>D34</f>
        <v>2962000</v>
      </c>
      <c r="E36" s="207"/>
      <c r="F36" s="117"/>
      <c r="G36" s="185"/>
      <c r="H36" s="185"/>
      <c r="I36" s="186"/>
    </row>
    <row r="37" spans="1:9" ht="12.75">
      <c r="A37" s="115">
        <v>38990</v>
      </c>
      <c r="B37" s="139">
        <f t="shared" si="2"/>
        <v>2</v>
      </c>
      <c r="C37" s="175">
        <f t="shared" si="1"/>
        <v>85898000</v>
      </c>
      <c r="D37" s="175"/>
      <c r="E37" s="207">
        <f>E35</f>
        <v>0.0408</v>
      </c>
      <c r="F37" s="117">
        <f>((C36+D36)*E37/360*B36)+((C37+D37)*E37/360*B37)</f>
        <v>925842.2133333335</v>
      </c>
      <c r="G37" s="185"/>
      <c r="H37" s="185"/>
      <c r="I37" s="186"/>
    </row>
    <row r="38" spans="1:9" ht="12.75">
      <c r="A38" s="115">
        <v>39079</v>
      </c>
      <c r="B38" s="139">
        <f t="shared" si="2"/>
        <v>89</v>
      </c>
      <c r="C38" s="175">
        <f t="shared" si="1"/>
        <v>82936000</v>
      </c>
      <c r="D38" s="175">
        <f>D36</f>
        <v>2962000</v>
      </c>
      <c r="E38" s="207"/>
      <c r="F38" s="117"/>
      <c r="G38" s="185"/>
      <c r="H38" s="185"/>
      <c r="I38" s="186"/>
    </row>
    <row r="39" spans="1:9" ht="12.75">
      <c r="A39" s="179">
        <v>39082</v>
      </c>
      <c r="B39" s="129">
        <f t="shared" si="2"/>
        <v>3</v>
      </c>
      <c r="C39" s="208">
        <f t="shared" si="1"/>
        <v>82936000</v>
      </c>
      <c r="D39" s="180"/>
      <c r="E39" s="209">
        <f>E37</f>
        <v>0.0408</v>
      </c>
      <c r="F39" s="130">
        <f>((C38+D38)*E39/360*B38)+((C39+D39)*E39/360*B39)</f>
        <v>894622.7333333335</v>
      </c>
      <c r="G39" s="187">
        <f>SUM(F32:F39)</f>
        <v>3732574.1733333333</v>
      </c>
      <c r="H39" s="187">
        <f>SUM(D32:D39)</f>
        <v>11848000</v>
      </c>
      <c r="I39" s="188">
        <f>SUM(G39:H39)</f>
        <v>15580574.173333334</v>
      </c>
    </row>
    <row r="40" spans="1:9" ht="12.75">
      <c r="A40" s="134">
        <v>39169</v>
      </c>
      <c r="B40" s="143">
        <f t="shared" si="2"/>
        <v>87</v>
      </c>
      <c r="C40" s="60">
        <f t="shared" si="1"/>
        <v>79974000</v>
      </c>
      <c r="D40" s="175">
        <f>D38</f>
        <v>2962000</v>
      </c>
      <c r="E40" s="207"/>
      <c r="F40" s="175"/>
      <c r="G40" s="177"/>
      <c r="H40" s="177"/>
      <c r="I40" s="178"/>
    </row>
    <row r="41" spans="1:9" ht="12.75">
      <c r="A41" s="115">
        <v>39172</v>
      </c>
      <c r="B41" s="139">
        <f t="shared" si="2"/>
        <v>3</v>
      </c>
      <c r="C41" s="117">
        <f>C40-D41</f>
        <v>79974000</v>
      </c>
      <c r="D41" s="175"/>
      <c r="E41" s="207">
        <f>E39</f>
        <v>0.0408</v>
      </c>
      <c r="F41" s="117">
        <f>((C40+D40)*E41/360*B40)+((C41+D41)*E41/360*B41)</f>
        <v>844940.1200000001</v>
      </c>
      <c r="G41" s="185"/>
      <c r="H41" s="185"/>
      <c r="I41" s="186"/>
    </row>
    <row r="42" spans="1:9" ht="12.75">
      <c r="A42" s="115">
        <v>39261</v>
      </c>
      <c r="B42" s="139">
        <f t="shared" si="2"/>
        <v>89</v>
      </c>
      <c r="C42" s="117">
        <f t="shared" si="1"/>
        <v>77012000</v>
      </c>
      <c r="D42" s="175">
        <f>D40</f>
        <v>2962000</v>
      </c>
      <c r="E42" s="207"/>
      <c r="F42" s="175"/>
      <c r="G42" s="185"/>
      <c r="H42" s="185"/>
      <c r="I42" s="186"/>
    </row>
    <row r="43" spans="1:9" ht="12.75">
      <c r="A43" s="115">
        <v>39263</v>
      </c>
      <c r="B43" s="139">
        <f t="shared" si="2"/>
        <v>2</v>
      </c>
      <c r="C43" s="117">
        <f t="shared" si="1"/>
        <v>77012000</v>
      </c>
      <c r="D43" s="175"/>
      <c r="E43" s="207">
        <f>E41</f>
        <v>0.0408</v>
      </c>
      <c r="F43" s="117">
        <f>((C42+D42)*E43/360*B42)+((C43+D43)*E43/360*B43)</f>
        <v>824127.1333333334</v>
      </c>
      <c r="G43" s="185"/>
      <c r="H43" s="185"/>
      <c r="I43" s="186"/>
    </row>
    <row r="44" spans="1:9" ht="12.75">
      <c r="A44" s="115">
        <v>39353</v>
      </c>
      <c r="B44" s="139">
        <f t="shared" si="2"/>
        <v>90</v>
      </c>
      <c r="C44" s="117">
        <f t="shared" si="1"/>
        <v>74050000</v>
      </c>
      <c r="D44" s="175">
        <f>D42</f>
        <v>2962000</v>
      </c>
      <c r="E44" s="207"/>
      <c r="F44" s="175"/>
      <c r="G44" s="185"/>
      <c r="H44" s="185"/>
      <c r="I44" s="186"/>
    </row>
    <row r="45" spans="1:9" ht="12.75">
      <c r="A45" s="115">
        <v>39355</v>
      </c>
      <c r="B45" s="139">
        <f t="shared" si="2"/>
        <v>2</v>
      </c>
      <c r="C45" s="117">
        <f t="shared" si="1"/>
        <v>74050000</v>
      </c>
      <c r="D45" s="175"/>
      <c r="E45" s="207">
        <f>E43</f>
        <v>0.0408</v>
      </c>
      <c r="F45" s="117">
        <f>((C44+D44)*E45/360*B44)+((C45+D45)*E45/360*B45)</f>
        <v>802307.0666666667</v>
      </c>
      <c r="G45" s="185"/>
      <c r="H45" s="185"/>
      <c r="I45" s="186"/>
    </row>
    <row r="46" spans="1:9" ht="12.75">
      <c r="A46" s="115">
        <v>39444</v>
      </c>
      <c r="B46" s="139">
        <f t="shared" si="2"/>
        <v>89</v>
      </c>
      <c r="C46" s="117">
        <f t="shared" si="1"/>
        <v>71088000</v>
      </c>
      <c r="D46" s="175">
        <f>D44</f>
        <v>2962000</v>
      </c>
      <c r="E46" s="207"/>
      <c r="F46" s="175"/>
      <c r="G46" s="185"/>
      <c r="H46" s="185"/>
      <c r="I46" s="186"/>
    </row>
    <row r="47" spans="1:9" ht="12.75">
      <c r="A47" s="179">
        <v>39447</v>
      </c>
      <c r="B47" s="139">
        <f t="shared" si="2"/>
        <v>3</v>
      </c>
      <c r="C47" s="212">
        <f t="shared" si="1"/>
        <v>71088000</v>
      </c>
      <c r="D47" s="180"/>
      <c r="E47" s="209">
        <f>E45</f>
        <v>0.0408</v>
      </c>
      <c r="F47" s="117">
        <f>((C46+D46)*E47/360*B46)+((C47+D47)*E47/360*B47)</f>
        <v>771087.5866666668</v>
      </c>
      <c r="G47" s="187">
        <f>SUM(F40:F47)</f>
        <v>3242461.906666667</v>
      </c>
      <c r="H47" s="187">
        <f>SUM(D40:D47)</f>
        <v>11848000</v>
      </c>
      <c r="I47" s="188">
        <f>SUM(G47:H47)</f>
        <v>15090461.906666666</v>
      </c>
    </row>
    <row r="48" spans="1:9" ht="12.75">
      <c r="A48" s="134">
        <v>39535</v>
      </c>
      <c r="B48" s="210">
        <f t="shared" si="2"/>
        <v>88</v>
      </c>
      <c r="C48" s="175">
        <f t="shared" si="1"/>
        <v>68126000</v>
      </c>
      <c r="D48" s="175">
        <f>D46</f>
        <v>2962000</v>
      </c>
      <c r="E48" s="207"/>
      <c r="F48" s="60"/>
      <c r="G48" s="177"/>
      <c r="H48" s="177"/>
      <c r="I48" s="178"/>
    </row>
    <row r="49" spans="1:9" ht="12.75">
      <c r="A49" s="115">
        <v>39538</v>
      </c>
      <c r="B49" s="139">
        <f t="shared" si="2"/>
        <v>3</v>
      </c>
      <c r="C49" s="175">
        <f t="shared" si="1"/>
        <v>68126000</v>
      </c>
      <c r="D49" s="175"/>
      <c r="E49" s="207">
        <f>E47</f>
        <v>0.0408</v>
      </c>
      <c r="F49" s="117">
        <f>((C48+D48)*E49/360*B48)+((C49+D49)*E49/360*B49)</f>
        <v>732147.16</v>
      </c>
      <c r="G49" s="185"/>
      <c r="H49" s="185"/>
      <c r="I49" s="186"/>
    </row>
    <row r="50" spans="1:9" ht="12.75">
      <c r="A50" s="115">
        <v>39627</v>
      </c>
      <c r="B50" s="139">
        <f t="shared" si="2"/>
        <v>89</v>
      </c>
      <c r="C50" s="175">
        <f t="shared" si="1"/>
        <v>65164000</v>
      </c>
      <c r="D50" s="175">
        <f>D48</f>
        <v>2962000</v>
      </c>
      <c r="E50" s="207"/>
      <c r="F50" s="117"/>
      <c r="G50" s="185"/>
      <c r="H50" s="185"/>
      <c r="I50" s="186"/>
    </row>
    <row r="51" spans="1:9" ht="12.75">
      <c r="A51" s="115">
        <v>39629</v>
      </c>
      <c r="B51" s="139">
        <f t="shared" si="2"/>
        <v>2</v>
      </c>
      <c r="C51" s="175">
        <f t="shared" si="1"/>
        <v>65164000</v>
      </c>
      <c r="D51" s="175"/>
      <c r="E51" s="207">
        <f>E49</f>
        <v>0.0408</v>
      </c>
      <c r="F51" s="117">
        <f>((C50+D50)*E51/360*B50)+((C51+D51)*E51/360*B51)</f>
        <v>701934.7600000001</v>
      </c>
      <c r="G51" s="185"/>
      <c r="H51" s="185"/>
      <c r="I51" s="186"/>
    </row>
    <row r="52" spans="1:9" ht="12.75">
      <c r="A52" s="115">
        <v>39719</v>
      </c>
      <c r="B52" s="139">
        <f t="shared" si="2"/>
        <v>90</v>
      </c>
      <c r="C52" s="175">
        <f>C51-D52</f>
        <v>62202000</v>
      </c>
      <c r="D52" s="175">
        <f>D50</f>
        <v>2962000</v>
      </c>
      <c r="E52" s="207"/>
      <c r="F52" s="117"/>
      <c r="G52" s="185"/>
      <c r="H52" s="185"/>
      <c r="I52" s="186"/>
    </row>
    <row r="53" spans="1:9" ht="12.75">
      <c r="A53" s="121">
        <v>39721</v>
      </c>
      <c r="B53" s="122">
        <f t="shared" si="2"/>
        <v>2</v>
      </c>
      <c r="C53" s="191">
        <f t="shared" si="1"/>
        <v>62202000</v>
      </c>
      <c r="D53" s="191"/>
      <c r="E53" s="213">
        <f>E51</f>
        <v>0.0408</v>
      </c>
      <c r="F53" s="59">
        <f>((C52+D52)*E53/360*B52)+((C53+D53)*E53/360*B53)</f>
        <v>678771.92</v>
      </c>
      <c r="G53" s="192"/>
      <c r="H53" s="192"/>
      <c r="I53" s="193"/>
    </row>
    <row r="54" spans="1:9" ht="12.75">
      <c r="A54" s="121">
        <v>39810</v>
      </c>
      <c r="B54" s="122">
        <f t="shared" si="2"/>
        <v>89</v>
      </c>
      <c r="C54" s="191">
        <f t="shared" si="1"/>
        <v>59240000</v>
      </c>
      <c r="D54" s="191">
        <f>D52</f>
        <v>2962000</v>
      </c>
      <c r="E54" s="213"/>
      <c r="F54" s="59"/>
      <c r="G54" s="192"/>
      <c r="H54" s="192"/>
      <c r="I54" s="193"/>
    </row>
    <row r="55" spans="1:9" ht="12.75">
      <c r="A55" s="128">
        <v>39813</v>
      </c>
      <c r="B55" s="129">
        <f t="shared" si="2"/>
        <v>3</v>
      </c>
      <c r="C55" s="181">
        <f t="shared" si="1"/>
        <v>59240000</v>
      </c>
      <c r="D55" s="181"/>
      <c r="E55" s="214">
        <f>E53</f>
        <v>0.0408</v>
      </c>
      <c r="F55" s="130">
        <f>((C54+D54)*E55/360*B54)+((C55+D55)*E55/360*B55)</f>
        <v>647552.4400000001</v>
      </c>
      <c r="G55" s="182">
        <f>SUM(F48:F55)</f>
        <v>2760406.2800000003</v>
      </c>
      <c r="H55" s="182">
        <f>SUM(D48:D55)</f>
        <v>11848000</v>
      </c>
      <c r="I55" s="183">
        <f>SUM(G55:H55)</f>
        <v>14608406.280000001</v>
      </c>
    </row>
    <row r="56" spans="1:9" ht="12.75">
      <c r="A56" s="134">
        <v>39900</v>
      </c>
      <c r="B56" s="135">
        <f t="shared" si="2"/>
        <v>87</v>
      </c>
      <c r="C56" s="60">
        <f t="shared" si="1"/>
        <v>56278000</v>
      </c>
      <c r="D56" s="176">
        <f>D54</f>
        <v>2962000</v>
      </c>
      <c r="E56" s="211"/>
      <c r="F56" s="176"/>
      <c r="G56" s="177"/>
      <c r="H56" s="177"/>
      <c r="I56" s="178"/>
    </row>
    <row r="57" spans="1:9" ht="12.75">
      <c r="A57" s="115">
        <v>39903</v>
      </c>
      <c r="B57" s="139">
        <f t="shared" si="2"/>
        <v>3</v>
      </c>
      <c r="C57" s="117">
        <f t="shared" si="1"/>
        <v>56278000</v>
      </c>
      <c r="D57" s="175"/>
      <c r="E57" s="207">
        <f>E55</f>
        <v>0.0408</v>
      </c>
      <c r="F57" s="117">
        <f>((C56+D56)*E57/360*B56)+((C57+D57)*E57/360*B57)</f>
        <v>603240.92</v>
      </c>
      <c r="G57" s="185"/>
      <c r="H57" s="185"/>
      <c r="I57" s="186"/>
    </row>
    <row r="58" spans="1:9" ht="12.75">
      <c r="A58" s="115">
        <v>39992</v>
      </c>
      <c r="B58" s="139">
        <f t="shared" si="2"/>
        <v>89</v>
      </c>
      <c r="C58" s="117">
        <f t="shared" si="1"/>
        <v>53316000</v>
      </c>
      <c r="D58" s="175">
        <f>D56</f>
        <v>2962000</v>
      </c>
      <c r="E58" s="207"/>
      <c r="F58" s="175"/>
      <c r="G58" s="185"/>
      <c r="H58" s="185"/>
      <c r="I58" s="186"/>
    </row>
    <row r="59" spans="1:9" ht="12.75">
      <c r="A59" s="115">
        <v>39994</v>
      </c>
      <c r="B59" s="139">
        <f t="shared" si="2"/>
        <v>2</v>
      </c>
      <c r="C59" s="117">
        <f t="shared" si="1"/>
        <v>53316000</v>
      </c>
      <c r="D59" s="175"/>
      <c r="E59" s="207">
        <f>E57</f>
        <v>0.0408</v>
      </c>
      <c r="F59" s="117">
        <f>((C58+D58)*E59/360*B58)+((C59+D59)*E59/360*B59)</f>
        <v>579742.3866666667</v>
      </c>
      <c r="G59" s="185"/>
      <c r="H59" s="185"/>
      <c r="I59" s="186"/>
    </row>
    <row r="60" spans="1:9" ht="12.75">
      <c r="A60" s="115">
        <v>40084</v>
      </c>
      <c r="B60" s="139">
        <f t="shared" si="2"/>
        <v>90</v>
      </c>
      <c r="C60" s="117">
        <f t="shared" si="1"/>
        <v>50354000</v>
      </c>
      <c r="D60" s="175">
        <f>D58</f>
        <v>2962000</v>
      </c>
      <c r="E60" s="207"/>
      <c r="F60" s="175"/>
      <c r="G60" s="185"/>
      <c r="H60" s="185"/>
      <c r="I60" s="186"/>
    </row>
    <row r="61" spans="1:9" ht="12.75">
      <c r="A61" s="115">
        <v>40086</v>
      </c>
      <c r="B61" s="139">
        <f t="shared" si="2"/>
        <v>2</v>
      </c>
      <c r="C61" s="117">
        <f t="shared" si="1"/>
        <v>50354000</v>
      </c>
      <c r="D61" s="175"/>
      <c r="E61" s="207">
        <f>E59</f>
        <v>0.0408</v>
      </c>
      <c r="F61" s="117">
        <f>((C60+D60)*E61/360*B60)+((C61+D61)*E61/360*B61)</f>
        <v>555236.7733333334</v>
      </c>
      <c r="G61" s="185"/>
      <c r="H61" s="185"/>
      <c r="I61" s="186"/>
    </row>
    <row r="62" spans="1:9" ht="12.75">
      <c r="A62" s="115">
        <v>40175</v>
      </c>
      <c r="B62" s="139">
        <f t="shared" si="2"/>
        <v>89</v>
      </c>
      <c r="C62" s="117">
        <f t="shared" si="1"/>
        <v>47392000</v>
      </c>
      <c r="D62" s="175">
        <f>D60</f>
        <v>2962000</v>
      </c>
      <c r="E62" s="207"/>
      <c r="F62" s="175"/>
      <c r="G62" s="185"/>
      <c r="H62" s="185"/>
      <c r="I62" s="186"/>
    </row>
    <row r="63" spans="1:9" ht="12.75">
      <c r="A63" s="179">
        <v>40178</v>
      </c>
      <c r="B63" s="139">
        <f t="shared" si="2"/>
        <v>3</v>
      </c>
      <c r="C63" s="212">
        <f t="shared" si="1"/>
        <v>47392000</v>
      </c>
      <c r="D63" s="180"/>
      <c r="E63" s="209">
        <f>E61</f>
        <v>0.0408</v>
      </c>
      <c r="F63" s="117">
        <f>((C62+D62)*E63/360*B62)+((C63+D63)*E63/360*B63)</f>
        <v>524017.29333333333</v>
      </c>
      <c r="G63" s="187">
        <f>SUM(F56:F63)</f>
        <v>2262237.3733333335</v>
      </c>
      <c r="H63" s="187">
        <f>SUM(D56:D63)</f>
        <v>11848000</v>
      </c>
      <c r="I63" s="188">
        <f>SUM(G63:H63)</f>
        <v>14110237.373333333</v>
      </c>
    </row>
    <row r="64" spans="1:9" ht="12.75">
      <c r="A64" s="134">
        <v>40265</v>
      </c>
      <c r="B64" s="210">
        <f t="shared" si="2"/>
        <v>87</v>
      </c>
      <c r="C64" s="175">
        <f t="shared" si="1"/>
        <v>44430000</v>
      </c>
      <c r="D64" s="175">
        <f>D62</f>
        <v>2962000</v>
      </c>
      <c r="E64" s="207"/>
      <c r="F64" s="60"/>
      <c r="G64" s="177"/>
      <c r="H64" s="177"/>
      <c r="I64" s="178"/>
    </row>
    <row r="65" spans="1:9" ht="12.75">
      <c r="A65" s="115">
        <v>40268</v>
      </c>
      <c r="B65" s="139">
        <f t="shared" si="2"/>
        <v>3</v>
      </c>
      <c r="C65" s="175">
        <f t="shared" si="1"/>
        <v>44430000</v>
      </c>
      <c r="D65" s="175"/>
      <c r="E65" s="207">
        <f>E63</f>
        <v>0.0408</v>
      </c>
      <c r="F65" s="117">
        <f>((C64+D64)*E65/360*B64)+((C65+D65)*E65/360*B65)</f>
        <v>482391.32</v>
      </c>
      <c r="G65" s="185"/>
      <c r="H65" s="185"/>
      <c r="I65" s="186"/>
    </row>
    <row r="66" spans="1:9" ht="12.75">
      <c r="A66" s="115">
        <v>40357</v>
      </c>
      <c r="B66" s="139">
        <f t="shared" si="2"/>
        <v>89</v>
      </c>
      <c r="C66" s="175">
        <f t="shared" si="1"/>
        <v>41468000</v>
      </c>
      <c r="D66" s="175">
        <f>D64</f>
        <v>2962000</v>
      </c>
      <c r="E66" s="207"/>
      <c r="F66" s="117"/>
      <c r="G66" s="185"/>
      <c r="H66" s="185"/>
      <c r="I66" s="186"/>
    </row>
    <row r="67" spans="1:9" ht="12.75">
      <c r="A67" s="115">
        <v>40359</v>
      </c>
      <c r="B67" s="139">
        <f t="shared" si="2"/>
        <v>2</v>
      </c>
      <c r="C67" s="175">
        <f t="shared" si="1"/>
        <v>41468000</v>
      </c>
      <c r="D67" s="175"/>
      <c r="E67" s="207">
        <f>E65</f>
        <v>0.0408</v>
      </c>
      <c r="F67" s="117">
        <f>((C66+D66)*E67/360*B66)+((C67+D67)*E67/360*B67)</f>
        <v>457550.01333333337</v>
      </c>
      <c r="G67" s="185"/>
      <c r="H67" s="185"/>
      <c r="I67" s="186"/>
    </row>
    <row r="68" spans="1:9" ht="12.75">
      <c r="A68" s="115">
        <v>40449</v>
      </c>
      <c r="B68" s="139">
        <f t="shared" si="2"/>
        <v>90</v>
      </c>
      <c r="C68" s="175">
        <f>C67-D68</f>
        <v>38506000</v>
      </c>
      <c r="D68" s="175">
        <f>D66</f>
        <v>2962000</v>
      </c>
      <c r="E68" s="207"/>
      <c r="F68" s="117"/>
      <c r="G68" s="185"/>
      <c r="H68" s="185"/>
      <c r="I68" s="186"/>
    </row>
    <row r="69" spans="1:9" ht="12.75">
      <c r="A69" s="115">
        <v>40451</v>
      </c>
      <c r="B69" s="139">
        <f t="shared" si="2"/>
        <v>2</v>
      </c>
      <c r="C69" s="175">
        <f t="shared" si="1"/>
        <v>38506000</v>
      </c>
      <c r="D69" s="175"/>
      <c r="E69" s="207">
        <f>E67</f>
        <v>0.0408</v>
      </c>
      <c r="F69" s="117">
        <f>((C68+D68)*E69/360*B68)+((C69+D69)*E69/360*B69)</f>
        <v>431701.6266666667</v>
      </c>
      <c r="G69" s="185"/>
      <c r="H69" s="185"/>
      <c r="I69" s="186"/>
    </row>
    <row r="70" spans="1:9" ht="12.75">
      <c r="A70" s="115">
        <v>40540</v>
      </c>
      <c r="B70" s="139">
        <f t="shared" si="2"/>
        <v>89</v>
      </c>
      <c r="C70" s="175">
        <f t="shared" si="1"/>
        <v>35544000</v>
      </c>
      <c r="D70" s="175">
        <f>D68</f>
        <v>2962000</v>
      </c>
      <c r="E70" s="207"/>
      <c r="F70" s="117"/>
      <c r="G70" s="185"/>
      <c r="H70" s="185"/>
      <c r="I70" s="186"/>
    </row>
    <row r="71" spans="1:9" ht="12.75">
      <c r="A71" s="179">
        <v>40543</v>
      </c>
      <c r="B71" s="129">
        <f t="shared" si="2"/>
        <v>3</v>
      </c>
      <c r="C71" s="208">
        <f t="shared" si="1"/>
        <v>35544000</v>
      </c>
      <c r="D71" s="180"/>
      <c r="E71" s="209">
        <f>E69</f>
        <v>0.0408</v>
      </c>
      <c r="F71" s="130">
        <f>((C70+D70)*E71/360*B70)+((C71+D71)*E71/360*B71)</f>
        <v>400482.14666666667</v>
      </c>
      <c r="G71" s="187">
        <f>SUM(F64:F71)</f>
        <v>1772125.1066666667</v>
      </c>
      <c r="H71" s="187">
        <f>SUM(D64:D71)</f>
        <v>11848000</v>
      </c>
      <c r="I71" s="188">
        <f>SUM(G71:H71)</f>
        <v>13620125.106666667</v>
      </c>
    </row>
    <row r="72" spans="1:9" ht="12.75">
      <c r="A72" s="134">
        <v>40630</v>
      </c>
      <c r="B72" s="143">
        <f t="shared" si="2"/>
        <v>87</v>
      </c>
      <c r="C72" s="60">
        <f t="shared" si="1"/>
        <v>32582000</v>
      </c>
      <c r="D72" s="175">
        <f>D70</f>
        <v>2962000</v>
      </c>
      <c r="E72" s="207"/>
      <c r="F72" s="175"/>
      <c r="G72" s="177"/>
      <c r="H72" s="177"/>
      <c r="I72" s="178"/>
    </row>
    <row r="73" spans="1:9" ht="12.75">
      <c r="A73" s="115">
        <v>40633</v>
      </c>
      <c r="B73" s="139">
        <f aca="true" t="shared" si="3" ref="B73:B94">A73-A72</f>
        <v>3</v>
      </c>
      <c r="C73" s="117">
        <f t="shared" si="1"/>
        <v>32582000</v>
      </c>
      <c r="D73" s="175"/>
      <c r="E73" s="207">
        <f>E71</f>
        <v>0.0408</v>
      </c>
      <c r="F73" s="117">
        <f>((C72+D72)*E73/360*B72)+((C73+D73)*E73/360*B73)</f>
        <v>361541.72000000003</v>
      </c>
      <c r="G73" s="185"/>
      <c r="H73" s="185"/>
      <c r="I73" s="186"/>
    </row>
    <row r="74" spans="1:9" ht="12.75">
      <c r="A74" s="115">
        <v>40722</v>
      </c>
      <c r="B74" s="139">
        <f t="shared" si="3"/>
        <v>89</v>
      </c>
      <c r="C74" s="117">
        <f aca="true" t="shared" si="4" ref="C74:C82">C73-D74</f>
        <v>29620000</v>
      </c>
      <c r="D74" s="175">
        <f>D72</f>
        <v>2962000</v>
      </c>
      <c r="E74" s="207"/>
      <c r="F74" s="175"/>
      <c r="G74" s="185"/>
      <c r="H74" s="185"/>
      <c r="I74" s="186"/>
    </row>
    <row r="75" spans="1:9" ht="12.75">
      <c r="A75" s="115">
        <v>40724</v>
      </c>
      <c r="B75" s="139">
        <f t="shared" si="3"/>
        <v>2</v>
      </c>
      <c r="C75" s="117">
        <f t="shared" si="4"/>
        <v>29620000</v>
      </c>
      <c r="D75" s="175"/>
      <c r="E75" s="207">
        <f>E73</f>
        <v>0.0408</v>
      </c>
      <c r="F75" s="117">
        <f>((C74+D74)*E75/360*B74)+((C75+D75)*E75/360*B75)</f>
        <v>335357.64</v>
      </c>
      <c r="G75" s="185"/>
      <c r="H75" s="185"/>
      <c r="I75" s="186"/>
    </row>
    <row r="76" spans="1:9" ht="12.75">
      <c r="A76" s="115">
        <v>40814</v>
      </c>
      <c r="B76" s="139">
        <f t="shared" si="3"/>
        <v>90</v>
      </c>
      <c r="C76" s="117">
        <f t="shared" si="4"/>
        <v>26658000</v>
      </c>
      <c r="D76" s="175">
        <f>D74</f>
        <v>2962000</v>
      </c>
      <c r="E76" s="207"/>
      <c r="F76" s="175"/>
      <c r="G76" s="185"/>
      <c r="H76" s="185"/>
      <c r="I76" s="186"/>
    </row>
    <row r="77" spans="1:9" ht="12.75">
      <c r="A77" s="115">
        <v>40816</v>
      </c>
      <c r="B77" s="139">
        <f t="shared" si="3"/>
        <v>2</v>
      </c>
      <c r="C77" s="117">
        <f t="shared" si="4"/>
        <v>26658000</v>
      </c>
      <c r="D77" s="175"/>
      <c r="E77" s="207">
        <f>E75</f>
        <v>0.0408</v>
      </c>
      <c r="F77" s="117">
        <f>((C76+D76)*E77/360*B76)+((C77+D77)*E77/360*B77)</f>
        <v>308166.48</v>
      </c>
      <c r="G77" s="185"/>
      <c r="H77" s="185"/>
      <c r="I77" s="186"/>
    </row>
    <row r="78" spans="1:9" ht="12.75">
      <c r="A78" s="115">
        <v>40905</v>
      </c>
      <c r="B78" s="139">
        <f t="shared" si="3"/>
        <v>89</v>
      </c>
      <c r="C78" s="117">
        <f t="shared" si="4"/>
        <v>23696000</v>
      </c>
      <c r="D78" s="175">
        <f>D76</f>
        <v>2962000</v>
      </c>
      <c r="E78" s="207"/>
      <c r="F78" s="175"/>
      <c r="G78" s="185"/>
      <c r="H78" s="185"/>
      <c r="I78" s="186"/>
    </row>
    <row r="79" spans="1:9" ht="12.75">
      <c r="A79" s="179">
        <v>40908</v>
      </c>
      <c r="B79" s="139">
        <f t="shared" si="3"/>
        <v>3</v>
      </c>
      <c r="C79" s="212">
        <f t="shared" si="4"/>
        <v>23696000</v>
      </c>
      <c r="D79" s="180"/>
      <c r="E79" s="209">
        <f>E77</f>
        <v>0.0408</v>
      </c>
      <c r="F79" s="117">
        <f>((C78+D78)*E79/360*B78)+((C79+D79)*E79/360*B79)</f>
        <v>276947.00000000006</v>
      </c>
      <c r="G79" s="187">
        <f>SUM(F72:F79)</f>
        <v>1282012.84</v>
      </c>
      <c r="H79" s="187">
        <f>SUM(D72:D79)</f>
        <v>11848000</v>
      </c>
      <c r="I79" s="188">
        <f>SUM(G79:H79)</f>
        <v>13130012.84</v>
      </c>
    </row>
    <row r="80" spans="1:9" ht="12.75">
      <c r="A80" s="134">
        <v>40996</v>
      </c>
      <c r="B80" s="210">
        <f t="shared" si="3"/>
        <v>88</v>
      </c>
      <c r="C80" s="60">
        <f t="shared" si="4"/>
        <v>20734000</v>
      </c>
      <c r="D80" s="175">
        <f>D78</f>
        <v>2962000</v>
      </c>
      <c r="E80" s="207"/>
      <c r="F80" s="60"/>
      <c r="G80" s="177"/>
      <c r="H80" s="177"/>
      <c r="I80" s="178"/>
    </row>
    <row r="81" spans="1:9" ht="12.75">
      <c r="A81" s="115">
        <v>40999</v>
      </c>
      <c r="B81" s="139">
        <f t="shared" si="3"/>
        <v>3</v>
      </c>
      <c r="C81" s="117">
        <f t="shared" si="4"/>
        <v>20734000</v>
      </c>
      <c r="D81" s="175"/>
      <c r="E81" s="207">
        <f>E79</f>
        <v>0.0408</v>
      </c>
      <c r="F81" s="117">
        <f>((C80+D80)*E81/360*B80)+((C81+D81)*E81/360*B81)</f>
        <v>243377.66666666666</v>
      </c>
      <c r="G81" s="185"/>
      <c r="H81" s="185"/>
      <c r="I81" s="186"/>
    </row>
    <row r="82" spans="1:9" ht="12.75">
      <c r="A82" s="115">
        <v>41088</v>
      </c>
      <c r="B82" s="139">
        <f t="shared" si="3"/>
        <v>89</v>
      </c>
      <c r="C82" s="117">
        <f t="shared" si="4"/>
        <v>17772000</v>
      </c>
      <c r="D82" s="175">
        <f>D80</f>
        <v>2962000</v>
      </c>
      <c r="E82" s="207"/>
      <c r="F82" s="117"/>
      <c r="G82" s="185"/>
      <c r="H82" s="185"/>
      <c r="I82" s="186"/>
    </row>
    <row r="83" spans="1:9" ht="12.75">
      <c r="A83" s="115">
        <v>41090</v>
      </c>
      <c r="B83" s="139">
        <f t="shared" si="3"/>
        <v>2</v>
      </c>
      <c r="C83" s="117">
        <f>C82-D83</f>
        <v>17772000</v>
      </c>
      <c r="D83" s="175"/>
      <c r="E83" s="207">
        <f>E81</f>
        <v>0.0408</v>
      </c>
      <c r="F83" s="117">
        <f>((C82+D82)*E83/360*B82)+((C83+D83)*E83/360*B83)</f>
        <v>213165.2666666667</v>
      </c>
      <c r="G83" s="185"/>
      <c r="H83" s="185"/>
      <c r="I83" s="186"/>
    </row>
    <row r="84" spans="1:9" ht="12.75">
      <c r="A84" s="115">
        <v>41180</v>
      </c>
      <c r="B84" s="139">
        <f t="shared" si="3"/>
        <v>90</v>
      </c>
      <c r="C84" s="117">
        <f aca="true" t="shared" si="5" ref="C84:C94">C83-D84</f>
        <v>14810000</v>
      </c>
      <c r="D84" s="175">
        <f>D82</f>
        <v>2962000</v>
      </c>
      <c r="E84" s="207"/>
      <c r="F84" s="117"/>
      <c r="G84" s="185"/>
      <c r="H84" s="185"/>
      <c r="I84" s="186"/>
    </row>
    <row r="85" spans="1:9" ht="12.75">
      <c r="A85" s="115">
        <v>41182</v>
      </c>
      <c r="B85" s="139">
        <f t="shared" si="3"/>
        <v>2</v>
      </c>
      <c r="C85" s="117">
        <f t="shared" si="5"/>
        <v>14810000</v>
      </c>
      <c r="D85" s="175"/>
      <c r="E85" s="207">
        <f>E83</f>
        <v>0.0408</v>
      </c>
      <c r="F85" s="117">
        <f>((C84+D84)*E85/360*B84)+((C85+D85)*E85/360*B85)</f>
        <v>184631.33333333334</v>
      </c>
      <c r="G85" s="185"/>
      <c r="H85" s="185"/>
      <c r="I85" s="186"/>
    </row>
    <row r="86" spans="1:9" ht="12.75">
      <c r="A86" s="115">
        <v>41271</v>
      </c>
      <c r="B86" s="139">
        <f t="shared" si="3"/>
        <v>89</v>
      </c>
      <c r="C86" s="117">
        <f t="shared" si="5"/>
        <v>11848000</v>
      </c>
      <c r="D86" s="175">
        <f>D84</f>
        <v>2962000</v>
      </c>
      <c r="E86" s="207"/>
      <c r="F86" s="117"/>
      <c r="G86" s="185"/>
      <c r="H86" s="185"/>
      <c r="I86" s="186"/>
    </row>
    <row r="87" spans="1:9" ht="12.75">
      <c r="A87" s="179">
        <v>41274</v>
      </c>
      <c r="B87" s="129">
        <f t="shared" si="3"/>
        <v>3</v>
      </c>
      <c r="C87" s="212">
        <f t="shared" si="5"/>
        <v>11848000</v>
      </c>
      <c r="D87" s="180"/>
      <c r="E87" s="209">
        <f>E85</f>
        <v>0.0408</v>
      </c>
      <c r="F87" s="130">
        <f>((C86+D86)*E87/360*B86)+((C87+D87)*E87/360*B87)</f>
        <v>153411.85333333333</v>
      </c>
      <c r="G87" s="187">
        <f>SUM(F80:F87)</f>
        <v>794586.1200000001</v>
      </c>
      <c r="H87" s="187">
        <f>SUM(D80:D87)</f>
        <v>11848000</v>
      </c>
      <c r="I87" s="188">
        <f>SUM(G87:H87)</f>
        <v>12642586.120000001</v>
      </c>
    </row>
    <row r="88" spans="1:9" ht="12.75">
      <c r="A88" s="134">
        <v>41361</v>
      </c>
      <c r="B88" s="143">
        <f t="shared" si="3"/>
        <v>87</v>
      </c>
      <c r="C88" s="175">
        <f t="shared" si="5"/>
        <v>8886000</v>
      </c>
      <c r="D88" s="175">
        <f>D86</f>
        <v>2962000</v>
      </c>
      <c r="E88" s="207"/>
      <c r="F88" s="175"/>
      <c r="G88" s="177"/>
      <c r="H88" s="177"/>
      <c r="I88" s="178"/>
    </row>
    <row r="89" spans="1:9" ht="12.75">
      <c r="A89" s="115">
        <v>41364</v>
      </c>
      <c r="B89" s="139">
        <f t="shared" si="3"/>
        <v>3</v>
      </c>
      <c r="C89" s="175">
        <f t="shared" si="5"/>
        <v>8886000</v>
      </c>
      <c r="D89" s="175"/>
      <c r="E89" s="207">
        <f>E87</f>
        <v>0.0408</v>
      </c>
      <c r="F89" s="117">
        <f>((C88+D88)*E89/360*B88)+((C89+D89)*E89/360*B89)</f>
        <v>119842.52</v>
      </c>
      <c r="G89" s="185"/>
      <c r="H89" s="185"/>
      <c r="I89" s="186"/>
    </row>
    <row r="90" spans="1:9" ht="12.75">
      <c r="A90" s="115">
        <v>41453</v>
      </c>
      <c r="B90" s="139">
        <f t="shared" si="3"/>
        <v>89</v>
      </c>
      <c r="C90" s="175">
        <f t="shared" si="5"/>
        <v>5924000</v>
      </c>
      <c r="D90" s="175">
        <f>D88</f>
        <v>2962000</v>
      </c>
      <c r="E90" s="207"/>
      <c r="F90" s="175"/>
      <c r="G90" s="185"/>
      <c r="H90" s="185"/>
      <c r="I90" s="186"/>
    </row>
    <row r="91" spans="1:9" ht="12.75">
      <c r="A91" s="115">
        <v>41455</v>
      </c>
      <c r="B91" s="139">
        <f t="shared" si="3"/>
        <v>2</v>
      </c>
      <c r="C91" s="175">
        <f t="shared" si="5"/>
        <v>5924000</v>
      </c>
      <c r="D91" s="175"/>
      <c r="E91" s="207">
        <f>E89</f>
        <v>0.0408</v>
      </c>
      <c r="F91" s="117">
        <f>((C90+D90)*E91/360*B90)+((C91+D91)*E91/360*B91)</f>
        <v>90972.89333333334</v>
      </c>
      <c r="G91" s="185"/>
      <c r="H91" s="185"/>
      <c r="I91" s="186"/>
    </row>
    <row r="92" spans="1:9" ht="12.75">
      <c r="A92" s="115">
        <v>41545</v>
      </c>
      <c r="B92" s="139">
        <f t="shared" si="3"/>
        <v>90</v>
      </c>
      <c r="C92" s="175">
        <f t="shared" si="5"/>
        <v>2962000</v>
      </c>
      <c r="D92" s="175">
        <f>D90</f>
        <v>2962000</v>
      </c>
      <c r="E92" s="207"/>
      <c r="F92" s="175"/>
      <c r="G92" s="185"/>
      <c r="H92" s="185"/>
      <c r="I92" s="186"/>
    </row>
    <row r="93" spans="1:9" ht="12.75">
      <c r="A93" s="115">
        <v>41547</v>
      </c>
      <c r="B93" s="139">
        <f t="shared" si="3"/>
        <v>2</v>
      </c>
      <c r="C93" s="175">
        <f t="shared" si="5"/>
        <v>2962000</v>
      </c>
      <c r="D93" s="175"/>
      <c r="E93" s="207">
        <f>E91</f>
        <v>0.0408</v>
      </c>
      <c r="F93" s="117">
        <f>((C92+D92)*E93/360*B92)+((C93+D93)*E93/360*B93)</f>
        <v>61096.18666666666</v>
      </c>
      <c r="G93" s="185"/>
      <c r="H93" s="185"/>
      <c r="I93" s="186"/>
    </row>
    <row r="94" spans="1:9" ht="13.5" thickBot="1">
      <c r="A94" s="115">
        <v>41636</v>
      </c>
      <c r="B94" s="139">
        <f t="shared" si="3"/>
        <v>89</v>
      </c>
      <c r="C94" s="175">
        <f t="shared" si="5"/>
        <v>0</v>
      </c>
      <c r="D94" s="175">
        <f>D92</f>
        <v>2962000</v>
      </c>
      <c r="E94" s="207">
        <f>E93</f>
        <v>0.0408</v>
      </c>
      <c r="F94" s="117">
        <f>((C94+D94)*E94/360*B94)</f>
        <v>29876.706666666665</v>
      </c>
      <c r="G94" s="187">
        <f>SUM(F88:F94)</f>
        <v>301788.30666666664</v>
      </c>
      <c r="H94" s="187">
        <f>SUM(D88:D94)</f>
        <v>11848000</v>
      </c>
      <c r="I94" s="188">
        <f>SUM(G94:H94)</f>
        <v>12149788.306666667</v>
      </c>
    </row>
    <row r="95" spans="1:9" ht="13.5" thickTop="1">
      <c r="A95" s="194" t="s">
        <v>14</v>
      </c>
      <c r="B95" s="195"/>
      <c r="C95" s="196"/>
      <c r="D95" s="197">
        <f>SUM(D8:D94)</f>
        <v>124412000</v>
      </c>
      <c r="E95" s="215"/>
      <c r="F95" s="197">
        <f>SUM(F8:F94)</f>
        <v>32768299.24000001</v>
      </c>
      <c r="G95" s="197">
        <f>SUM(G8:G94)</f>
        <v>32768299.240000002</v>
      </c>
      <c r="H95" s="197">
        <f>SUM(H8:H94)</f>
        <v>124412000</v>
      </c>
      <c r="I95" s="216">
        <f>SUM(I8:I94)</f>
        <v>157180299.24</v>
      </c>
    </row>
    <row r="96" spans="1:9" ht="12.75">
      <c r="A96" s="217"/>
      <c r="B96" s="218"/>
      <c r="C96" s="219"/>
      <c r="D96" s="220"/>
      <c r="E96" s="221"/>
      <c r="F96" s="220"/>
      <c r="G96" s="220"/>
      <c r="H96" s="220"/>
      <c r="I96" s="220"/>
    </row>
    <row r="97" spans="1:9" ht="12.75">
      <c r="A97" s="199" t="s">
        <v>122</v>
      </c>
      <c r="B97" s="218"/>
      <c r="C97" s="219"/>
      <c r="D97" s="220"/>
      <c r="E97" s="221"/>
      <c r="F97" s="220"/>
      <c r="G97" s="220"/>
      <c r="H97" s="220"/>
      <c r="I97" s="220"/>
    </row>
  </sheetData>
  <printOptions horizontalCentered="1"/>
  <pageMargins left="0.7874015748031497" right="0.5905511811023623" top="0.7874015748031497" bottom="0.5905511811023623" header="0.1968503937007874" footer="0.1968503937007874"/>
  <pageSetup horizontalDpi="300" verticalDpi="300" orientation="portrait" paperSize="9" r:id="rId1"/>
  <headerFooter alignWithMargins="0">
    <oddHeader xml:space="preserve">&amp;C&amp;"Times New Roman CE,Félkövér"&amp;12Adósságszolgálat számítása az OTP tájékoztatása alapján&amp;"Times New Roman CE,Félkövér dőlt"
59 db szociális bérlakás építésére 2002. decemberben felvett 124.412 eFt hitel </oddHeader>
    <oddFooter>&amp;L&amp;9Nyomtatás dátuma:&amp;D
C:\Andi\adósságszolgálat\&amp;F\&amp;A&amp;R&amp;P/&amp;N</oddFooter>
  </headerFooter>
  <rowBreaks count="1" manualBreakCount="1">
    <brk id="5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189"/>
  <sheetViews>
    <sheetView workbookViewId="0" topLeftCell="A1">
      <pane ySplit="7" topLeftCell="BM177" activePane="bottomLeft" state="frozen"/>
      <selection pane="topLeft" activeCell="A1" sqref="A1"/>
      <selection pane="bottomLeft" activeCell="A188" sqref="A188"/>
    </sheetView>
  </sheetViews>
  <sheetFormatPr defaultColWidth="9.00390625" defaultRowHeight="12.75"/>
  <cols>
    <col min="1" max="1" width="10.625" style="89" customWidth="1"/>
    <col min="2" max="2" width="5.375" style="89" customWidth="1"/>
    <col min="3" max="3" width="11.125" style="89" bestFit="1" customWidth="1"/>
    <col min="4" max="4" width="12.625" style="89" bestFit="1" customWidth="1"/>
    <col min="5" max="5" width="6.375" style="156" customWidth="1"/>
    <col min="6" max="6" width="15.375" style="89" customWidth="1"/>
    <col min="7" max="7" width="11.375" style="89" customWidth="1"/>
    <col min="8" max="8" width="14.00390625" style="89" bestFit="1" customWidth="1"/>
    <col min="9" max="9" width="12.50390625" style="89" customWidth="1"/>
    <col min="10" max="10" width="9.375" style="89" customWidth="1"/>
    <col min="11" max="11" width="11.125" style="89" bestFit="1" customWidth="1"/>
    <col min="12" max="16384" width="9.375" style="89" customWidth="1"/>
  </cols>
  <sheetData>
    <row r="1" spans="1:9" ht="12.75">
      <c r="A1" s="200" t="s">
        <v>116</v>
      </c>
      <c r="B1" s="199"/>
      <c r="C1" s="200"/>
      <c r="D1" s="200"/>
      <c r="E1" s="201"/>
      <c r="I1" s="200"/>
    </row>
    <row r="2" spans="1:9" ht="12.75">
      <c r="A2" s="199" t="s">
        <v>100</v>
      </c>
      <c r="B2" s="199"/>
      <c r="C2" s="199"/>
      <c r="E2" s="202"/>
      <c r="F2" s="169"/>
      <c r="G2" s="169"/>
      <c r="H2" s="169"/>
      <c r="I2" s="169"/>
    </row>
    <row r="3" spans="1:8" ht="12.75">
      <c r="A3" s="89" t="s">
        <v>49</v>
      </c>
      <c r="B3" s="170"/>
      <c r="C3" s="169"/>
      <c r="D3" s="169"/>
      <c r="F3" s="169"/>
      <c r="G3" s="169"/>
      <c r="H3" s="169"/>
    </row>
    <row r="4" spans="1:9" ht="12.75">
      <c r="A4" s="171" t="s">
        <v>71</v>
      </c>
      <c r="B4" s="170"/>
      <c r="C4" s="169"/>
      <c r="D4" s="169"/>
      <c r="E4" s="171"/>
      <c r="F4" s="169"/>
      <c r="G4" s="169"/>
      <c r="H4" s="169"/>
      <c r="I4" s="222" t="s">
        <v>2</v>
      </c>
    </row>
    <row r="5" spans="1:9" ht="12.75">
      <c r="A5" s="97" t="s">
        <v>3</v>
      </c>
      <c r="B5" s="98" t="s">
        <v>4</v>
      </c>
      <c r="C5" s="99" t="s">
        <v>5</v>
      </c>
      <c r="D5" s="99" t="s">
        <v>33</v>
      </c>
      <c r="E5" s="203" t="s">
        <v>20</v>
      </c>
      <c r="F5" s="99" t="s">
        <v>20</v>
      </c>
      <c r="G5" s="101" t="s">
        <v>6</v>
      </c>
      <c r="H5" s="101" t="s">
        <v>6</v>
      </c>
      <c r="I5" s="102" t="s">
        <v>6</v>
      </c>
    </row>
    <row r="6" spans="1:9" ht="12.75">
      <c r="A6" s="103"/>
      <c r="B6" s="104" t="s">
        <v>7</v>
      </c>
      <c r="C6" s="105" t="s">
        <v>8</v>
      </c>
      <c r="D6" s="105"/>
      <c r="E6" s="204" t="s">
        <v>123</v>
      </c>
      <c r="F6" s="205" t="s">
        <v>13</v>
      </c>
      <c r="G6" s="107" t="s">
        <v>9</v>
      </c>
      <c r="H6" s="107" t="s">
        <v>11</v>
      </c>
      <c r="I6" s="108" t="s">
        <v>10</v>
      </c>
    </row>
    <row r="7" spans="1:9" ht="12.75">
      <c r="A7" s="109"/>
      <c r="B7" s="110"/>
      <c r="C7" s="111"/>
      <c r="D7" s="111"/>
      <c r="E7" s="206" t="s">
        <v>48</v>
      </c>
      <c r="F7" s="111"/>
      <c r="G7" s="113"/>
      <c r="H7" s="113" t="s">
        <v>13</v>
      </c>
      <c r="I7" s="114" t="s">
        <v>12</v>
      </c>
    </row>
    <row r="8" spans="1:9" ht="12.75">
      <c r="A8" s="223">
        <v>37618</v>
      </c>
      <c r="B8" s="210"/>
      <c r="C8" s="60">
        <v>12499470</v>
      </c>
      <c r="D8" s="60"/>
      <c r="E8" s="136"/>
      <c r="F8" s="60">
        <v>0</v>
      </c>
      <c r="G8" s="189"/>
      <c r="H8" s="189"/>
      <c r="I8" s="190"/>
    </row>
    <row r="9" spans="1:9" ht="12.75">
      <c r="A9" s="128">
        <v>37621</v>
      </c>
      <c r="B9" s="224">
        <v>3</v>
      </c>
      <c r="C9" s="130">
        <f>C8-D9</f>
        <v>12499470</v>
      </c>
      <c r="D9" s="130"/>
      <c r="E9" s="225">
        <v>0.0288</v>
      </c>
      <c r="F9" s="130">
        <v>2611</v>
      </c>
      <c r="G9" s="226">
        <f>SUM(F5:F9)</f>
        <v>2611</v>
      </c>
      <c r="H9" s="132">
        <f>SUM(D5:D9)</f>
        <v>0</v>
      </c>
      <c r="I9" s="133">
        <f>SUM(G9:H9)</f>
        <v>2611</v>
      </c>
    </row>
    <row r="10" spans="1:9" ht="12.75">
      <c r="A10" s="134">
        <v>37711</v>
      </c>
      <c r="B10" s="227">
        <f aca="true" t="shared" si="0" ref="B10:B73">A10-A9</f>
        <v>90</v>
      </c>
      <c r="C10" s="228">
        <f>C9-D10</f>
        <v>12499470</v>
      </c>
      <c r="D10" s="176"/>
      <c r="E10" s="136">
        <v>0.0369</v>
      </c>
      <c r="F10" s="60">
        <v>99100</v>
      </c>
      <c r="G10" s="177"/>
      <c r="H10" s="177"/>
      <c r="I10" s="178"/>
    </row>
    <row r="11" spans="1:9" ht="13.5" thickBot="1">
      <c r="A11" s="229">
        <v>37729</v>
      </c>
      <c r="B11" s="230">
        <f t="shared" si="0"/>
        <v>18</v>
      </c>
      <c r="C11" s="65">
        <f>(C10-D11)+10226303</f>
        <v>22725773</v>
      </c>
      <c r="D11" s="231"/>
      <c r="E11" s="232"/>
      <c r="F11" s="65"/>
      <c r="G11" s="233"/>
      <c r="H11" s="233"/>
      <c r="I11" s="234"/>
    </row>
    <row r="12" spans="1:9" ht="13.5" thickBot="1">
      <c r="A12" s="235">
        <v>37768</v>
      </c>
      <c r="B12" s="236">
        <f t="shared" si="0"/>
        <v>39</v>
      </c>
      <c r="C12" s="67">
        <f>(C11-D12)+56942030</f>
        <v>79667803</v>
      </c>
      <c r="D12" s="237"/>
      <c r="E12" s="238"/>
      <c r="F12" s="66"/>
      <c r="G12" s="239"/>
      <c r="H12" s="239"/>
      <c r="I12" s="240"/>
    </row>
    <row r="13" spans="1:9" ht="13.5" thickBot="1">
      <c r="A13" s="241">
        <v>37783</v>
      </c>
      <c r="B13" s="236">
        <f t="shared" si="0"/>
        <v>15</v>
      </c>
      <c r="C13" s="67">
        <f>(C12-D13)+22256001</f>
        <v>101923804</v>
      </c>
      <c r="D13" s="242"/>
      <c r="E13" s="243"/>
      <c r="F13" s="67"/>
      <c r="G13" s="244"/>
      <c r="H13" s="244"/>
      <c r="I13" s="245"/>
    </row>
    <row r="14" spans="1:9" ht="12.75">
      <c r="A14" s="246">
        <v>37802</v>
      </c>
      <c r="B14" s="247">
        <f t="shared" si="0"/>
        <v>19</v>
      </c>
      <c r="C14" s="248">
        <f>C13-D14</f>
        <v>101923804</v>
      </c>
      <c r="D14" s="248"/>
      <c r="E14" s="249">
        <v>0.0356</v>
      </c>
      <c r="F14" s="248">
        <f>266678+117857</f>
        <v>384535</v>
      </c>
      <c r="G14" s="250"/>
      <c r="H14" s="250"/>
      <c r="I14" s="251"/>
    </row>
    <row r="15" spans="1:9" ht="13.5" thickBot="1">
      <c r="A15" s="229">
        <v>37811</v>
      </c>
      <c r="B15" s="230">
        <f t="shared" si="0"/>
        <v>9</v>
      </c>
      <c r="C15" s="65">
        <f>(C14-D15)+22955624</f>
        <v>124879428</v>
      </c>
      <c r="D15" s="65"/>
      <c r="E15" s="232"/>
      <c r="F15" s="65"/>
      <c r="G15" s="252"/>
      <c r="H15" s="252"/>
      <c r="I15" s="253"/>
    </row>
    <row r="16" spans="1:9" ht="13.5" thickBot="1">
      <c r="A16" s="241">
        <v>37841</v>
      </c>
      <c r="B16" s="236">
        <f t="shared" si="0"/>
        <v>30</v>
      </c>
      <c r="C16" s="67">
        <f>(C15-D16)+22221280</f>
        <v>147100708</v>
      </c>
      <c r="D16" s="67"/>
      <c r="E16" s="243"/>
      <c r="F16" s="67"/>
      <c r="G16" s="254"/>
      <c r="H16" s="254"/>
      <c r="I16" s="255"/>
    </row>
    <row r="17" spans="1:9" ht="12.75">
      <c r="A17" s="246">
        <v>37864</v>
      </c>
      <c r="B17" s="256">
        <f t="shared" si="0"/>
        <v>23</v>
      </c>
      <c r="C17" s="248">
        <f>(C16-D17)</f>
        <v>147100708</v>
      </c>
      <c r="D17" s="248"/>
      <c r="E17" s="249"/>
      <c r="F17" s="248"/>
      <c r="G17" s="250"/>
      <c r="H17" s="250"/>
      <c r="I17" s="251"/>
    </row>
    <row r="18" spans="1:9" ht="12.75">
      <c r="A18" s="121">
        <v>37894</v>
      </c>
      <c r="B18" s="257">
        <f t="shared" si="0"/>
        <v>30</v>
      </c>
      <c r="C18" s="59">
        <f>C17-D18</f>
        <v>147100708</v>
      </c>
      <c r="D18" s="191"/>
      <c r="E18" s="126">
        <v>0.0584</v>
      </c>
      <c r="F18" s="59">
        <v>2014839</v>
      </c>
      <c r="G18" s="192"/>
      <c r="H18" s="192"/>
      <c r="I18" s="193"/>
    </row>
    <row r="19" spans="1:9" ht="13.5" thickBot="1">
      <c r="A19" s="258">
        <v>37914</v>
      </c>
      <c r="B19" s="259">
        <f t="shared" si="0"/>
        <v>20</v>
      </c>
      <c r="C19" s="59">
        <f>(C18-D19)+39974331</f>
        <v>187075039</v>
      </c>
      <c r="D19" s="237"/>
      <c r="E19" s="238"/>
      <c r="F19" s="66"/>
      <c r="G19" s="239"/>
      <c r="H19" s="239"/>
      <c r="I19" s="240"/>
    </row>
    <row r="20" spans="1:11" ht="12.75">
      <c r="A20" s="260">
        <v>37940</v>
      </c>
      <c r="B20" s="256">
        <f t="shared" si="0"/>
        <v>26</v>
      </c>
      <c r="C20" s="261">
        <f>C19-D20</f>
        <v>187075039</v>
      </c>
      <c r="D20" s="262"/>
      <c r="E20" s="263"/>
      <c r="F20" s="261"/>
      <c r="G20" s="264"/>
      <c r="H20" s="264"/>
      <c r="I20" s="265"/>
      <c r="K20" s="155"/>
    </row>
    <row r="21" spans="1:9" ht="12.75">
      <c r="A21" s="121">
        <v>37983</v>
      </c>
      <c r="B21" s="257">
        <f t="shared" si="0"/>
        <v>43</v>
      </c>
      <c r="C21" s="59">
        <f>C20-D21</f>
        <v>184439019</v>
      </c>
      <c r="D21" s="191">
        <v>2636020</v>
      </c>
      <c r="E21" s="126"/>
      <c r="F21" s="59"/>
      <c r="G21" s="192"/>
      <c r="H21" s="192"/>
      <c r="I21" s="193"/>
    </row>
    <row r="22" spans="1:9" ht="12.75">
      <c r="A22" s="266">
        <v>37986</v>
      </c>
      <c r="B22" s="267">
        <f t="shared" si="0"/>
        <v>3</v>
      </c>
      <c r="C22" s="138">
        <f aca="true" t="shared" si="1" ref="C22:C86">C21-D22</f>
        <v>184439019</v>
      </c>
      <c r="D22" s="208"/>
      <c r="E22" s="268">
        <v>0.057</v>
      </c>
      <c r="F22" s="142">
        <f>2184140+455653</f>
        <v>2639793</v>
      </c>
      <c r="G22" s="269">
        <f>SUM(F10:F22)</f>
        <v>5138267</v>
      </c>
      <c r="H22" s="269">
        <f>SUM(D10:D22)</f>
        <v>2636020</v>
      </c>
      <c r="I22" s="270">
        <f>SUM(G22:H22)</f>
        <v>7774287</v>
      </c>
    </row>
    <row r="23" spans="1:9" ht="12.75">
      <c r="A23" s="223">
        <v>38071</v>
      </c>
      <c r="B23" s="227">
        <f t="shared" si="0"/>
        <v>85</v>
      </c>
      <c r="C23" s="271">
        <f>C22-D23</f>
        <v>184439019</v>
      </c>
      <c r="D23" s="271"/>
      <c r="E23" s="272"/>
      <c r="F23" s="228"/>
      <c r="G23" s="273"/>
      <c r="H23" s="273"/>
      <c r="I23" s="274"/>
    </row>
    <row r="24" spans="1:11" ht="12.75">
      <c r="A24" s="121">
        <v>38074</v>
      </c>
      <c r="B24" s="257">
        <f t="shared" si="0"/>
        <v>3</v>
      </c>
      <c r="C24" s="191">
        <f>C23-D24</f>
        <v>181869019</v>
      </c>
      <c r="D24" s="191">
        <v>2570000</v>
      </c>
      <c r="E24" s="213"/>
      <c r="F24" s="59"/>
      <c r="G24" s="192"/>
      <c r="H24" s="192"/>
      <c r="I24" s="193"/>
      <c r="K24" s="155"/>
    </row>
    <row r="25" spans="1:9" ht="12.75">
      <c r="A25" s="115">
        <v>38077</v>
      </c>
      <c r="B25" s="257">
        <f t="shared" si="0"/>
        <v>3</v>
      </c>
      <c r="C25" s="175">
        <f t="shared" si="1"/>
        <v>181869019</v>
      </c>
      <c r="D25" s="175"/>
      <c r="E25" s="207">
        <v>0.06</v>
      </c>
      <c r="F25" s="117">
        <f>((C25+D25)*E25/360*B25)+((C24+D24)*E25/360*B24)+((C23+D23)*E25/360*B23)</f>
        <v>2796040.1214999994</v>
      </c>
      <c r="G25" s="185"/>
      <c r="H25" s="185"/>
      <c r="I25" s="186"/>
    </row>
    <row r="26" spans="1:9" ht="12.75">
      <c r="A26" s="115">
        <v>38166</v>
      </c>
      <c r="B26" s="257">
        <f t="shared" si="0"/>
        <v>89</v>
      </c>
      <c r="C26" s="175">
        <f t="shared" si="1"/>
        <v>179299019</v>
      </c>
      <c r="D26" s="175">
        <v>2570000</v>
      </c>
      <c r="E26" s="207"/>
      <c r="F26" s="59"/>
      <c r="G26" s="185"/>
      <c r="H26" s="185"/>
      <c r="I26" s="186"/>
    </row>
    <row r="27" spans="1:9" ht="12.75">
      <c r="A27" s="115">
        <v>38168</v>
      </c>
      <c r="B27" s="259">
        <f t="shared" si="0"/>
        <v>2</v>
      </c>
      <c r="C27" s="175">
        <f t="shared" si="1"/>
        <v>179299019</v>
      </c>
      <c r="D27" s="175"/>
      <c r="E27" s="207">
        <v>0.06</v>
      </c>
      <c r="F27" s="117">
        <f>((C27+D27)*E27/360*B27)+((C26+D26)*E27/360*B26)</f>
        <v>2757490.1214999994</v>
      </c>
      <c r="G27" s="185"/>
      <c r="H27" s="185"/>
      <c r="I27" s="186"/>
    </row>
    <row r="28" spans="1:9" ht="12.75">
      <c r="A28" s="115">
        <v>38258</v>
      </c>
      <c r="B28" s="122">
        <f t="shared" si="0"/>
        <v>90</v>
      </c>
      <c r="C28" s="175">
        <f t="shared" si="1"/>
        <v>176729019</v>
      </c>
      <c r="D28" s="175">
        <v>2570000</v>
      </c>
      <c r="E28" s="207"/>
      <c r="F28" s="59"/>
      <c r="G28" s="185"/>
      <c r="H28" s="185"/>
      <c r="I28" s="186"/>
    </row>
    <row r="29" spans="1:9" ht="12.75">
      <c r="A29" s="115">
        <v>38260</v>
      </c>
      <c r="B29" s="122">
        <f t="shared" si="0"/>
        <v>2</v>
      </c>
      <c r="C29" s="175">
        <f t="shared" si="1"/>
        <v>176729019</v>
      </c>
      <c r="D29" s="175"/>
      <c r="E29" s="207">
        <f>E27</f>
        <v>0.06</v>
      </c>
      <c r="F29" s="117">
        <f>((C29+D29)*E29/360*B29)+((C28+D28)*E29/360*B28)</f>
        <v>2748394.9579999996</v>
      </c>
      <c r="G29" s="185"/>
      <c r="H29" s="185"/>
      <c r="I29" s="186"/>
    </row>
    <row r="30" spans="1:9" ht="12.75">
      <c r="A30" s="115">
        <v>38349</v>
      </c>
      <c r="B30" s="122">
        <f t="shared" si="0"/>
        <v>89</v>
      </c>
      <c r="C30" s="175">
        <f t="shared" si="1"/>
        <v>174303019</v>
      </c>
      <c r="D30" s="175">
        <v>2426000</v>
      </c>
      <c r="E30" s="207"/>
      <c r="F30" s="59"/>
      <c r="G30" s="185"/>
      <c r="H30" s="185"/>
      <c r="I30" s="186"/>
    </row>
    <row r="31" spans="1:9" ht="12.75">
      <c r="A31" s="179">
        <v>38352</v>
      </c>
      <c r="B31" s="139">
        <f t="shared" si="0"/>
        <v>3</v>
      </c>
      <c r="C31" s="208">
        <f t="shared" si="1"/>
        <v>174303019</v>
      </c>
      <c r="D31" s="180"/>
      <c r="E31" s="209">
        <v>0.0408</v>
      </c>
      <c r="F31" s="117">
        <f>((C31+D31)*E31/360*B31)+((C30+D30)*E31/360*B30)</f>
        <v>1841869.7314400002</v>
      </c>
      <c r="G31" s="187">
        <f>SUM(F24:F31)</f>
        <v>10143794.932439998</v>
      </c>
      <c r="H31" s="187">
        <f>SUM(D24:D31)</f>
        <v>10136000</v>
      </c>
      <c r="I31" s="188">
        <f>SUM(G31:H31)</f>
        <v>20279794.932439998</v>
      </c>
    </row>
    <row r="32" spans="1:9" ht="12.75">
      <c r="A32" s="134">
        <v>38439</v>
      </c>
      <c r="B32" s="135">
        <f t="shared" si="0"/>
        <v>87</v>
      </c>
      <c r="C32" s="60">
        <f t="shared" si="1"/>
        <v>171877019</v>
      </c>
      <c r="D32" s="175">
        <v>2426000</v>
      </c>
      <c r="E32" s="207"/>
      <c r="F32" s="60"/>
      <c r="G32" s="177"/>
      <c r="H32" s="177"/>
      <c r="I32" s="178"/>
    </row>
    <row r="33" spans="1:9" ht="12.75">
      <c r="A33" s="115">
        <v>38442</v>
      </c>
      <c r="B33" s="122">
        <f t="shared" si="0"/>
        <v>3</v>
      </c>
      <c r="C33" s="117">
        <f t="shared" si="1"/>
        <v>171877019</v>
      </c>
      <c r="D33" s="175"/>
      <c r="E33" s="207">
        <f>E31</f>
        <v>0.0408</v>
      </c>
      <c r="F33" s="117">
        <f>((C33+D33)*E33/360*B33)+((C32+D32)*E33/360*B32)</f>
        <v>1777065.9538</v>
      </c>
      <c r="G33" s="185"/>
      <c r="H33" s="185"/>
      <c r="I33" s="186"/>
    </row>
    <row r="34" spans="1:9" ht="12.75">
      <c r="A34" s="115">
        <v>38531</v>
      </c>
      <c r="B34" s="122">
        <f t="shared" si="0"/>
        <v>89</v>
      </c>
      <c r="C34" s="117">
        <f t="shared" si="1"/>
        <v>169451019</v>
      </c>
      <c r="D34" s="175">
        <v>2426000</v>
      </c>
      <c r="E34" s="207"/>
      <c r="F34" s="59"/>
      <c r="G34" s="185"/>
      <c r="H34" s="185"/>
      <c r="I34" s="186"/>
    </row>
    <row r="35" spans="1:9" ht="12.75">
      <c r="A35" s="115">
        <v>38533</v>
      </c>
      <c r="B35" s="122">
        <f t="shared" si="0"/>
        <v>2</v>
      </c>
      <c r="C35" s="117">
        <f t="shared" si="1"/>
        <v>169451019</v>
      </c>
      <c r="D35" s="175"/>
      <c r="E35" s="207">
        <f>E33</f>
        <v>0.0408</v>
      </c>
      <c r="F35" s="117">
        <f>((C35+D35)*E35/360*B35)+((C34+D34)*E35/360*B34)</f>
        <v>1772075.0959533337</v>
      </c>
      <c r="G35" s="185"/>
      <c r="H35" s="185"/>
      <c r="I35" s="186"/>
    </row>
    <row r="36" spans="1:9" ht="12.75">
      <c r="A36" s="115">
        <v>38623</v>
      </c>
      <c r="B36" s="122">
        <f t="shared" si="0"/>
        <v>90</v>
      </c>
      <c r="C36" s="117">
        <f t="shared" si="1"/>
        <v>167025019</v>
      </c>
      <c r="D36" s="175">
        <v>2426000</v>
      </c>
      <c r="E36" s="207"/>
      <c r="F36" s="59"/>
      <c r="G36" s="185"/>
      <c r="H36" s="185"/>
      <c r="I36" s="186"/>
    </row>
    <row r="37" spans="1:9" ht="12.75">
      <c r="A37" s="115">
        <v>38625</v>
      </c>
      <c r="B37" s="122">
        <f t="shared" si="0"/>
        <v>2</v>
      </c>
      <c r="C37" s="117">
        <f t="shared" si="1"/>
        <v>167025019</v>
      </c>
      <c r="D37" s="175"/>
      <c r="E37" s="207">
        <f>E35</f>
        <v>0.0408</v>
      </c>
      <c r="F37" s="117">
        <f>((C37+D37)*E37/360*B37)+((C36+D36)*E37/360*B36)</f>
        <v>1766259.3981066667</v>
      </c>
      <c r="G37" s="185"/>
      <c r="H37" s="185"/>
      <c r="I37" s="186"/>
    </row>
    <row r="38" spans="1:9" ht="12.75">
      <c r="A38" s="115">
        <v>38714</v>
      </c>
      <c r="B38" s="122">
        <f t="shared" si="0"/>
        <v>89</v>
      </c>
      <c r="C38" s="117">
        <f t="shared" si="1"/>
        <v>164599019</v>
      </c>
      <c r="D38" s="175">
        <v>2426000</v>
      </c>
      <c r="E38" s="207"/>
      <c r="F38" s="59"/>
      <c r="G38" s="185"/>
      <c r="H38" s="185"/>
      <c r="I38" s="186"/>
    </row>
    <row r="39" spans="1:9" ht="12.75">
      <c r="A39" s="179">
        <v>38717</v>
      </c>
      <c r="B39" s="129">
        <f t="shared" si="0"/>
        <v>3</v>
      </c>
      <c r="C39" s="212">
        <f t="shared" si="1"/>
        <v>164599019</v>
      </c>
      <c r="D39" s="180"/>
      <c r="E39" s="209">
        <f>E37</f>
        <v>0.0408</v>
      </c>
      <c r="F39" s="117">
        <f>((C39+D39)*E39/360*B39)+((C38+D38)*E39/360*B38)</f>
        <v>1740689.3581066667</v>
      </c>
      <c r="G39" s="187">
        <f>SUM(F32:F39)</f>
        <v>7056089.805966668</v>
      </c>
      <c r="H39" s="187">
        <f>SUM(D32:D39)</f>
        <v>9704000</v>
      </c>
      <c r="I39" s="188">
        <f>SUM(G39:H39)</f>
        <v>16760089.805966668</v>
      </c>
    </row>
    <row r="40" spans="1:9" ht="12.75">
      <c r="A40" s="134">
        <v>38804</v>
      </c>
      <c r="B40" s="116">
        <f t="shared" si="0"/>
        <v>87</v>
      </c>
      <c r="C40" s="175">
        <f t="shared" si="1"/>
        <v>162173019</v>
      </c>
      <c r="D40" s="175">
        <v>2426000</v>
      </c>
      <c r="E40" s="207"/>
      <c r="F40" s="60"/>
      <c r="G40" s="177"/>
      <c r="H40" s="177"/>
      <c r="I40" s="178"/>
    </row>
    <row r="41" spans="1:9" ht="12.75">
      <c r="A41" s="115">
        <v>38807</v>
      </c>
      <c r="B41" s="122">
        <f t="shared" si="0"/>
        <v>3</v>
      </c>
      <c r="C41" s="175">
        <f t="shared" si="1"/>
        <v>162173019</v>
      </c>
      <c r="D41" s="175"/>
      <c r="E41" s="207">
        <f>E39</f>
        <v>0.0408</v>
      </c>
      <c r="F41" s="117">
        <f>((C41+D41)*E41/360*B41)+((C40+D40)*E41/360*B40)</f>
        <v>1678085.1538</v>
      </c>
      <c r="G41" s="185"/>
      <c r="H41" s="185"/>
      <c r="I41" s="186"/>
    </row>
    <row r="42" spans="1:9" ht="12.75">
      <c r="A42" s="115">
        <v>38896</v>
      </c>
      <c r="B42" s="122">
        <f t="shared" si="0"/>
        <v>89</v>
      </c>
      <c r="C42" s="175">
        <f t="shared" si="1"/>
        <v>159747019</v>
      </c>
      <c r="D42" s="175">
        <v>2426000</v>
      </c>
      <c r="E42" s="207"/>
      <c r="F42" s="59"/>
      <c r="G42" s="185"/>
      <c r="H42" s="185"/>
      <c r="I42" s="186"/>
    </row>
    <row r="43" spans="1:9" ht="12.75">
      <c r="A43" s="115">
        <v>38898</v>
      </c>
      <c r="B43" s="122">
        <f t="shared" si="0"/>
        <v>2</v>
      </c>
      <c r="C43" s="175">
        <f t="shared" si="1"/>
        <v>159747019</v>
      </c>
      <c r="D43" s="175"/>
      <c r="E43" s="207">
        <f>E41</f>
        <v>0.0408</v>
      </c>
      <c r="F43" s="117">
        <f>((C43+D43)*E43/360*B43)+((C42+D42)*E43/360*B42)</f>
        <v>1671994.5092866668</v>
      </c>
      <c r="G43" s="185"/>
      <c r="H43" s="185"/>
      <c r="I43" s="186"/>
    </row>
    <row r="44" spans="1:9" ht="12.75">
      <c r="A44" s="115">
        <v>38988</v>
      </c>
      <c r="B44" s="122">
        <f t="shared" si="0"/>
        <v>90</v>
      </c>
      <c r="C44" s="175">
        <f t="shared" si="1"/>
        <v>157321019</v>
      </c>
      <c r="D44" s="175">
        <v>2426000</v>
      </c>
      <c r="E44" s="207"/>
      <c r="F44" s="59"/>
      <c r="G44" s="185"/>
      <c r="H44" s="185"/>
      <c r="I44" s="186"/>
    </row>
    <row r="45" spans="1:9" ht="12.75">
      <c r="A45" s="115">
        <v>38990</v>
      </c>
      <c r="B45" s="122">
        <f t="shared" si="0"/>
        <v>2</v>
      </c>
      <c r="C45" s="175">
        <f>C44-D45</f>
        <v>157321019</v>
      </c>
      <c r="D45" s="175"/>
      <c r="E45" s="207">
        <f>E43</f>
        <v>0.0408</v>
      </c>
      <c r="F45" s="117">
        <f>((C45+D45)*E45/360*B45)+((C44+D44)*E45/360*B44)</f>
        <v>1665079.0247733335</v>
      </c>
      <c r="G45" s="185"/>
      <c r="H45" s="185"/>
      <c r="I45" s="186"/>
    </row>
    <row r="46" spans="1:9" ht="12.75">
      <c r="A46" s="115">
        <v>39079</v>
      </c>
      <c r="B46" s="122">
        <f t="shared" si="0"/>
        <v>89</v>
      </c>
      <c r="C46" s="175">
        <f t="shared" si="1"/>
        <v>154895019</v>
      </c>
      <c r="D46" s="175">
        <v>2426000</v>
      </c>
      <c r="E46" s="207"/>
      <c r="F46" s="59"/>
      <c r="G46" s="185"/>
      <c r="H46" s="185"/>
      <c r="I46" s="186"/>
    </row>
    <row r="47" spans="1:9" ht="12.75">
      <c r="A47" s="179">
        <v>39082</v>
      </c>
      <c r="B47" s="139">
        <f t="shared" si="0"/>
        <v>3</v>
      </c>
      <c r="C47" s="208">
        <f t="shared" si="1"/>
        <v>154895019</v>
      </c>
      <c r="D47" s="180"/>
      <c r="E47" s="209">
        <f>E45</f>
        <v>0.0408</v>
      </c>
      <c r="F47" s="117">
        <f>((C47+D47)*E47/360*B47)+((C46+D46)*E47/360*B46)</f>
        <v>1639508.9847733337</v>
      </c>
      <c r="G47" s="187">
        <f>SUM(F40:F47)</f>
        <v>6654667.672633333</v>
      </c>
      <c r="H47" s="187">
        <f>SUM(D40:D47)</f>
        <v>9704000</v>
      </c>
      <c r="I47" s="188">
        <f>SUM(G47:H47)</f>
        <v>16358667.672633333</v>
      </c>
    </row>
    <row r="48" spans="1:9" ht="12.75">
      <c r="A48" s="134">
        <v>39169</v>
      </c>
      <c r="B48" s="135">
        <f t="shared" si="0"/>
        <v>87</v>
      </c>
      <c r="C48" s="60">
        <f t="shared" si="1"/>
        <v>152469019</v>
      </c>
      <c r="D48" s="175">
        <v>2426000</v>
      </c>
      <c r="E48" s="207"/>
      <c r="F48" s="60"/>
      <c r="G48" s="177"/>
      <c r="H48" s="177"/>
      <c r="I48" s="178"/>
    </row>
    <row r="49" spans="1:9" ht="12.75">
      <c r="A49" s="115">
        <v>39172</v>
      </c>
      <c r="B49" s="122">
        <f t="shared" si="0"/>
        <v>3</v>
      </c>
      <c r="C49" s="117">
        <f t="shared" si="1"/>
        <v>152469019</v>
      </c>
      <c r="D49" s="175"/>
      <c r="E49" s="207">
        <f>E47</f>
        <v>0.0408</v>
      </c>
      <c r="F49" s="117">
        <f>((C49+D49)*E49/360*B49)+((C48+D48)*E49/360*B48)</f>
        <v>1579104.3538000002</v>
      </c>
      <c r="G49" s="185"/>
      <c r="H49" s="185"/>
      <c r="I49" s="186"/>
    </row>
    <row r="50" spans="1:9" ht="12.75">
      <c r="A50" s="115">
        <v>39261</v>
      </c>
      <c r="B50" s="122">
        <f t="shared" si="0"/>
        <v>89</v>
      </c>
      <c r="C50" s="117">
        <f t="shared" si="1"/>
        <v>150043019</v>
      </c>
      <c r="D50" s="175">
        <v>2426000</v>
      </c>
      <c r="E50" s="207"/>
      <c r="F50" s="59"/>
      <c r="G50" s="185"/>
      <c r="H50" s="185"/>
      <c r="I50" s="186"/>
    </row>
    <row r="51" spans="1:9" ht="12.75">
      <c r="A51" s="115">
        <v>39263</v>
      </c>
      <c r="B51" s="122">
        <f t="shared" si="0"/>
        <v>2</v>
      </c>
      <c r="C51" s="117">
        <f t="shared" si="1"/>
        <v>150043019</v>
      </c>
      <c r="D51" s="175"/>
      <c r="E51" s="207">
        <f>E49</f>
        <v>0.0408</v>
      </c>
      <c r="F51" s="117">
        <f>((C51+D51)*E51/360*B51)+((C50+D50)*E51/360*B50)</f>
        <v>1571913.92262</v>
      </c>
      <c r="G51" s="185"/>
      <c r="H51" s="185"/>
      <c r="I51" s="186"/>
    </row>
    <row r="52" spans="1:9" ht="12.75">
      <c r="A52" s="121">
        <v>39353</v>
      </c>
      <c r="B52" s="122">
        <f t="shared" si="0"/>
        <v>90</v>
      </c>
      <c r="C52" s="59">
        <f t="shared" si="1"/>
        <v>147617019</v>
      </c>
      <c r="D52" s="59">
        <v>2426000</v>
      </c>
      <c r="E52" s="213"/>
      <c r="F52" s="59"/>
      <c r="G52" s="192"/>
      <c r="H52" s="192"/>
      <c r="I52" s="193"/>
    </row>
    <row r="53" spans="1:9" ht="12.75">
      <c r="A53" s="121">
        <v>39355</v>
      </c>
      <c r="B53" s="122">
        <f t="shared" si="0"/>
        <v>2</v>
      </c>
      <c r="C53" s="59">
        <f t="shared" si="1"/>
        <v>147617019</v>
      </c>
      <c r="D53" s="191"/>
      <c r="E53" s="213">
        <f>E51</f>
        <v>0.0408</v>
      </c>
      <c r="F53" s="59">
        <f>((C53+D53)*E53/360*B53)+((C52+D52)*E53/360*B52)</f>
        <v>1563898.6514400002</v>
      </c>
      <c r="G53" s="192"/>
      <c r="H53" s="192"/>
      <c r="I53" s="193"/>
    </row>
    <row r="54" spans="1:9" ht="12.75">
      <c r="A54" s="115">
        <v>39444</v>
      </c>
      <c r="B54" s="122">
        <f t="shared" si="0"/>
        <v>89</v>
      </c>
      <c r="C54" s="117">
        <f t="shared" si="1"/>
        <v>145191019</v>
      </c>
      <c r="D54" s="175">
        <v>2426000</v>
      </c>
      <c r="E54" s="207"/>
      <c r="F54" s="59"/>
      <c r="G54" s="185"/>
      <c r="H54" s="185"/>
      <c r="I54" s="186"/>
    </row>
    <row r="55" spans="1:9" ht="12.75">
      <c r="A55" s="128">
        <v>39447</v>
      </c>
      <c r="B55" s="129">
        <f t="shared" si="0"/>
        <v>3</v>
      </c>
      <c r="C55" s="130">
        <f t="shared" si="1"/>
        <v>145191019</v>
      </c>
      <c r="D55" s="181"/>
      <c r="E55" s="214">
        <f>E53</f>
        <v>0.0408</v>
      </c>
      <c r="F55" s="130">
        <f>((C55+D55)*E55/360*B55)+((C54+D54)*E55/360*B54)</f>
        <v>1538328.6114400001</v>
      </c>
      <c r="G55" s="182">
        <f>SUM(F48:F55)</f>
        <v>6253245.5393</v>
      </c>
      <c r="H55" s="182">
        <f>SUM(D48:D55)</f>
        <v>9704000</v>
      </c>
      <c r="I55" s="183">
        <f>SUM(G55:H55)</f>
        <v>15957245.5393</v>
      </c>
    </row>
    <row r="56" spans="1:9" ht="12.75">
      <c r="A56" s="134">
        <v>39535</v>
      </c>
      <c r="B56" s="135">
        <f t="shared" si="0"/>
        <v>88</v>
      </c>
      <c r="C56" s="176">
        <f t="shared" si="1"/>
        <v>142765019</v>
      </c>
      <c r="D56" s="175">
        <v>2426000</v>
      </c>
      <c r="E56" s="211"/>
      <c r="F56" s="60"/>
      <c r="G56" s="177"/>
      <c r="H56" s="177"/>
      <c r="I56" s="178"/>
    </row>
    <row r="57" spans="1:9" ht="12.75">
      <c r="A57" s="115">
        <v>39538</v>
      </c>
      <c r="B57" s="122">
        <f t="shared" si="0"/>
        <v>3</v>
      </c>
      <c r="C57" s="175">
        <f t="shared" si="1"/>
        <v>142765019</v>
      </c>
      <c r="D57" s="175"/>
      <c r="E57" s="207">
        <f>E55</f>
        <v>0.0408</v>
      </c>
      <c r="F57" s="117">
        <f>((C57+D57)*E57/360*B57)+((C56+D56)*E57/360*B56)</f>
        <v>1496578.5359533334</v>
      </c>
      <c r="G57" s="185"/>
      <c r="H57" s="185"/>
      <c r="I57" s="186"/>
    </row>
    <row r="58" spans="1:9" ht="12.75">
      <c r="A58" s="266">
        <v>39627</v>
      </c>
      <c r="B58" s="139">
        <f t="shared" si="0"/>
        <v>89</v>
      </c>
      <c r="C58" s="208">
        <f t="shared" si="1"/>
        <v>140339019</v>
      </c>
      <c r="D58" s="175">
        <v>2426000</v>
      </c>
      <c r="E58" s="275"/>
      <c r="F58" s="138"/>
      <c r="G58" s="269"/>
      <c r="H58" s="269"/>
      <c r="I58" s="270"/>
    </row>
    <row r="59" spans="1:9" ht="12.75">
      <c r="A59" s="121">
        <v>39629</v>
      </c>
      <c r="B59" s="122">
        <f t="shared" si="0"/>
        <v>2</v>
      </c>
      <c r="C59" s="59">
        <f t="shared" si="1"/>
        <v>140339019</v>
      </c>
      <c r="D59" s="175"/>
      <c r="E59" s="126">
        <f>E57</f>
        <v>0.0408</v>
      </c>
      <c r="F59" s="59">
        <f>((C59+D59)*E59/360*B59)+((C58+D58)*E59/360*B58)</f>
        <v>1471833.3359533334</v>
      </c>
      <c r="G59" s="124"/>
      <c r="H59" s="124"/>
      <c r="I59" s="125"/>
    </row>
    <row r="60" spans="1:9" ht="12.75">
      <c r="A60" s="121">
        <v>39719</v>
      </c>
      <c r="B60" s="122">
        <f t="shared" si="0"/>
        <v>90</v>
      </c>
      <c r="C60" s="59">
        <f t="shared" si="1"/>
        <v>137913019</v>
      </c>
      <c r="D60" s="175">
        <v>2426000</v>
      </c>
      <c r="E60" s="126"/>
      <c r="F60" s="59"/>
      <c r="G60" s="124"/>
      <c r="H60" s="124"/>
      <c r="I60" s="125"/>
    </row>
    <row r="61" spans="1:9" ht="12.75">
      <c r="A61" s="115">
        <v>39721</v>
      </c>
      <c r="B61" s="116">
        <f t="shared" si="0"/>
        <v>2</v>
      </c>
      <c r="C61" s="117">
        <f>C60-D61</f>
        <v>137913019</v>
      </c>
      <c r="D61" s="175"/>
      <c r="E61" s="141">
        <f>E59</f>
        <v>0.0408</v>
      </c>
      <c r="F61" s="117">
        <f>((C61+D61)*E61/360*B61)+((C60+D60)*E61/360*B60)</f>
        <v>1462718.2781066666</v>
      </c>
      <c r="G61" s="119"/>
      <c r="H61" s="119"/>
      <c r="I61" s="120"/>
    </row>
    <row r="62" spans="1:9" ht="12.75">
      <c r="A62" s="121">
        <v>39810</v>
      </c>
      <c r="B62" s="122">
        <f t="shared" si="0"/>
        <v>89</v>
      </c>
      <c r="C62" s="59">
        <f t="shared" si="1"/>
        <v>135487019</v>
      </c>
      <c r="D62" s="175">
        <v>2426000</v>
      </c>
      <c r="E62" s="126"/>
      <c r="F62" s="59"/>
      <c r="G62" s="124"/>
      <c r="H62" s="124"/>
      <c r="I62" s="125"/>
    </row>
    <row r="63" spans="1:9" ht="12.75">
      <c r="A63" s="128">
        <v>39813</v>
      </c>
      <c r="B63" s="129">
        <f t="shared" si="0"/>
        <v>3</v>
      </c>
      <c r="C63" s="181">
        <f t="shared" si="1"/>
        <v>135487019</v>
      </c>
      <c r="D63" s="181"/>
      <c r="E63" s="214">
        <f>E61</f>
        <v>0.0408</v>
      </c>
      <c r="F63" s="117">
        <f>((C63+D63)*E63/360*B63)+((C62+D62)*E63/360*B62)</f>
        <v>1437148.2381066666</v>
      </c>
      <c r="G63" s="182">
        <f>SUM(F56:F63)</f>
        <v>5868278.388119999</v>
      </c>
      <c r="H63" s="182">
        <f>SUM(D56:D63)</f>
        <v>9704000</v>
      </c>
      <c r="I63" s="183">
        <f>SUM(G63:H63)</f>
        <v>15572278.38812</v>
      </c>
    </row>
    <row r="64" spans="1:9" ht="12.75">
      <c r="A64" s="134">
        <v>39900</v>
      </c>
      <c r="B64" s="135">
        <f t="shared" si="0"/>
        <v>87</v>
      </c>
      <c r="C64" s="60">
        <f t="shared" si="1"/>
        <v>133061019</v>
      </c>
      <c r="D64" s="175">
        <v>2426000</v>
      </c>
      <c r="E64" s="211"/>
      <c r="F64" s="60"/>
      <c r="G64" s="177"/>
      <c r="H64" s="177"/>
      <c r="I64" s="178"/>
    </row>
    <row r="65" spans="1:9" ht="12.75">
      <c r="A65" s="115">
        <v>39903</v>
      </c>
      <c r="B65" s="122">
        <f t="shared" si="0"/>
        <v>3</v>
      </c>
      <c r="C65" s="117">
        <f t="shared" si="1"/>
        <v>133061019</v>
      </c>
      <c r="D65" s="175"/>
      <c r="E65" s="207">
        <f>E63</f>
        <v>0.0408</v>
      </c>
      <c r="F65" s="117">
        <f>((C65+D65)*E65/360*B65)+((C64+D64)*E65/360*B64)</f>
        <v>1381142.7538</v>
      </c>
      <c r="G65" s="185"/>
      <c r="H65" s="185"/>
      <c r="I65" s="186"/>
    </row>
    <row r="66" spans="1:9" ht="12.75">
      <c r="A66" s="115">
        <v>39992</v>
      </c>
      <c r="B66" s="122">
        <f t="shared" si="0"/>
        <v>89</v>
      </c>
      <c r="C66" s="117">
        <f t="shared" si="1"/>
        <v>130635019</v>
      </c>
      <c r="D66" s="175">
        <v>2426000</v>
      </c>
      <c r="E66" s="207"/>
      <c r="F66" s="59"/>
      <c r="G66" s="185"/>
      <c r="H66" s="185"/>
      <c r="I66" s="186"/>
    </row>
    <row r="67" spans="1:9" ht="12.75">
      <c r="A67" s="115">
        <v>39994</v>
      </c>
      <c r="B67" s="122">
        <f t="shared" si="0"/>
        <v>2</v>
      </c>
      <c r="C67" s="117">
        <f t="shared" si="1"/>
        <v>130635019</v>
      </c>
      <c r="D67" s="175"/>
      <c r="E67" s="207">
        <f>E65</f>
        <v>0.0408</v>
      </c>
      <c r="F67" s="117">
        <f>((C67+D67)*E67/360*B67)+((C66+D66)*E67/360*B66)</f>
        <v>1371752.749286667</v>
      </c>
      <c r="G67" s="185"/>
      <c r="H67" s="185"/>
      <c r="I67" s="186"/>
    </row>
    <row r="68" spans="1:9" ht="12.75">
      <c r="A68" s="115">
        <v>40084</v>
      </c>
      <c r="B68" s="122">
        <f t="shared" si="0"/>
        <v>90</v>
      </c>
      <c r="C68" s="117">
        <f t="shared" si="1"/>
        <v>128209019</v>
      </c>
      <c r="D68" s="175">
        <v>2426000</v>
      </c>
      <c r="E68" s="207"/>
      <c r="F68" s="59"/>
      <c r="G68" s="185"/>
      <c r="H68" s="185"/>
      <c r="I68" s="186"/>
    </row>
    <row r="69" spans="1:9" ht="12.75">
      <c r="A69" s="115">
        <v>40086</v>
      </c>
      <c r="B69" s="122">
        <f t="shared" si="0"/>
        <v>2</v>
      </c>
      <c r="C69" s="117">
        <f t="shared" si="1"/>
        <v>128209019</v>
      </c>
      <c r="D69" s="175"/>
      <c r="E69" s="207">
        <f>E67</f>
        <v>0.0408</v>
      </c>
      <c r="F69" s="117">
        <f>((C69+D69)*E69/360*B69)+((C68+D68)*E69/360*B68)</f>
        <v>1361537.9047733333</v>
      </c>
      <c r="G69" s="185"/>
      <c r="H69" s="185"/>
      <c r="I69" s="186"/>
    </row>
    <row r="70" spans="1:9" ht="12.75">
      <c r="A70" s="115">
        <v>40175</v>
      </c>
      <c r="B70" s="122">
        <f t="shared" si="0"/>
        <v>89</v>
      </c>
      <c r="C70" s="117">
        <f t="shared" si="1"/>
        <v>125783019</v>
      </c>
      <c r="D70" s="175">
        <v>2426000</v>
      </c>
      <c r="E70" s="207"/>
      <c r="F70" s="59"/>
      <c r="G70" s="185"/>
      <c r="H70" s="185"/>
      <c r="I70" s="186"/>
    </row>
    <row r="71" spans="1:9" ht="12.75">
      <c r="A71" s="179">
        <v>40178</v>
      </c>
      <c r="B71" s="129">
        <f t="shared" si="0"/>
        <v>3</v>
      </c>
      <c r="C71" s="212">
        <f t="shared" si="1"/>
        <v>125783019</v>
      </c>
      <c r="D71" s="180"/>
      <c r="E71" s="209">
        <f>E69</f>
        <v>0.0408</v>
      </c>
      <c r="F71" s="117">
        <f>((C71+D71)*E71/360*B71)+((C70+D70)*E71/360*B70)</f>
        <v>1335967.8647733335</v>
      </c>
      <c r="G71" s="187">
        <f>SUM(F64:F71)</f>
        <v>5450401.272633335</v>
      </c>
      <c r="H71" s="187">
        <f>SUM(D64:D71)</f>
        <v>9704000</v>
      </c>
      <c r="I71" s="188">
        <f>SUM(G71:H71)</f>
        <v>15154401.272633335</v>
      </c>
    </row>
    <row r="72" spans="1:9" ht="12.75">
      <c r="A72" s="134">
        <v>40265</v>
      </c>
      <c r="B72" s="116">
        <f t="shared" si="0"/>
        <v>87</v>
      </c>
      <c r="C72" s="175">
        <f t="shared" si="1"/>
        <v>123357019</v>
      </c>
      <c r="D72" s="175">
        <v>2426000</v>
      </c>
      <c r="E72" s="207"/>
      <c r="F72" s="60"/>
      <c r="G72" s="177"/>
      <c r="H72" s="177"/>
      <c r="I72" s="178"/>
    </row>
    <row r="73" spans="1:9" ht="12.75">
      <c r="A73" s="115">
        <v>40268</v>
      </c>
      <c r="B73" s="122">
        <f t="shared" si="0"/>
        <v>3</v>
      </c>
      <c r="C73" s="175">
        <f t="shared" si="1"/>
        <v>123357019</v>
      </c>
      <c r="D73" s="175"/>
      <c r="E73" s="207">
        <f>E71</f>
        <v>0.0408</v>
      </c>
      <c r="F73" s="117">
        <f>((C73+D73)*E73/360*B73)+((C72+D72)*E73/360*B72)</f>
        <v>1282161.9538</v>
      </c>
      <c r="G73" s="185"/>
      <c r="H73" s="185"/>
      <c r="I73" s="186"/>
    </row>
    <row r="74" spans="1:9" ht="12.75">
      <c r="A74" s="115">
        <v>40357</v>
      </c>
      <c r="B74" s="122">
        <f aca="true" t="shared" si="2" ref="B74:B137">A74-A73</f>
        <v>89</v>
      </c>
      <c r="C74" s="175">
        <f t="shared" si="1"/>
        <v>120931019</v>
      </c>
      <c r="D74" s="175">
        <v>2426000</v>
      </c>
      <c r="E74" s="207"/>
      <c r="F74" s="59"/>
      <c r="G74" s="185"/>
      <c r="H74" s="185"/>
      <c r="I74" s="186"/>
    </row>
    <row r="75" spans="1:9" ht="12.75">
      <c r="A75" s="115">
        <v>40359</v>
      </c>
      <c r="B75" s="122">
        <f t="shared" si="2"/>
        <v>2</v>
      </c>
      <c r="C75" s="175">
        <f t="shared" si="1"/>
        <v>120931019</v>
      </c>
      <c r="D75" s="175"/>
      <c r="E75" s="207">
        <f>E73</f>
        <v>0.0408</v>
      </c>
      <c r="F75" s="117">
        <f>((C75+D75)*E75/360*B75)+((C74+D74)*E75/360*B74)</f>
        <v>1271672.1626200003</v>
      </c>
      <c r="G75" s="185"/>
      <c r="H75" s="185"/>
      <c r="I75" s="186"/>
    </row>
    <row r="76" spans="1:9" ht="12.75">
      <c r="A76" s="115">
        <v>40449</v>
      </c>
      <c r="B76" s="122">
        <f t="shared" si="2"/>
        <v>90</v>
      </c>
      <c r="C76" s="175">
        <f t="shared" si="1"/>
        <v>118505019</v>
      </c>
      <c r="D76" s="175">
        <v>2426000</v>
      </c>
      <c r="E76" s="207"/>
      <c r="F76" s="59"/>
      <c r="G76" s="185"/>
      <c r="H76" s="185"/>
      <c r="I76" s="186"/>
    </row>
    <row r="77" spans="1:9" ht="12.75">
      <c r="A77" s="115">
        <v>40451</v>
      </c>
      <c r="B77" s="122">
        <f t="shared" si="2"/>
        <v>2</v>
      </c>
      <c r="C77" s="175">
        <f>C76-D77</f>
        <v>118505019</v>
      </c>
      <c r="D77" s="175"/>
      <c r="E77" s="207">
        <f>E75</f>
        <v>0.0408</v>
      </c>
      <c r="F77" s="117">
        <f>((C77+D77)*E77/360*B77)+((C76+D76)*E77/360*B76)</f>
        <v>1260357.5314400003</v>
      </c>
      <c r="G77" s="185"/>
      <c r="H77" s="185"/>
      <c r="I77" s="186"/>
    </row>
    <row r="78" spans="1:9" ht="12.75">
      <c r="A78" s="115">
        <v>40540</v>
      </c>
      <c r="B78" s="122">
        <f t="shared" si="2"/>
        <v>89</v>
      </c>
      <c r="C78" s="175">
        <f t="shared" si="1"/>
        <v>116079019</v>
      </c>
      <c r="D78" s="175">
        <v>2426000</v>
      </c>
      <c r="E78" s="207"/>
      <c r="F78" s="59"/>
      <c r="G78" s="185"/>
      <c r="H78" s="185"/>
      <c r="I78" s="186"/>
    </row>
    <row r="79" spans="1:9" ht="12.75">
      <c r="A79" s="179">
        <v>40543</v>
      </c>
      <c r="B79" s="139">
        <f t="shared" si="2"/>
        <v>3</v>
      </c>
      <c r="C79" s="208">
        <f t="shared" si="1"/>
        <v>116079019</v>
      </c>
      <c r="D79" s="180"/>
      <c r="E79" s="209">
        <f>E77</f>
        <v>0.0408</v>
      </c>
      <c r="F79" s="117">
        <f>((C79+D79)*E79/360*B79)+((C78+D78)*E79/360*B78)</f>
        <v>1234787.49144</v>
      </c>
      <c r="G79" s="187">
        <f>SUM(F72:F79)</f>
        <v>5048979.139300001</v>
      </c>
      <c r="H79" s="187">
        <f>SUM(D72:D79)</f>
        <v>9704000</v>
      </c>
      <c r="I79" s="188">
        <f>SUM(G79:H79)</f>
        <v>14752979.1393</v>
      </c>
    </row>
    <row r="80" spans="1:9" ht="12.75">
      <c r="A80" s="134">
        <v>40630</v>
      </c>
      <c r="B80" s="135">
        <f t="shared" si="2"/>
        <v>87</v>
      </c>
      <c r="C80" s="60">
        <f t="shared" si="1"/>
        <v>113653019</v>
      </c>
      <c r="D80" s="175">
        <v>2426000</v>
      </c>
      <c r="E80" s="207"/>
      <c r="F80" s="60"/>
      <c r="G80" s="177"/>
      <c r="H80" s="177"/>
      <c r="I80" s="178"/>
    </row>
    <row r="81" spans="1:9" ht="12.75">
      <c r="A81" s="115">
        <v>40633</v>
      </c>
      <c r="B81" s="122">
        <f t="shared" si="2"/>
        <v>3</v>
      </c>
      <c r="C81" s="117">
        <f t="shared" si="1"/>
        <v>113653019</v>
      </c>
      <c r="D81" s="175"/>
      <c r="E81" s="207">
        <f>E79</f>
        <v>0.0408</v>
      </c>
      <c r="F81" s="117">
        <f>((C81+D81)*E81/360*B81)+((C80+D80)*E81/360*B80)</f>
        <v>1183181.1538000002</v>
      </c>
      <c r="G81" s="185"/>
      <c r="H81" s="185"/>
      <c r="I81" s="186"/>
    </row>
    <row r="82" spans="1:9" ht="12.75">
      <c r="A82" s="115">
        <v>40722</v>
      </c>
      <c r="B82" s="122">
        <f t="shared" si="2"/>
        <v>89</v>
      </c>
      <c r="C82" s="117">
        <f t="shared" si="1"/>
        <v>111227019</v>
      </c>
      <c r="D82" s="175">
        <v>2426000</v>
      </c>
      <c r="E82" s="207"/>
      <c r="F82" s="59"/>
      <c r="G82" s="185"/>
      <c r="H82" s="185"/>
      <c r="I82" s="186"/>
    </row>
    <row r="83" spans="1:9" ht="12.75">
      <c r="A83" s="115">
        <v>40724</v>
      </c>
      <c r="B83" s="122">
        <f t="shared" si="2"/>
        <v>2</v>
      </c>
      <c r="C83" s="117">
        <f t="shared" si="1"/>
        <v>111227019</v>
      </c>
      <c r="D83" s="175"/>
      <c r="E83" s="207">
        <f>E81</f>
        <v>0.0408</v>
      </c>
      <c r="F83" s="117">
        <f>((C83+D83)*E83/360*B83)+((C82+D82)*E83/360*B82)</f>
        <v>1171591.5759533332</v>
      </c>
      <c r="G83" s="185"/>
      <c r="H83" s="185"/>
      <c r="I83" s="186"/>
    </row>
    <row r="84" spans="1:9" ht="12.75">
      <c r="A84" s="115">
        <v>40814</v>
      </c>
      <c r="B84" s="122">
        <f t="shared" si="2"/>
        <v>90</v>
      </c>
      <c r="C84" s="117">
        <f t="shared" si="1"/>
        <v>108801019</v>
      </c>
      <c r="D84" s="175">
        <v>2426000</v>
      </c>
      <c r="E84" s="207"/>
      <c r="F84" s="59"/>
      <c r="G84" s="185"/>
      <c r="H84" s="185"/>
      <c r="I84" s="186"/>
    </row>
    <row r="85" spans="1:9" ht="12.75">
      <c r="A85" s="115">
        <v>40816</v>
      </c>
      <c r="B85" s="122">
        <f t="shared" si="2"/>
        <v>2</v>
      </c>
      <c r="C85" s="117">
        <f t="shared" si="1"/>
        <v>108801019</v>
      </c>
      <c r="D85" s="175"/>
      <c r="E85" s="207">
        <f>E83</f>
        <v>0.0408</v>
      </c>
      <c r="F85" s="117">
        <f>((C85+D85)*E85/360*B85)+((C84+D84)*E85/360*B84)</f>
        <v>1159177.1581066668</v>
      </c>
      <c r="G85" s="185"/>
      <c r="H85" s="185"/>
      <c r="I85" s="186"/>
    </row>
    <row r="86" spans="1:9" ht="12.75">
      <c r="A86" s="115">
        <v>40905</v>
      </c>
      <c r="B86" s="122">
        <f t="shared" si="2"/>
        <v>89</v>
      </c>
      <c r="C86" s="117">
        <f t="shared" si="1"/>
        <v>106375019</v>
      </c>
      <c r="D86" s="175">
        <v>2426000</v>
      </c>
      <c r="E86" s="207"/>
      <c r="F86" s="59"/>
      <c r="G86" s="185"/>
      <c r="H86" s="185"/>
      <c r="I86" s="186"/>
    </row>
    <row r="87" spans="1:9" ht="12.75">
      <c r="A87" s="179">
        <v>40908</v>
      </c>
      <c r="B87" s="129">
        <f t="shared" si="2"/>
        <v>3</v>
      </c>
      <c r="C87" s="212">
        <f aca="true" t="shared" si="3" ref="C87:C94">C86-D87</f>
        <v>106375019</v>
      </c>
      <c r="D87" s="180"/>
      <c r="E87" s="209">
        <f>E85</f>
        <v>0.0408</v>
      </c>
      <c r="F87" s="117">
        <f>((C87+D87)*E87/360*B87)+((C86+D86)*E87/360*B86)</f>
        <v>1133607.118106667</v>
      </c>
      <c r="G87" s="187">
        <f>SUM(F80:F87)</f>
        <v>4647557.005966667</v>
      </c>
      <c r="H87" s="187">
        <f>SUM(D80:D87)</f>
        <v>9704000</v>
      </c>
      <c r="I87" s="188">
        <f>SUM(G87:H87)</f>
        <v>14351557.005966667</v>
      </c>
    </row>
    <row r="88" spans="1:9" ht="12.75">
      <c r="A88" s="134">
        <v>40996</v>
      </c>
      <c r="B88" s="116">
        <f t="shared" si="2"/>
        <v>88</v>
      </c>
      <c r="C88" s="175">
        <f t="shared" si="3"/>
        <v>103949019</v>
      </c>
      <c r="D88" s="175">
        <v>2426000</v>
      </c>
      <c r="E88" s="207"/>
      <c r="F88" s="60"/>
      <c r="G88" s="177"/>
      <c r="H88" s="177"/>
      <c r="I88" s="178"/>
    </row>
    <row r="89" spans="1:9" ht="12.75">
      <c r="A89" s="115">
        <v>40999</v>
      </c>
      <c r="B89" s="122">
        <f t="shared" si="2"/>
        <v>3</v>
      </c>
      <c r="C89" s="175">
        <f t="shared" si="3"/>
        <v>103949019</v>
      </c>
      <c r="D89" s="175"/>
      <c r="E89" s="207">
        <f>E87</f>
        <v>0.0408</v>
      </c>
      <c r="F89" s="117">
        <f>((C89+D89)*E89/360*B89)+((C88+D88)*E89/360*B88)</f>
        <v>1096256.1892866667</v>
      </c>
      <c r="G89" s="185"/>
      <c r="H89" s="185"/>
      <c r="I89" s="186"/>
    </row>
    <row r="90" spans="1:9" ht="12.75">
      <c r="A90" s="115">
        <v>41088</v>
      </c>
      <c r="B90" s="122">
        <f t="shared" si="2"/>
        <v>89</v>
      </c>
      <c r="C90" s="175">
        <f t="shared" si="3"/>
        <v>101523019</v>
      </c>
      <c r="D90" s="175">
        <v>2426000</v>
      </c>
      <c r="E90" s="207"/>
      <c r="F90" s="59"/>
      <c r="G90" s="185"/>
      <c r="H90" s="185"/>
      <c r="I90" s="186"/>
    </row>
    <row r="91" spans="1:9" ht="12.75">
      <c r="A91" s="115">
        <v>41090</v>
      </c>
      <c r="B91" s="122">
        <f t="shared" si="2"/>
        <v>2</v>
      </c>
      <c r="C91" s="175">
        <f t="shared" si="3"/>
        <v>101523019</v>
      </c>
      <c r="D91" s="175"/>
      <c r="E91" s="207">
        <f>E89</f>
        <v>0.0408</v>
      </c>
      <c r="F91" s="117">
        <f>((C91+D91)*E91/360*B91)+((C90+D90)*E91/360*B90)</f>
        <v>1071510.9892866667</v>
      </c>
      <c r="G91" s="185"/>
      <c r="H91" s="185"/>
      <c r="I91" s="186"/>
    </row>
    <row r="92" spans="1:9" ht="12.75">
      <c r="A92" s="115">
        <v>41180</v>
      </c>
      <c r="B92" s="122">
        <f t="shared" si="2"/>
        <v>90</v>
      </c>
      <c r="C92" s="175">
        <f t="shared" si="3"/>
        <v>99097019</v>
      </c>
      <c r="D92" s="175">
        <v>2426000</v>
      </c>
      <c r="E92" s="207"/>
      <c r="F92" s="59"/>
      <c r="G92" s="185"/>
      <c r="H92" s="185"/>
      <c r="I92" s="186"/>
    </row>
    <row r="93" spans="1:9" ht="12.75">
      <c r="A93" s="115">
        <v>41182</v>
      </c>
      <c r="B93" s="122">
        <f t="shared" si="2"/>
        <v>2</v>
      </c>
      <c r="C93" s="175">
        <f t="shared" si="3"/>
        <v>99097019</v>
      </c>
      <c r="D93" s="175"/>
      <c r="E93" s="207">
        <f>E91</f>
        <v>0.0408</v>
      </c>
      <c r="F93" s="117">
        <f>((C93+D93)*E93/360*B93)+((C92+D92)*E93/360*B92)</f>
        <v>1057996.7847733335</v>
      </c>
      <c r="G93" s="185"/>
      <c r="H93" s="185"/>
      <c r="I93" s="186"/>
    </row>
    <row r="94" spans="1:9" ht="12.75">
      <c r="A94" s="115">
        <v>41271</v>
      </c>
      <c r="B94" s="122">
        <f t="shared" si="2"/>
        <v>89</v>
      </c>
      <c r="C94" s="175">
        <f t="shared" si="3"/>
        <v>96671019</v>
      </c>
      <c r="D94" s="175">
        <v>2426000</v>
      </c>
      <c r="E94" s="207"/>
      <c r="F94" s="59"/>
      <c r="G94" s="185"/>
      <c r="H94" s="185"/>
      <c r="I94" s="186"/>
    </row>
    <row r="95" spans="1:9" ht="12.75">
      <c r="A95" s="179">
        <v>41274</v>
      </c>
      <c r="B95" s="139">
        <f t="shared" si="2"/>
        <v>3</v>
      </c>
      <c r="C95" s="208">
        <f>C94-D95</f>
        <v>96671019</v>
      </c>
      <c r="D95" s="180"/>
      <c r="E95" s="209">
        <f>E93</f>
        <v>0.0408</v>
      </c>
      <c r="F95" s="117">
        <f>((C95+D95)*E95/360*B95)+((C94+D94)*E95/360*B94)</f>
        <v>1032426.7447733333</v>
      </c>
      <c r="G95" s="187">
        <f>SUM(F88:F95)</f>
        <v>4258190.708120001</v>
      </c>
      <c r="H95" s="187">
        <f>SUM(D88:D95)</f>
        <v>9704000</v>
      </c>
      <c r="I95" s="188">
        <f>SUM(G95:H95)</f>
        <v>13962190.70812</v>
      </c>
    </row>
    <row r="96" spans="1:9" ht="12.75">
      <c r="A96" s="134">
        <v>41361</v>
      </c>
      <c r="B96" s="135">
        <f t="shared" si="2"/>
        <v>87</v>
      </c>
      <c r="C96" s="60">
        <f aca="true" t="shared" si="4" ref="C96:C112">C95-D96</f>
        <v>94245019</v>
      </c>
      <c r="D96" s="175">
        <v>2426000</v>
      </c>
      <c r="E96" s="207"/>
      <c r="F96" s="60"/>
      <c r="G96" s="177"/>
      <c r="H96" s="177"/>
      <c r="I96" s="178"/>
    </row>
    <row r="97" spans="1:9" ht="12.75">
      <c r="A97" s="115">
        <v>41364</v>
      </c>
      <c r="B97" s="122">
        <f t="shared" si="2"/>
        <v>3</v>
      </c>
      <c r="C97" s="117">
        <f t="shared" si="4"/>
        <v>94245019</v>
      </c>
      <c r="D97" s="175"/>
      <c r="E97" s="207">
        <f>E95</f>
        <v>0.0408</v>
      </c>
      <c r="F97" s="117">
        <f>((C97+D97)*E97/360*B97)+((C96+D96)*E97/360*B96)</f>
        <v>985219.5538</v>
      </c>
      <c r="G97" s="185"/>
      <c r="H97" s="185"/>
      <c r="I97" s="186"/>
    </row>
    <row r="98" spans="1:9" ht="12.75">
      <c r="A98" s="115">
        <v>41453</v>
      </c>
      <c r="B98" s="122">
        <f t="shared" si="2"/>
        <v>89</v>
      </c>
      <c r="C98" s="117">
        <f t="shared" si="4"/>
        <v>91819019</v>
      </c>
      <c r="D98" s="175">
        <v>2426000</v>
      </c>
      <c r="E98" s="207"/>
      <c r="F98" s="59"/>
      <c r="G98" s="185"/>
      <c r="H98" s="185"/>
      <c r="I98" s="186"/>
    </row>
    <row r="99" spans="1:9" ht="12.75">
      <c r="A99" s="115">
        <v>41455</v>
      </c>
      <c r="B99" s="122">
        <f t="shared" si="2"/>
        <v>2</v>
      </c>
      <c r="C99" s="117">
        <f t="shared" si="4"/>
        <v>91819019</v>
      </c>
      <c r="D99" s="175"/>
      <c r="E99" s="207">
        <f>E97</f>
        <v>0.0408</v>
      </c>
      <c r="F99" s="117">
        <f>((C99+D99)*E99/360*B99)+((C98+D98)*E99/360*B98)</f>
        <v>971430.4026200002</v>
      </c>
      <c r="G99" s="185"/>
      <c r="H99" s="185"/>
      <c r="I99" s="186"/>
    </row>
    <row r="100" spans="1:9" ht="12.75">
      <c r="A100" s="121">
        <v>41545</v>
      </c>
      <c r="B100" s="122">
        <f t="shared" si="2"/>
        <v>90</v>
      </c>
      <c r="C100" s="59">
        <f t="shared" si="4"/>
        <v>89393019</v>
      </c>
      <c r="D100" s="59">
        <v>2426000</v>
      </c>
      <c r="E100" s="213"/>
      <c r="F100" s="59"/>
      <c r="G100" s="192"/>
      <c r="H100" s="192"/>
      <c r="I100" s="193"/>
    </row>
    <row r="101" spans="1:9" ht="12.75">
      <c r="A101" s="121">
        <v>41547</v>
      </c>
      <c r="B101" s="122">
        <f t="shared" si="2"/>
        <v>2</v>
      </c>
      <c r="C101" s="59">
        <f t="shared" si="4"/>
        <v>89393019</v>
      </c>
      <c r="D101" s="191"/>
      <c r="E101" s="213">
        <f>E99</f>
        <v>0.0408</v>
      </c>
      <c r="F101" s="59">
        <f>((C101+D101)*E101/360*B101)+((C100+D100)*E101/360*B100)</f>
        <v>956816.4114399999</v>
      </c>
      <c r="G101" s="192"/>
      <c r="H101" s="192"/>
      <c r="I101" s="193"/>
    </row>
    <row r="102" spans="1:9" ht="12.75">
      <c r="A102" s="115">
        <v>41636</v>
      </c>
      <c r="B102" s="122">
        <f t="shared" si="2"/>
        <v>89</v>
      </c>
      <c r="C102" s="117">
        <f t="shared" si="4"/>
        <v>86967019</v>
      </c>
      <c r="D102" s="175">
        <v>2426000</v>
      </c>
      <c r="E102" s="207"/>
      <c r="F102" s="59"/>
      <c r="G102" s="185"/>
      <c r="H102" s="185"/>
      <c r="I102" s="186"/>
    </row>
    <row r="103" spans="1:9" ht="12.75">
      <c r="A103" s="128">
        <v>41639</v>
      </c>
      <c r="B103" s="129">
        <f t="shared" si="2"/>
        <v>3</v>
      </c>
      <c r="C103" s="130">
        <f t="shared" si="4"/>
        <v>86967019</v>
      </c>
      <c r="D103" s="130"/>
      <c r="E103" s="225">
        <f>E101</f>
        <v>0.0408</v>
      </c>
      <c r="F103" s="130">
        <f>((C103+D103)*E103/360*B103)+((C102+D102)*E103/360*B102)</f>
        <v>931246.3714400001</v>
      </c>
      <c r="G103" s="132">
        <f>SUM(F96:F103)</f>
        <v>3844712.7393000005</v>
      </c>
      <c r="H103" s="132">
        <f>SUM(D96:D103)</f>
        <v>9704000</v>
      </c>
      <c r="I103" s="133">
        <f>SUM(G103:H103)</f>
        <v>13548712.739300001</v>
      </c>
    </row>
    <row r="104" spans="1:9" ht="12.75">
      <c r="A104" s="134">
        <v>41726</v>
      </c>
      <c r="B104" s="135">
        <f t="shared" si="2"/>
        <v>87</v>
      </c>
      <c r="C104" s="60">
        <f t="shared" si="4"/>
        <v>84541019</v>
      </c>
      <c r="D104" s="175">
        <v>2426000</v>
      </c>
      <c r="E104" s="136"/>
      <c r="F104" s="60"/>
      <c r="G104" s="189"/>
      <c r="H104" s="189"/>
      <c r="I104" s="190"/>
    </row>
    <row r="105" spans="1:9" ht="12.75">
      <c r="A105" s="115">
        <v>41729</v>
      </c>
      <c r="B105" s="116">
        <f t="shared" si="2"/>
        <v>3</v>
      </c>
      <c r="C105" s="175">
        <f t="shared" si="4"/>
        <v>84541019</v>
      </c>
      <c r="D105" s="175"/>
      <c r="E105" s="207">
        <f>E103</f>
        <v>0.0408</v>
      </c>
      <c r="F105" s="117">
        <f>((C105+D105)*E105/360*B105)+((C104+D104)*E105/360*B104)</f>
        <v>886238.7538</v>
      </c>
      <c r="G105" s="185"/>
      <c r="H105" s="185"/>
      <c r="I105" s="186"/>
    </row>
    <row r="106" spans="1:9" ht="12.75">
      <c r="A106" s="115">
        <v>41818</v>
      </c>
      <c r="B106" s="122">
        <f t="shared" si="2"/>
        <v>89</v>
      </c>
      <c r="C106" s="175">
        <f t="shared" si="4"/>
        <v>82115019</v>
      </c>
      <c r="D106" s="175">
        <v>2426000</v>
      </c>
      <c r="E106" s="207"/>
      <c r="F106" s="59"/>
      <c r="G106" s="185"/>
      <c r="H106" s="185"/>
      <c r="I106" s="186"/>
    </row>
    <row r="107" spans="1:9" ht="12.75">
      <c r="A107" s="121">
        <v>41820</v>
      </c>
      <c r="B107" s="122">
        <f t="shared" si="2"/>
        <v>2</v>
      </c>
      <c r="C107" s="59">
        <f t="shared" si="4"/>
        <v>82115019</v>
      </c>
      <c r="D107" s="175"/>
      <c r="E107" s="126">
        <f>E105</f>
        <v>0.0408</v>
      </c>
      <c r="F107" s="117">
        <f>((C107+D107)*E107/360*B107)+((C106+D106)*E107/360*B106)</f>
        <v>871349.8159533334</v>
      </c>
      <c r="G107" s="124"/>
      <c r="H107" s="124"/>
      <c r="I107" s="125"/>
    </row>
    <row r="108" spans="1:9" ht="12.75">
      <c r="A108" s="121">
        <v>41910</v>
      </c>
      <c r="B108" s="122">
        <f t="shared" si="2"/>
        <v>90</v>
      </c>
      <c r="C108" s="59">
        <f t="shared" si="4"/>
        <v>79689019</v>
      </c>
      <c r="D108" s="175">
        <v>2426000</v>
      </c>
      <c r="E108" s="126"/>
      <c r="F108" s="117"/>
      <c r="G108" s="124"/>
      <c r="H108" s="124"/>
      <c r="I108" s="125"/>
    </row>
    <row r="109" spans="1:9" ht="12.75">
      <c r="A109" s="115">
        <v>41912</v>
      </c>
      <c r="B109" s="122">
        <f t="shared" si="2"/>
        <v>2</v>
      </c>
      <c r="C109" s="175">
        <f t="shared" si="4"/>
        <v>79689019</v>
      </c>
      <c r="D109" s="175"/>
      <c r="E109" s="207">
        <f>E107</f>
        <v>0.0408</v>
      </c>
      <c r="F109" s="117">
        <f>((C109+D109)*E109/360*B109)+((C108+D108)*E109/360*B108)</f>
        <v>855636.0381066666</v>
      </c>
      <c r="G109" s="185"/>
      <c r="H109" s="185"/>
      <c r="I109" s="186"/>
    </row>
    <row r="110" spans="1:9" ht="12.75">
      <c r="A110" s="115">
        <v>42001</v>
      </c>
      <c r="B110" s="122">
        <f t="shared" si="2"/>
        <v>89</v>
      </c>
      <c r="C110" s="175">
        <f t="shared" si="4"/>
        <v>77263019</v>
      </c>
      <c r="D110" s="175">
        <v>2426000</v>
      </c>
      <c r="E110" s="207"/>
      <c r="F110" s="59"/>
      <c r="G110" s="185"/>
      <c r="H110" s="185"/>
      <c r="I110" s="186"/>
    </row>
    <row r="111" spans="1:9" ht="12.75">
      <c r="A111" s="179">
        <v>42004</v>
      </c>
      <c r="B111" s="139">
        <f t="shared" si="2"/>
        <v>3</v>
      </c>
      <c r="C111" s="208">
        <f t="shared" si="4"/>
        <v>77263019</v>
      </c>
      <c r="D111" s="180"/>
      <c r="E111" s="209">
        <f>E109</f>
        <v>0.0408</v>
      </c>
      <c r="F111" s="117">
        <f>((C111+D111)*E111/360*B111)+((C110+D110)*E111/360*B110)</f>
        <v>830065.9981066668</v>
      </c>
      <c r="G111" s="187">
        <f>SUM(F104:F111)</f>
        <v>3443290.6059666667</v>
      </c>
      <c r="H111" s="187">
        <f>SUM(D104:D111)</f>
        <v>9704000</v>
      </c>
      <c r="I111" s="188">
        <f>SUM(G111:H111)</f>
        <v>13147290.605966667</v>
      </c>
    </row>
    <row r="112" spans="1:9" ht="12.75">
      <c r="A112" s="134">
        <v>42091</v>
      </c>
      <c r="B112" s="135">
        <f t="shared" si="2"/>
        <v>87</v>
      </c>
      <c r="C112" s="60">
        <f t="shared" si="4"/>
        <v>74837019</v>
      </c>
      <c r="D112" s="175">
        <v>2426000</v>
      </c>
      <c r="E112" s="207"/>
      <c r="F112" s="60"/>
      <c r="G112" s="177"/>
      <c r="H112" s="177"/>
      <c r="I112" s="178"/>
    </row>
    <row r="113" spans="1:9" ht="12.75">
      <c r="A113" s="115">
        <v>42094</v>
      </c>
      <c r="B113" s="122">
        <f t="shared" si="2"/>
        <v>3</v>
      </c>
      <c r="C113" s="117">
        <f>C112-D113</f>
        <v>74837019</v>
      </c>
      <c r="D113" s="175"/>
      <c r="E113" s="207">
        <f>E111</f>
        <v>0.0408</v>
      </c>
      <c r="F113" s="117">
        <f>((C113+D113)*E113/360*B113)+((C112+D112)*E113/360*B112)</f>
        <v>787257.9538000001</v>
      </c>
      <c r="G113" s="185"/>
      <c r="H113" s="185"/>
      <c r="I113" s="186"/>
    </row>
    <row r="114" spans="1:9" ht="12.75">
      <c r="A114" s="121">
        <v>42183</v>
      </c>
      <c r="B114" s="122">
        <f t="shared" si="2"/>
        <v>89</v>
      </c>
      <c r="C114" s="59">
        <f aca="true" t="shared" si="5" ref="C114:C131">C113-D114</f>
        <v>72411019</v>
      </c>
      <c r="D114" s="175">
        <v>2426000</v>
      </c>
      <c r="E114" s="126"/>
      <c r="F114" s="59"/>
      <c r="G114" s="124"/>
      <c r="H114" s="124"/>
      <c r="I114" s="125"/>
    </row>
    <row r="115" spans="1:9" ht="12.75">
      <c r="A115" s="121">
        <v>42185</v>
      </c>
      <c r="B115" s="122">
        <f t="shared" si="2"/>
        <v>2</v>
      </c>
      <c r="C115" s="59">
        <f t="shared" si="5"/>
        <v>72411019</v>
      </c>
      <c r="D115" s="175"/>
      <c r="E115" s="126">
        <f>E113</f>
        <v>0.0408</v>
      </c>
      <c r="F115" s="117">
        <f>((C115+D115)*E115/360*B115)+((C114+D114)*E115/360*B114)</f>
        <v>771269.2292866666</v>
      </c>
      <c r="G115" s="124"/>
      <c r="H115" s="124"/>
      <c r="I115" s="125"/>
    </row>
    <row r="116" spans="1:9" ht="12.75">
      <c r="A116" s="121">
        <v>42275</v>
      </c>
      <c r="B116" s="122">
        <f t="shared" si="2"/>
        <v>90</v>
      </c>
      <c r="C116" s="59">
        <f t="shared" si="5"/>
        <v>69985019</v>
      </c>
      <c r="D116" s="175">
        <v>2426000</v>
      </c>
      <c r="E116" s="213"/>
      <c r="F116" s="59"/>
      <c r="G116" s="192"/>
      <c r="H116" s="192"/>
      <c r="I116" s="193"/>
    </row>
    <row r="117" spans="1:9" ht="12.75">
      <c r="A117" s="121">
        <v>42277</v>
      </c>
      <c r="B117" s="122">
        <f t="shared" si="2"/>
        <v>2</v>
      </c>
      <c r="C117" s="59">
        <f t="shared" si="5"/>
        <v>69985019</v>
      </c>
      <c r="D117" s="175"/>
      <c r="E117" s="213">
        <f>E115</f>
        <v>0.0408</v>
      </c>
      <c r="F117" s="117">
        <f>((C117+D117)*E117/360*B117)+((C116+D116)*E117/360*B116)</f>
        <v>754455.6647733335</v>
      </c>
      <c r="G117" s="192"/>
      <c r="H117" s="192"/>
      <c r="I117" s="193"/>
    </row>
    <row r="118" spans="1:9" ht="12.75">
      <c r="A118" s="115">
        <v>42366</v>
      </c>
      <c r="B118" s="122">
        <f t="shared" si="2"/>
        <v>89</v>
      </c>
      <c r="C118" s="117">
        <f t="shared" si="5"/>
        <v>67559019</v>
      </c>
      <c r="D118" s="175">
        <v>2426000</v>
      </c>
      <c r="E118" s="207"/>
      <c r="F118" s="59"/>
      <c r="G118" s="185"/>
      <c r="H118" s="185"/>
      <c r="I118" s="186"/>
    </row>
    <row r="119" spans="1:9" ht="12.75">
      <c r="A119" s="179">
        <v>42369</v>
      </c>
      <c r="B119" s="129">
        <f t="shared" si="2"/>
        <v>3</v>
      </c>
      <c r="C119" s="212">
        <f t="shared" si="5"/>
        <v>67559019</v>
      </c>
      <c r="D119" s="180"/>
      <c r="E119" s="209">
        <f>E117</f>
        <v>0.0408</v>
      </c>
      <c r="F119" s="117">
        <f>((C119+D119)*E119/360*B119)+((C118+D118)*E119/360*B118)</f>
        <v>728885.6247733333</v>
      </c>
      <c r="G119" s="187">
        <f>SUM(F112:F119)</f>
        <v>3041868.4726333334</v>
      </c>
      <c r="H119" s="187">
        <f>SUM(D112:D119)</f>
        <v>9704000</v>
      </c>
      <c r="I119" s="188">
        <f>SUM(G119:H119)</f>
        <v>12745868.472633334</v>
      </c>
    </row>
    <row r="120" spans="1:9" ht="12.75">
      <c r="A120" s="134">
        <v>42457</v>
      </c>
      <c r="B120" s="116">
        <f t="shared" si="2"/>
        <v>88</v>
      </c>
      <c r="C120" s="175">
        <f t="shared" si="5"/>
        <v>65133019</v>
      </c>
      <c r="D120" s="175">
        <v>2426000</v>
      </c>
      <c r="E120" s="207"/>
      <c r="F120" s="60"/>
      <c r="G120" s="177"/>
      <c r="H120" s="177"/>
      <c r="I120" s="178"/>
    </row>
    <row r="121" spans="1:9" ht="12.75">
      <c r="A121" s="115">
        <v>42460</v>
      </c>
      <c r="B121" s="122">
        <f t="shared" si="2"/>
        <v>3</v>
      </c>
      <c r="C121" s="175">
        <f t="shared" si="5"/>
        <v>65133019</v>
      </c>
      <c r="D121" s="175"/>
      <c r="E121" s="207">
        <f>E119</f>
        <v>0.0408</v>
      </c>
      <c r="F121" s="117">
        <f>((C121+D121)*E121/360*B121)+((C120+D120)*E121/360*B120)</f>
        <v>695933.84262</v>
      </c>
      <c r="G121" s="185"/>
      <c r="H121" s="185"/>
      <c r="I121" s="186"/>
    </row>
    <row r="122" spans="1:9" ht="12.75">
      <c r="A122" s="115">
        <v>42549</v>
      </c>
      <c r="B122" s="122">
        <f t="shared" si="2"/>
        <v>89</v>
      </c>
      <c r="C122" s="175">
        <f t="shared" si="5"/>
        <v>62707019</v>
      </c>
      <c r="D122" s="175">
        <v>2426000</v>
      </c>
      <c r="E122" s="207"/>
      <c r="F122" s="59"/>
      <c r="G122" s="185"/>
      <c r="H122" s="185"/>
      <c r="I122" s="186"/>
    </row>
    <row r="123" spans="1:9" ht="12.75">
      <c r="A123" s="115">
        <v>42551</v>
      </c>
      <c r="B123" s="122">
        <f t="shared" si="2"/>
        <v>2</v>
      </c>
      <c r="C123" s="175">
        <f t="shared" si="5"/>
        <v>62707019</v>
      </c>
      <c r="D123" s="175"/>
      <c r="E123" s="207">
        <f>E121</f>
        <v>0.0408</v>
      </c>
      <c r="F123" s="117">
        <f>((C123+D123)*E123/360*B123)+((C122+D122)*E123/360*B122)</f>
        <v>671188.64262</v>
      </c>
      <c r="G123" s="185"/>
      <c r="H123" s="185"/>
      <c r="I123" s="186"/>
    </row>
    <row r="124" spans="1:9" ht="12.75">
      <c r="A124" s="115">
        <v>42641</v>
      </c>
      <c r="B124" s="122">
        <f t="shared" si="2"/>
        <v>90</v>
      </c>
      <c r="C124" s="175">
        <f t="shared" si="5"/>
        <v>60281019</v>
      </c>
      <c r="D124" s="175">
        <v>2426000</v>
      </c>
      <c r="E124" s="207"/>
      <c r="F124" s="59"/>
      <c r="G124" s="185"/>
      <c r="H124" s="185"/>
      <c r="I124" s="186"/>
    </row>
    <row r="125" spans="1:9" ht="12.75">
      <c r="A125" s="115">
        <v>42643</v>
      </c>
      <c r="B125" s="122">
        <f t="shared" si="2"/>
        <v>2</v>
      </c>
      <c r="C125" s="175">
        <f t="shared" si="5"/>
        <v>60281019</v>
      </c>
      <c r="D125" s="175"/>
      <c r="E125" s="207">
        <f>E123</f>
        <v>0.0408</v>
      </c>
      <c r="F125" s="117">
        <f>((C125+D125)*E125/360*B125)+((C124+D124)*E125/360*B124)</f>
        <v>653275.2914400001</v>
      </c>
      <c r="G125" s="185"/>
      <c r="H125" s="185"/>
      <c r="I125" s="186"/>
    </row>
    <row r="126" spans="1:9" ht="12.75">
      <c r="A126" s="115">
        <v>42732</v>
      </c>
      <c r="B126" s="122">
        <f t="shared" si="2"/>
        <v>89</v>
      </c>
      <c r="C126" s="175">
        <f t="shared" si="5"/>
        <v>57855019</v>
      </c>
      <c r="D126" s="175">
        <v>2426000</v>
      </c>
      <c r="E126" s="207"/>
      <c r="F126" s="59"/>
      <c r="G126" s="185"/>
      <c r="H126" s="185"/>
      <c r="I126" s="186"/>
    </row>
    <row r="127" spans="1:9" ht="12.75">
      <c r="A127" s="179">
        <v>42735</v>
      </c>
      <c r="B127" s="139">
        <f t="shared" si="2"/>
        <v>3</v>
      </c>
      <c r="C127" s="208">
        <f t="shared" si="5"/>
        <v>57855019</v>
      </c>
      <c r="D127" s="180"/>
      <c r="E127" s="209">
        <f>E125</f>
        <v>0.0408</v>
      </c>
      <c r="F127" s="117">
        <f>((C127+D127)*E127/360*B127)+((C126+D126)*E127/360*B126)</f>
        <v>627705.2514400001</v>
      </c>
      <c r="G127" s="187">
        <f>SUM(F120:F127)</f>
        <v>2648103.0281200004</v>
      </c>
      <c r="H127" s="187">
        <f>SUM(D120:D127)</f>
        <v>9704000</v>
      </c>
      <c r="I127" s="188">
        <f>SUM(G127:H127)</f>
        <v>12352103.02812</v>
      </c>
    </row>
    <row r="128" spans="1:9" ht="12.75">
      <c r="A128" s="134">
        <v>42822</v>
      </c>
      <c r="B128" s="135">
        <f t="shared" si="2"/>
        <v>87</v>
      </c>
      <c r="C128" s="60">
        <f t="shared" si="5"/>
        <v>55429019</v>
      </c>
      <c r="D128" s="175">
        <v>2426000</v>
      </c>
      <c r="E128" s="207"/>
      <c r="F128" s="60"/>
      <c r="G128" s="177"/>
      <c r="H128" s="177"/>
      <c r="I128" s="178"/>
    </row>
    <row r="129" spans="1:9" ht="12.75">
      <c r="A129" s="115">
        <v>42825</v>
      </c>
      <c r="B129" s="122">
        <f t="shared" si="2"/>
        <v>3</v>
      </c>
      <c r="C129" s="117">
        <f t="shared" si="5"/>
        <v>55429019</v>
      </c>
      <c r="D129" s="175"/>
      <c r="E129" s="207">
        <f>E127</f>
        <v>0.0408</v>
      </c>
      <c r="F129" s="117">
        <f>((C129+D129)*E129/360*B129)+((C128+D128)*E129/360*B128)</f>
        <v>589296.3538</v>
      </c>
      <c r="G129" s="185"/>
      <c r="H129" s="185"/>
      <c r="I129" s="186"/>
    </row>
    <row r="130" spans="1:9" ht="12.75">
      <c r="A130" s="115">
        <v>42914</v>
      </c>
      <c r="B130" s="122">
        <f t="shared" si="2"/>
        <v>89</v>
      </c>
      <c r="C130" s="117">
        <f t="shared" si="5"/>
        <v>53003019</v>
      </c>
      <c r="D130" s="175">
        <v>2426000</v>
      </c>
      <c r="E130" s="207"/>
      <c r="F130" s="59"/>
      <c r="G130" s="185"/>
      <c r="H130" s="185"/>
      <c r="I130" s="186"/>
    </row>
    <row r="131" spans="1:9" ht="12.75">
      <c r="A131" s="115">
        <v>42916</v>
      </c>
      <c r="B131" s="122">
        <f t="shared" si="2"/>
        <v>2</v>
      </c>
      <c r="C131" s="117">
        <f t="shared" si="5"/>
        <v>53003019</v>
      </c>
      <c r="D131" s="175"/>
      <c r="E131" s="207">
        <f>E129</f>
        <v>0.0408</v>
      </c>
      <c r="F131" s="117">
        <f>((C131+D131)*E131/360*B131)+((C130+D130)*E131/360*B130)</f>
        <v>571108.0559533334</v>
      </c>
      <c r="G131" s="185"/>
      <c r="H131" s="185"/>
      <c r="I131" s="186"/>
    </row>
    <row r="132" spans="1:9" ht="12.75">
      <c r="A132" s="115">
        <v>43006</v>
      </c>
      <c r="B132" s="122">
        <f t="shared" si="2"/>
        <v>90</v>
      </c>
      <c r="C132" s="117">
        <f>C131-D132</f>
        <v>50577019</v>
      </c>
      <c r="D132" s="175">
        <v>2426000</v>
      </c>
      <c r="E132" s="207"/>
      <c r="F132" s="59"/>
      <c r="G132" s="185"/>
      <c r="H132" s="185"/>
      <c r="I132" s="186"/>
    </row>
    <row r="133" spans="1:9" ht="12.75">
      <c r="A133" s="115">
        <v>43008</v>
      </c>
      <c r="B133" s="122">
        <f t="shared" si="2"/>
        <v>2</v>
      </c>
      <c r="C133" s="117">
        <f aca="true" t="shared" si="6" ref="C133:C147">C132-D133</f>
        <v>50577019</v>
      </c>
      <c r="D133" s="175"/>
      <c r="E133" s="207">
        <f>E131</f>
        <v>0.0408</v>
      </c>
      <c r="F133" s="117">
        <f>((C133+D133)*E133/360*B133)+((C132+D132)*E133/360*B132)</f>
        <v>552094.9181066666</v>
      </c>
      <c r="G133" s="185"/>
      <c r="H133" s="185"/>
      <c r="I133" s="186"/>
    </row>
    <row r="134" spans="1:9" ht="12.75">
      <c r="A134" s="115">
        <v>43097</v>
      </c>
      <c r="B134" s="122">
        <f t="shared" si="2"/>
        <v>89</v>
      </c>
      <c r="C134" s="117">
        <f t="shared" si="6"/>
        <v>48151019</v>
      </c>
      <c r="D134" s="175">
        <v>2426000</v>
      </c>
      <c r="E134" s="207"/>
      <c r="F134" s="59"/>
      <c r="G134" s="185"/>
      <c r="H134" s="185"/>
      <c r="I134" s="186"/>
    </row>
    <row r="135" spans="1:9" ht="12.75">
      <c r="A135" s="179">
        <v>43100</v>
      </c>
      <c r="B135" s="129">
        <f t="shared" si="2"/>
        <v>3</v>
      </c>
      <c r="C135" s="212">
        <f t="shared" si="6"/>
        <v>48151019</v>
      </c>
      <c r="D135" s="180"/>
      <c r="E135" s="209">
        <f>E133</f>
        <v>0.0408</v>
      </c>
      <c r="F135" s="117">
        <f>((C135+D135)*E135/360*B135)+((C134+D134)*E135/360*B134)</f>
        <v>526524.8781066666</v>
      </c>
      <c r="G135" s="187">
        <f>SUM(F128:F135)</f>
        <v>2239024.205966667</v>
      </c>
      <c r="H135" s="187">
        <f>SUM(D128:D135)</f>
        <v>9704000</v>
      </c>
      <c r="I135" s="188">
        <f>SUM(G135:H135)</f>
        <v>11943024.205966666</v>
      </c>
    </row>
    <row r="136" spans="1:9" ht="12.75">
      <c r="A136" s="134">
        <v>43187</v>
      </c>
      <c r="B136" s="116">
        <f t="shared" si="2"/>
        <v>87</v>
      </c>
      <c r="C136" s="175">
        <f t="shared" si="6"/>
        <v>45725019</v>
      </c>
      <c r="D136" s="175">
        <v>2426000</v>
      </c>
      <c r="E136" s="207"/>
      <c r="F136" s="60"/>
      <c r="G136" s="177"/>
      <c r="H136" s="177"/>
      <c r="I136" s="178"/>
    </row>
    <row r="137" spans="1:9" ht="12.75">
      <c r="A137" s="115">
        <v>43190</v>
      </c>
      <c r="B137" s="122">
        <f t="shared" si="2"/>
        <v>3</v>
      </c>
      <c r="C137" s="175">
        <f t="shared" si="6"/>
        <v>45725019</v>
      </c>
      <c r="D137" s="175"/>
      <c r="E137" s="207">
        <f>E135</f>
        <v>0.0408</v>
      </c>
      <c r="F137" s="117">
        <f>((C137+D137)*E137/360*B137)+((C136+D136)*E137/360*B136)</f>
        <v>490315.5538</v>
      </c>
      <c r="G137" s="185"/>
      <c r="H137" s="185"/>
      <c r="I137" s="186"/>
    </row>
    <row r="138" spans="1:9" ht="12.75">
      <c r="A138" s="115">
        <v>43279</v>
      </c>
      <c r="B138" s="122">
        <f aca="true" t="shared" si="7" ref="B138:B174">A138-A137</f>
        <v>89</v>
      </c>
      <c r="C138" s="175">
        <f t="shared" si="6"/>
        <v>43299019</v>
      </c>
      <c r="D138" s="175">
        <v>2426000</v>
      </c>
      <c r="E138" s="207"/>
      <c r="F138" s="59"/>
      <c r="G138" s="185"/>
      <c r="H138" s="185"/>
      <c r="I138" s="186"/>
    </row>
    <row r="139" spans="1:9" ht="12.75">
      <c r="A139" s="115">
        <v>43281</v>
      </c>
      <c r="B139" s="122">
        <f t="shared" si="7"/>
        <v>2</v>
      </c>
      <c r="C139" s="175">
        <f t="shared" si="6"/>
        <v>43299019</v>
      </c>
      <c r="D139" s="175"/>
      <c r="E139" s="207">
        <f>E137</f>
        <v>0.0408</v>
      </c>
      <c r="F139" s="117">
        <f>((C139+D139)*E139/360*B139)+((C138+D138)*E139/360*B138)</f>
        <v>471027.46928666666</v>
      </c>
      <c r="G139" s="185"/>
      <c r="H139" s="185"/>
      <c r="I139" s="186"/>
    </row>
    <row r="140" spans="1:9" ht="12.75">
      <c r="A140" s="115">
        <v>43371</v>
      </c>
      <c r="B140" s="122">
        <f t="shared" si="7"/>
        <v>90</v>
      </c>
      <c r="C140" s="175">
        <f t="shared" si="6"/>
        <v>40873019</v>
      </c>
      <c r="D140" s="175">
        <v>2426000</v>
      </c>
      <c r="E140" s="207"/>
      <c r="F140" s="59"/>
      <c r="G140" s="185"/>
      <c r="H140" s="185"/>
      <c r="I140" s="186"/>
    </row>
    <row r="141" spans="1:9" ht="12.75">
      <c r="A141" s="115">
        <v>43373</v>
      </c>
      <c r="B141" s="122">
        <f t="shared" si="7"/>
        <v>2</v>
      </c>
      <c r="C141" s="175">
        <f t="shared" si="6"/>
        <v>40873019</v>
      </c>
      <c r="D141" s="175"/>
      <c r="E141" s="207">
        <f>E139</f>
        <v>0.0408</v>
      </c>
      <c r="F141" s="117">
        <f>((C141+D141)*E141/360*B141)+((C140+D140)*E141/360*B140)</f>
        <v>450914.5447733334</v>
      </c>
      <c r="G141" s="185"/>
      <c r="H141" s="185"/>
      <c r="I141" s="186"/>
    </row>
    <row r="142" spans="1:9" ht="12.75">
      <c r="A142" s="115">
        <v>43462</v>
      </c>
      <c r="B142" s="122">
        <f t="shared" si="7"/>
        <v>89</v>
      </c>
      <c r="C142" s="175">
        <f t="shared" si="6"/>
        <v>38447019</v>
      </c>
      <c r="D142" s="175">
        <v>2426000</v>
      </c>
      <c r="E142" s="207"/>
      <c r="F142" s="59"/>
      <c r="G142" s="185"/>
      <c r="H142" s="185"/>
      <c r="I142" s="186"/>
    </row>
    <row r="143" spans="1:9" ht="12.75">
      <c r="A143" s="179">
        <v>43465</v>
      </c>
      <c r="B143" s="139">
        <f t="shared" si="7"/>
        <v>3</v>
      </c>
      <c r="C143" s="208">
        <f t="shared" si="6"/>
        <v>38447019</v>
      </c>
      <c r="D143" s="180"/>
      <c r="E143" s="209">
        <f>E141</f>
        <v>0.0408</v>
      </c>
      <c r="F143" s="117">
        <f>((C143+D143)*E143/360*B143)+((C142+D142)*E143/360*B142)</f>
        <v>425344.5047733334</v>
      </c>
      <c r="G143" s="187">
        <f>SUM(F136:F143)</f>
        <v>1837602.0726333335</v>
      </c>
      <c r="H143" s="187">
        <f>SUM(D136:D143)</f>
        <v>9704000</v>
      </c>
      <c r="I143" s="188">
        <f>SUM(G143:H143)</f>
        <v>11541602.072633334</v>
      </c>
    </row>
    <row r="144" spans="1:9" ht="12.75">
      <c r="A144" s="134">
        <v>43552</v>
      </c>
      <c r="B144" s="135">
        <f t="shared" si="7"/>
        <v>87</v>
      </c>
      <c r="C144" s="60">
        <f t="shared" si="6"/>
        <v>36021019</v>
      </c>
      <c r="D144" s="175">
        <v>2426000</v>
      </c>
      <c r="E144" s="207"/>
      <c r="F144" s="60"/>
      <c r="G144" s="177"/>
      <c r="H144" s="177"/>
      <c r="I144" s="178"/>
    </row>
    <row r="145" spans="1:9" ht="12.75">
      <c r="A145" s="115">
        <v>43555</v>
      </c>
      <c r="B145" s="122">
        <f t="shared" si="7"/>
        <v>3</v>
      </c>
      <c r="C145" s="117">
        <f t="shared" si="6"/>
        <v>36021019</v>
      </c>
      <c r="D145" s="175"/>
      <c r="E145" s="207">
        <f>E143</f>
        <v>0.0408</v>
      </c>
      <c r="F145" s="117">
        <f>((C145+D145)*E145/360*B145)+((C144+D144)*E145/360*B144)</f>
        <v>391334.75380000006</v>
      </c>
      <c r="G145" s="185"/>
      <c r="H145" s="185"/>
      <c r="I145" s="186"/>
    </row>
    <row r="146" spans="1:9" ht="12.75">
      <c r="A146" s="115">
        <v>43644</v>
      </c>
      <c r="B146" s="122">
        <f t="shared" si="7"/>
        <v>89</v>
      </c>
      <c r="C146" s="117">
        <f t="shared" si="6"/>
        <v>33595019</v>
      </c>
      <c r="D146" s="175">
        <v>2426000</v>
      </c>
      <c r="E146" s="207"/>
      <c r="F146" s="59"/>
      <c r="G146" s="185"/>
      <c r="H146" s="185"/>
      <c r="I146" s="186"/>
    </row>
    <row r="147" spans="1:9" ht="12.75">
      <c r="A147" s="121">
        <v>43646</v>
      </c>
      <c r="B147" s="122">
        <f t="shared" si="7"/>
        <v>2</v>
      </c>
      <c r="C147" s="59">
        <f t="shared" si="6"/>
        <v>33595019</v>
      </c>
      <c r="D147" s="175"/>
      <c r="E147" s="126">
        <f>E145</f>
        <v>0.0408</v>
      </c>
      <c r="F147" s="59">
        <f>((C147+D147)*E147/360*B147)+((C146+D146)*E147/360*B146)</f>
        <v>370946.88262</v>
      </c>
      <c r="G147" s="124"/>
      <c r="H147" s="124"/>
      <c r="I147" s="125"/>
    </row>
    <row r="148" spans="1:9" ht="12.75">
      <c r="A148" s="121">
        <v>43736</v>
      </c>
      <c r="B148" s="122">
        <f t="shared" si="7"/>
        <v>90</v>
      </c>
      <c r="C148" s="59">
        <f>C147-D148</f>
        <v>31169019</v>
      </c>
      <c r="D148" s="59">
        <v>2426000</v>
      </c>
      <c r="E148" s="126"/>
      <c r="F148" s="59"/>
      <c r="G148" s="124"/>
      <c r="H148" s="124"/>
      <c r="I148" s="125"/>
    </row>
    <row r="149" spans="1:9" ht="12.75">
      <c r="A149" s="121">
        <v>43738</v>
      </c>
      <c r="B149" s="122">
        <f t="shared" si="7"/>
        <v>2</v>
      </c>
      <c r="C149" s="59">
        <f aca="true" t="shared" si="8" ref="C149:C162">C148-D149</f>
        <v>31169019</v>
      </c>
      <c r="D149" s="191"/>
      <c r="E149" s="213">
        <f>E147</f>
        <v>0.0408</v>
      </c>
      <c r="F149" s="59">
        <f>((C149+D149)*E149/360*B149)+((C148+D148)*E149/360*B148)</f>
        <v>349734.17144</v>
      </c>
      <c r="G149" s="192"/>
      <c r="H149" s="192"/>
      <c r="I149" s="193"/>
    </row>
    <row r="150" spans="1:9" ht="12.75">
      <c r="A150" s="115">
        <v>43827</v>
      </c>
      <c r="B150" s="122">
        <f t="shared" si="7"/>
        <v>89</v>
      </c>
      <c r="C150" s="117">
        <f t="shared" si="8"/>
        <v>28743019</v>
      </c>
      <c r="D150" s="175">
        <v>2426000</v>
      </c>
      <c r="E150" s="207"/>
      <c r="F150" s="59"/>
      <c r="G150" s="185"/>
      <c r="H150" s="185"/>
      <c r="I150" s="186"/>
    </row>
    <row r="151" spans="1:9" ht="12.75">
      <c r="A151" s="179">
        <v>43830</v>
      </c>
      <c r="B151" s="129">
        <f t="shared" si="7"/>
        <v>3</v>
      </c>
      <c r="C151" s="212">
        <f t="shared" si="8"/>
        <v>28743019</v>
      </c>
      <c r="D151" s="180"/>
      <c r="E151" s="209">
        <f>E149</f>
        <v>0.0408</v>
      </c>
      <c r="F151" s="130">
        <f>((C151+D151)*E151/360*B151)+((C150+D150)*E151/360*B150)</f>
        <v>324164.13144</v>
      </c>
      <c r="G151" s="187">
        <f>SUM(F144:F151)</f>
        <v>1436179.9393000002</v>
      </c>
      <c r="H151" s="187">
        <f>SUM(D144:D151)</f>
        <v>9704000</v>
      </c>
      <c r="I151" s="188">
        <f>SUM(G151:H151)</f>
        <v>11140179.9393</v>
      </c>
    </row>
    <row r="152" spans="1:9" ht="12.75">
      <c r="A152" s="134">
        <v>43918</v>
      </c>
      <c r="B152" s="116">
        <f t="shared" si="7"/>
        <v>88</v>
      </c>
      <c r="C152" s="175">
        <f t="shared" si="8"/>
        <v>26317019</v>
      </c>
      <c r="D152" s="175">
        <v>2426000</v>
      </c>
      <c r="E152" s="207"/>
      <c r="F152" s="117"/>
      <c r="G152" s="177"/>
      <c r="H152" s="177"/>
      <c r="I152" s="178"/>
    </row>
    <row r="153" spans="1:9" ht="12.75">
      <c r="A153" s="115">
        <v>43921</v>
      </c>
      <c r="B153" s="122">
        <f t="shared" si="7"/>
        <v>3</v>
      </c>
      <c r="C153" s="175">
        <f t="shared" si="8"/>
        <v>26317019</v>
      </c>
      <c r="D153" s="175"/>
      <c r="E153" s="207">
        <f>E151</f>
        <v>0.0408</v>
      </c>
      <c r="F153" s="117">
        <f>((C153+D153)*E153/360*B153)+((C152+D152)*E153/360*B152)</f>
        <v>295611.49595333333</v>
      </c>
      <c r="G153" s="185"/>
      <c r="H153" s="185"/>
      <c r="I153" s="186"/>
    </row>
    <row r="154" spans="1:9" ht="12.75">
      <c r="A154" s="121">
        <v>44010</v>
      </c>
      <c r="B154" s="122">
        <f t="shared" si="7"/>
        <v>89</v>
      </c>
      <c r="C154" s="59">
        <f t="shared" si="8"/>
        <v>23891019</v>
      </c>
      <c r="D154" s="175">
        <v>2426000</v>
      </c>
      <c r="E154" s="126"/>
      <c r="F154" s="59"/>
      <c r="G154" s="124"/>
      <c r="H154" s="124"/>
      <c r="I154" s="125"/>
    </row>
    <row r="155" spans="1:9" ht="12.75">
      <c r="A155" s="121">
        <v>44012</v>
      </c>
      <c r="B155" s="122">
        <f t="shared" si="7"/>
        <v>2</v>
      </c>
      <c r="C155" s="59">
        <f t="shared" si="8"/>
        <v>23891019</v>
      </c>
      <c r="D155" s="175"/>
      <c r="E155" s="126">
        <f>E153</f>
        <v>0.0408</v>
      </c>
      <c r="F155" s="117">
        <f>((C155+D155)*E155/360*B155)+((C154+D154)*E155/360*B154)</f>
        <v>270866.2959533334</v>
      </c>
      <c r="G155" s="124"/>
      <c r="H155" s="124"/>
      <c r="I155" s="125"/>
    </row>
    <row r="156" spans="1:9" ht="12.75">
      <c r="A156" s="121">
        <v>44102</v>
      </c>
      <c r="B156" s="122">
        <f t="shared" si="7"/>
        <v>90</v>
      </c>
      <c r="C156" s="191">
        <f t="shared" si="8"/>
        <v>21465019</v>
      </c>
      <c r="D156" s="175">
        <v>2426000</v>
      </c>
      <c r="E156" s="213"/>
      <c r="F156" s="59"/>
      <c r="G156" s="192"/>
      <c r="H156" s="192"/>
      <c r="I156" s="193"/>
    </row>
    <row r="157" spans="1:9" ht="12.75">
      <c r="A157" s="115">
        <v>44104</v>
      </c>
      <c r="B157" s="122">
        <f t="shared" si="7"/>
        <v>2</v>
      </c>
      <c r="C157" s="175">
        <f t="shared" si="8"/>
        <v>21465019</v>
      </c>
      <c r="D157" s="175"/>
      <c r="E157" s="207">
        <f>E155</f>
        <v>0.0408</v>
      </c>
      <c r="F157" s="117">
        <f>((C157+D157)*E157/360*B157)+((C156+D156)*E157/360*B156)</f>
        <v>248553.79810666668</v>
      </c>
      <c r="G157" s="185"/>
      <c r="H157" s="185"/>
      <c r="I157" s="186"/>
    </row>
    <row r="158" spans="1:9" ht="12.75">
      <c r="A158" s="115">
        <v>44193</v>
      </c>
      <c r="B158" s="122">
        <f t="shared" si="7"/>
        <v>89</v>
      </c>
      <c r="C158" s="175">
        <f t="shared" si="8"/>
        <v>19039019</v>
      </c>
      <c r="D158" s="175">
        <v>2426000</v>
      </c>
      <c r="E158" s="207"/>
      <c r="F158" s="59"/>
      <c r="G158" s="185"/>
      <c r="H158" s="185"/>
      <c r="I158" s="186"/>
    </row>
    <row r="159" spans="1:9" ht="12.75">
      <c r="A159" s="179">
        <v>44196</v>
      </c>
      <c r="B159" s="139">
        <f t="shared" si="7"/>
        <v>3</v>
      </c>
      <c r="C159" s="208">
        <f t="shared" si="8"/>
        <v>19039019</v>
      </c>
      <c r="D159" s="180"/>
      <c r="E159" s="209">
        <f>E157</f>
        <v>0.0408</v>
      </c>
      <c r="F159" s="117">
        <f>((C159+D159)*E159/360*B159)+((C158+D158)*E159/360*B158)</f>
        <v>222983.7581066667</v>
      </c>
      <c r="G159" s="187">
        <f>SUM(F152:F159)</f>
        <v>1038015.3481200001</v>
      </c>
      <c r="H159" s="187">
        <f>SUM(D152:D159)</f>
        <v>9704000</v>
      </c>
      <c r="I159" s="188">
        <f>SUM(G159:H159)</f>
        <v>10742015.34812</v>
      </c>
    </row>
    <row r="160" spans="1:9" ht="12.75">
      <c r="A160" s="134">
        <v>44283</v>
      </c>
      <c r="B160" s="135">
        <f t="shared" si="7"/>
        <v>87</v>
      </c>
      <c r="C160" s="60">
        <f t="shared" si="8"/>
        <v>16613019</v>
      </c>
      <c r="D160" s="175">
        <v>2426000</v>
      </c>
      <c r="E160" s="207"/>
      <c r="F160" s="60"/>
      <c r="G160" s="177"/>
      <c r="H160" s="177"/>
      <c r="I160" s="178"/>
    </row>
    <row r="161" spans="1:9" ht="12.75">
      <c r="A161" s="115">
        <v>44286</v>
      </c>
      <c r="B161" s="122">
        <f t="shared" si="7"/>
        <v>3</v>
      </c>
      <c r="C161" s="117">
        <f t="shared" si="8"/>
        <v>16613019</v>
      </c>
      <c r="D161" s="175"/>
      <c r="E161" s="207">
        <f>E159</f>
        <v>0.0408</v>
      </c>
      <c r="F161" s="117">
        <f>((C161+D161)*E161/360*B161)+((C160+D160)*E161/360*B160)</f>
        <v>193373.1538</v>
      </c>
      <c r="G161" s="185"/>
      <c r="H161" s="185"/>
      <c r="I161" s="186"/>
    </row>
    <row r="162" spans="1:9" ht="12.75">
      <c r="A162" s="115">
        <v>44375</v>
      </c>
      <c r="B162" s="122">
        <f t="shared" si="7"/>
        <v>89</v>
      </c>
      <c r="C162" s="117">
        <f t="shared" si="8"/>
        <v>14187019</v>
      </c>
      <c r="D162" s="175">
        <v>2426000</v>
      </c>
      <c r="E162" s="207"/>
      <c r="F162" s="59"/>
      <c r="G162" s="185"/>
      <c r="H162" s="185"/>
      <c r="I162" s="186"/>
    </row>
    <row r="163" spans="1:9" ht="12.75">
      <c r="A163" s="115">
        <v>44377</v>
      </c>
      <c r="B163" s="122">
        <f t="shared" si="7"/>
        <v>2</v>
      </c>
      <c r="C163" s="117">
        <f>C162-D163</f>
        <v>14187019</v>
      </c>
      <c r="D163" s="175"/>
      <c r="E163" s="207">
        <f>E161</f>
        <v>0.0408</v>
      </c>
      <c r="F163" s="117">
        <f>((C163+D163)*E163/360*B163)+((C162+D162)*E163/360*B162)</f>
        <v>170785.70928666668</v>
      </c>
      <c r="G163" s="185"/>
      <c r="H163" s="185"/>
      <c r="I163" s="186"/>
    </row>
    <row r="164" spans="1:9" ht="12.75">
      <c r="A164" s="115">
        <v>44467</v>
      </c>
      <c r="B164" s="122">
        <f t="shared" si="7"/>
        <v>90</v>
      </c>
      <c r="C164" s="117">
        <f aca="true" t="shared" si="9" ref="C164:C172">C163-D164</f>
        <v>11761019</v>
      </c>
      <c r="D164" s="175">
        <v>2426000</v>
      </c>
      <c r="E164" s="207"/>
      <c r="F164" s="59"/>
      <c r="G164" s="185"/>
      <c r="H164" s="185"/>
      <c r="I164" s="186"/>
    </row>
    <row r="165" spans="1:9" ht="12.75">
      <c r="A165" s="115">
        <v>44469</v>
      </c>
      <c r="B165" s="122">
        <f t="shared" si="7"/>
        <v>2</v>
      </c>
      <c r="C165" s="117">
        <f t="shared" si="9"/>
        <v>11761019</v>
      </c>
      <c r="D165" s="175"/>
      <c r="E165" s="207">
        <f>E163</f>
        <v>0.0408</v>
      </c>
      <c r="F165" s="117">
        <f>((C165+D165)*E165/360*B165)+((C164+D164)*E165/360*B164)</f>
        <v>147373.42477333333</v>
      </c>
      <c r="G165" s="185"/>
      <c r="H165" s="185"/>
      <c r="I165" s="186"/>
    </row>
    <row r="166" spans="1:9" ht="12.75">
      <c r="A166" s="115">
        <v>44558</v>
      </c>
      <c r="B166" s="122">
        <f t="shared" si="7"/>
        <v>89</v>
      </c>
      <c r="C166" s="117">
        <f t="shared" si="9"/>
        <v>9335019</v>
      </c>
      <c r="D166" s="175">
        <v>2426000</v>
      </c>
      <c r="E166" s="207"/>
      <c r="F166" s="59"/>
      <c r="G166" s="185"/>
      <c r="H166" s="185"/>
      <c r="I166" s="186"/>
    </row>
    <row r="167" spans="1:9" ht="12.75">
      <c r="A167" s="128">
        <v>44561</v>
      </c>
      <c r="B167" s="129">
        <f t="shared" si="7"/>
        <v>3</v>
      </c>
      <c r="C167" s="130">
        <f t="shared" si="9"/>
        <v>9335019</v>
      </c>
      <c r="D167" s="181"/>
      <c r="E167" s="214">
        <f>E165</f>
        <v>0.0408</v>
      </c>
      <c r="F167" s="117">
        <f>((C167+D167)*E167/360*B167)+((C166+D166)*E167/360*B166)</f>
        <v>121803.38477333334</v>
      </c>
      <c r="G167" s="182">
        <f>SUM(F160:F167)</f>
        <v>633335.6726333334</v>
      </c>
      <c r="H167" s="182">
        <f>SUM(D160:D167)</f>
        <v>9704000</v>
      </c>
      <c r="I167" s="183">
        <f>SUM(G167:H167)</f>
        <v>10337335.672633333</v>
      </c>
    </row>
    <row r="168" spans="1:9" ht="12.75">
      <c r="A168" s="134">
        <v>44648</v>
      </c>
      <c r="B168" s="135">
        <f t="shared" si="7"/>
        <v>87</v>
      </c>
      <c r="C168" s="176">
        <f t="shared" si="9"/>
        <v>6909019</v>
      </c>
      <c r="D168" s="175">
        <v>2426000</v>
      </c>
      <c r="E168" s="211"/>
      <c r="F168" s="60"/>
      <c r="G168" s="177"/>
      <c r="H168" s="177"/>
      <c r="I168" s="178"/>
    </row>
    <row r="169" spans="1:9" ht="12.75">
      <c r="A169" s="121">
        <v>44651</v>
      </c>
      <c r="B169" s="122">
        <f t="shared" si="7"/>
        <v>3</v>
      </c>
      <c r="C169" s="191">
        <f t="shared" si="9"/>
        <v>6909019</v>
      </c>
      <c r="D169" s="175"/>
      <c r="E169" s="213">
        <f>E167</f>
        <v>0.0408</v>
      </c>
      <c r="F169" s="117">
        <f>((C169+D169)*E169/360*B169)+((C168+D168)*E169/360*B168)</f>
        <v>94392.35380000001</v>
      </c>
      <c r="G169" s="192"/>
      <c r="H169" s="192"/>
      <c r="I169" s="193"/>
    </row>
    <row r="170" spans="1:9" ht="12.75">
      <c r="A170" s="121">
        <v>44740</v>
      </c>
      <c r="B170" s="122">
        <f t="shared" si="7"/>
        <v>89</v>
      </c>
      <c r="C170" s="191">
        <f t="shared" si="9"/>
        <v>4483019</v>
      </c>
      <c r="D170" s="175">
        <v>2426000</v>
      </c>
      <c r="E170" s="213"/>
      <c r="F170" s="59"/>
      <c r="G170" s="192"/>
      <c r="H170" s="192"/>
      <c r="I170" s="193"/>
    </row>
    <row r="171" spans="1:9" ht="12.75">
      <c r="A171" s="115">
        <v>44742</v>
      </c>
      <c r="B171" s="122">
        <f t="shared" si="7"/>
        <v>2</v>
      </c>
      <c r="C171" s="175">
        <f t="shared" si="9"/>
        <v>4483019</v>
      </c>
      <c r="D171" s="175"/>
      <c r="E171" s="207">
        <f>E169</f>
        <v>0.0408</v>
      </c>
      <c r="F171" s="117">
        <f>((C171+D171)*E171/360*B171)+((C170+D170)*E171/360*B170)</f>
        <v>70705.12262000001</v>
      </c>
      <c r="G171" s="185"/>
      <c r="H171" s="185"/>
      <c r="I171" s="186"/>
    </row>
    <row r="172" spans="1:9" ht="12.75">
      <c r="A172" s="115">
        <v>44832</v>
      </c>
      <c r="B172" s="122">
        <f t="shared" si="7"/>
        <v>90</v>
      </c>
      <c r="C172" s="175">
        <f t="shared" si="9"/>
        <v>2057019</v>
      </c>
      <c r="D172" s="175">
        <v>2426000</v>
      </c>
      <c r="E172" s="126"/>
      <c r="F172" s="122"/>
      <c r="G172" s="122"/>
      <c r="H172" s="122"/>
      <c r="I172" s="276"/>
    </row>
    <row r="173" spans="1:9" ht="12.75">
      <c r="A173" s="115">
        <v>44834</v>
      </c>
      <c r="B173" s="122">
        <f t="shared" si="7"/>
        <v>2</v>
      </c>
      <c r="C173" s="175">
        <f>C172-D173</f>
        <v>2057019</v>
      </c>
      <c r="D173" s="175"/>
      <c r="E173" s="126">
        <f>E171</f>
        <v>0.0408</v>
      </c>
      <c r="F173" s="117">
        <f>((C173+D173)*E173/360*B173)+((C172+D172)*E173/360*B172)</f>
        <v>46193.05144000001</v>
      </c>
      <c r="G173" s="122"/>
      <c r="H173" s="122"/>
      <c r="I173" s="276"/>
    </row>
    <row r="174" spans="1:9" ht="13.5" thickBot="1">
      <c r="A174" s="115">
        <v>44923</v>
      </c>
      <c r="B174" s="122">
        <f t="shared" si="7"/>
        <v>89</v>
      </c>
      <c r="C174" s="175">
        <f>C173-D174</f>
        <v>0</v>
      </c>
      <c r="D174" s="175">
        <f>2426000-224981-144000</f>
        <v>2057019</v>
      </c>
      <c r="E174" s="277">
        <f>E173</f>
        <v>0.0408</v>
      </c>
      <c r="F174" s="117">
        <f>((C174+D174)*E174/360*B174)</f>
        <v>20748.46498</v>
      </c>
      <c r="G174" s="124">
        <f>SUM(F168:F174)</f>
        <v>232038.99284000002</v>
      </c>
      <c r="H174" s="124">
        <f>SUM(D168:D174)</f>
        <v>9335019</v>
      </c>
      <c r="I174" s="125">
        <f>SUM(G174:H174)</f>
        <v>9567057.99284</v>
      </c>
    </row>
    <row r="175" spans="1:9" ht="13.5" thickTop="1">
      <c r="A175" s="194" t="s">
        <v>14</v>
      </c>
      <c r="B175" s="195"/>
      <c r="C175" s="196"/>
      <c r="D175" s="197">
        <f>SUM(D8:D174)</f>
        <v>187075039</v>
      </c>
      <c r="E175" s="215"/>
      <c r="F175" s="197">
        <f>SUM(F8:F174)</f>
        <v>80916253.54199336</v>
      </c>
      <c r="G175" s="197">
        <f>SUM(G8:G174)</f>
        <v>80916253.54199335</v>
      </c>
      <c r="H175" s="197">
        <f>SUM(H8:H174)</f>
        <v>187075039</v>
      </c>
      <c r="I175" s="216">
        <f>SUM(I8:I174)</f>
        <v>267991292.54199332</v>
      </c>
    </row>
    <row r="177" spans="1:9" ht="12.75">
      <c r="A177" s="199" t="s">
        <v>122</v>
      </c>
      <c r="I177" s="155"/>
    </row>
    <row r="178" ht="12.75">
      <c r="I178" s="155"/>
    </row>
    <row r="179" spans="1:6" ht="12.75">
      <c r="A179" s="89" t="s">
        <v>154</v>
      </c>
      <c r="F179" s="341">
        <v>12499470</v>
      </c>
    </row>
    <row r="180" spans="1:6" ht="12.75">
      <c r="A180" s="89" t="s">
        <v>155</v>
      </c>
      <c r="F180" s="341">
        <v>10226303</v>
      </c>
    </row>
    <row r="181" spans="1:6" ht="12.75">
      <c r="A181" s="89" t="s">
        <v>156</v>
      </c>
      <c r="F181" s="341">
        <v>56942030</v>
      </c>
    </row>
    <row r="182" spans="1:6" ht="12.75">
      <c r="A182" s="89" t="s">
        <v>157</v>
      </c>
      <c r="F182" s="341">
        <v>22256001</v>
      </c>
    </row>
    <row r="183" spans="1:6" ht="12.75">
      <c r="A183" s="89" t="s">
        <v>158</v>
      </c>
      <c r="F183" s="341">
        <v>22955624</v>
      </c>
    </row>
    <row r="184" spans="1:6" ht="12.75">
      <c r="A184" s="89" t="s">
        <v>159</v>
      </c>
      <c r="F184" s="341">
        <v>22221280</v>
      </c>
    </row>
    <row r="185" spans="1:6" ht="13.5" thickBot="1">
      <c r="A185" s="339" t="s">
        <v>160</v>
      </c>
      <c r="B185" s="339"/>
      <c r="C185" s="339"/>
      <c r="D185" s="339"/>
      <c r="E185" s="340"/>
      <c r="F185" s="342">
        <v>39974331</v>
      </c>
    </row>
    <row r="186" spans="1:6" ht="13.5" thickTop="1">
      <c r="A186" s="199" t="s">
        <v>161</v>
      </c>
      <c r="B186" s="199"/>
      <c r="C186" s="199"/>
      <c r="D186" s="199"/>
      <c r="E186" s="201"/>
      <c r="F186" s="343">
        <f>SUM(F179:F185)</f>
        <v>187075039</v>
      </c>
    </row>
    <row r="188" spans="4:6" ht="12.75">
      <c r="D188" s="346" t="s">
        <v>167</v>
      </c>
      <c r="F188" s="341">
        <f>SUM(F179)</f>
        <v>12499470</v>
      </c>
    </row>
    <row r="189" spans="4:6" ht="12.75">
      <c r="D189" s="346" t="s">
        <v>168</v>
      </c>
      <c r="F189" s="341">
        <f>SUM(F180:F185)</f>
        <v>174575569</v>
      </c>
    </row>
  </sheetData>
  <printOptions/>
  <pageMargins left="0.7874015748031497" right="0.5905511811023623" top="0.7874015748031497" bottom="0.5905511811023623" header="0.1968503937007874" footer="0.1968503937007874"/>
  <pageSetup horizontalDpi="300" verticalDpi="300" orientation="portrait" paperSize="9" r:id="rId1"/>
  <headerFooter alignWithMargins="0">
    <oddHeader xml:space="preserve">&amp;C&amp;"Times New Roman CE,Félkövér"&amp;12Adósságszolgálat számítása az OTP tájékoztatása alapján&amp;"Times New Roman CE,Félkövér dőlt"
Kecelhegyen bérlakás építésre 2002. december-2003. októberben felvett hitel  </oddHeader>
    <oddFooter>&amp;L&amp;9Nyomtatás dátuma: &amp;D
C:\Andi\adósságszolgálat\&amp;F\&amp;A&amp;R&amp;P/&amp;N</oddFooter>
  </headerFooter>
  <rowBreaks count="3" manualBreakCount="3">
    <brk id="55" max="255" man="1"/>
    <brk id="103" max="255" man="1"/>
    <brk id="15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S63"/>
  <sheetViews>
    <sheetView tabSelected="1" workbookViewId="0" topLeftCell="A1">
      <pane xSplit="3" ySplit="3" topLeftCell="F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46.125" style="5" customWidth="1"/>
    <col min="2" max="2" width="12.00390625" style="5" hidden="1" customWidth="1"/>
    <col min="3" max="3" width="11.875" style="5" hidden="1" customWidth="1"/>
    <col min="4" max="4" width="10.875" style="20" hidden="1" customWidth="1"/>
    <col min="5" max="5" width="9.875" style="0" hidden="1" customWidth="1"/>
    <col min="6" max="6" width="10.875" style="23" customWidth="1"/>
    <col min="7" max="7" width="10.00390625" style="5" customWidth="1"/>
    <col min="8" max="8" width="10.875" style="23" customWidth="1"/>
    <col min="9" max="9" width="11.00390625" style="5" customWidth="1"/>
    <col min="10" max="10" width="11.375" style="23" customWidth="1"/>
    <col min="11" max="11" width="9.50390625" style="5" customWidth="1"/>
    <col min="12" max="12" width="11.50390625" style="23" customWidth="1"/>
    <col min="13" max="13" width="9.50390625" style="5" customWidth="1"/>
    <col min="14" max="14" width="11.125" style="23" customWidth="1"/>
    <col min="15" max="15" width="10.00390625" style="5" customWidth="1"/>
    <col min="16" max="16" width="11.375" style="23" customWidth="1"/>
    <col min="17" max="17" width="11.625" style="5" customWidth="1"/>
    <col min="18" max="18" width="11.625" style="23" customWidth="1"/>
    <col min="19" max="19" width="11.375" style="5" customWidth="1"/>
    <col min="20" max="20" width="10.375" style="23" customWidth="1"/>
    <col min="21" max="21" width="11.50390625" style="5" customWidth="1"/>
    <col min="22" max="22" width="10.125" style="23" customWidth="1"/>
    <col min="23" max="23" width="9.50390625" style="5" customWidth="1"/>
    <col min="24" max="24" width="11.125" style="5" customWidth="1"/>
    <col min="25" max="25" width="9.875" style="5" customWidth="1"/>
    <col min="26" max="26" width="10.625" style="5" customWidth="1"/>
    <col min="27" max="27" width="11.00390625" style="5" customWidth="1"/>
    <col min="28" max="28" width="12.625" style="5" customWidth="1"/>
    <col min="29" max="29" width="10.375" style="5" customWidth="1"/>
    <col min="30" max="30" width="11.875" style="5" customWidth="1"/>
    <col min="31" max="31" width="11.50390625" style="5" customWidth="1"/>
    <col min="32" max="32" width="11.125" style="5" customWidth="1"/>
    <col min="33" max="33" width="10.375" style="5" customWidth="1"/>
    <col min="34" max="34" width="10.875" style="5" customWidth="1"/>
    <col min="35" max="35" width="10.375" style="5" customWidth="1"/>
    <col min="36" max="36" width="10.875" style="5" customWidth="1"/>
    <col min="37" max="37" width="10.375" style="5" customWidth="1"/>
    <col min="38" max="38" width="11.00390625" style="5" customWidth="1"/>
    <col min="39" max="39" width="10.375" style="5" customWidth="1"/>
    <col min="40" max="40" width="11.125" style="5" customWidth="1"/>
    <col min="41" max="41" width="10.375" style="5" customWidth="1"/>
    <col min="42" max="42" width="11.00390625" style="5" customWidth="1"/>
    <col min="43" max="43" width="10.375" style="5" customWidth="1"/>
    <col min="44" max="16384" width="9.375" style="5" customWidth="1"/>
  </cols>
  <sheetData>
    <row r="1" spans="1:43" ht="12.75">
      <c r="A1" s="4" t="s">
        <v>22</v>
      </c>
      <c r="B1" s="359" t="s">
        <v>80</v>
      </c>
      <c r="C1" s="360"/>
      <c r="D1" s="359" t="s">
        <v>23</v>
      </c>
      <c r="E1" s="360"/>
      <c r="F1" s="359" t="s">
        <v>24</v>
      </c>
      <c r="G1" s="360"/>
      <c r="H1" s="359" t="s">
        <v>25</v>
      </c>
      <c r="I1" s="360"/>
      <c r="J1" s="359" t="s">
        <v>26</v>
      </c>
      <c r="K1" s="360"/>
      <c r="L1" s="357" t="s">
        <v>27</v>
      </c>
      <c r="M1" s="358"/>
      <c r="N1" s="361" t="s">
        <v>28</v>
      </c>
      <c r="O1" s="361"/>
      <c r="P1" s="362" t="s">
        <v>29</v>
      </c>
      <c r="Q1" s="362"/>
      <c r="R1" s="359" t="s">
        <v>30</v>
      </c>
      <c r="S1" s="360"/>
      <c r="T1" s="357" t="s">
        <v>31</v>
      </c>
      <c r="U1" s="358"/>
      <c r="V1" s="357" t="s">
        <v>51</v>
      </c>
      <c r="W1" s="358"/>
      <c r="X1" s="357" t="s">
        <v>52</v>
      </c>
      <c r="Y1" s="358"/>
      <c r="Z1" s="357" t="s">
        <v>53</v>
      </c>
      <c r="AA1" s="358"/>
      <c r="AB1" s="357" t="s">
        <v>54</v>
      </c>
      <c r="AC1" s="358"/>
      <c r="AD1" s="357" t="s">
        <v>55</v>
      </c>
      <c r="AE1" s="358"/>
      <c r="AF1" s="357" t="s">
        <v>56</v>
      </c>
      <c r="AG1" s="358"/>
      <c r="AH1" s="357" t="s">
        <v>57</v>
      </c>
      <c r="AI1" s="358"/>
      <c r="AJ1" s="357" t="s">
        <v>58</v>
      </c>
      <c r="AK1" s="358"/>
      <c r="AL1" s="357" t="s">
        <v>59</v>
      </c>
      <c r="AM1" s="358"/>
      <c r="AN1" s="357" t="s">
        <v>60</v>
      </c>
      <c r="AO1" s="358"/>
      <c r="AP1" s="357" t="s">
        <v>61</v>
      </c>
      <c r="AQ1" s="358"/>
    </row>
    <row r="2" spans="1:43" ht="12.75">
      <c r="A2" s="6"/>
      <c r="B2" s="7" t="s">
        <v>32</v>
      </c>
      <c r="C2" s="26" t="s">
        <v>33</v>
      </c>
      <c r="D2" s="7" t="s">
        <v>32</v>
      </c>
      <c r="E2" s="26" t="s">
        <v>33</v>
      </c>
      <c r="F2" s="7" t="s">
        <v>32</v>
      </c>
      <c r="G2" s="26" t="s">
        <v>33</v>
      </c>
      <c r="H2" s="7" t="s">
        <v>32</v>
      </c>
      <c r="I2" s="26" t="s">
        <v>33</v>
      </c>
      <c r="J2" s="7" t="s">
        <v>32</v>
      </c>
      <c r="K2" s="26" t="s">
        <v>33</v>
      </c>
      <c r="L2" s="7" t="s">
        <v>32</v>
      </c>
      <c r="M2" s="26" t="s">
        <v>33</v>
      </c>
      <c r="N2" s="68" t="s">
        <v>32</v>
      </c>
      <c r="O2" s="26" t="s">
        <v>33</v>
      </c>
      <c r="P2" s="7" t="s">
        <v>32</v>
      </c>
      <c r="Q2" s="73" t="s">
        <v>33</v>
      </c>
      <c r="R2" s="46" t="s">
        <v>32</v>
      </c>
      <c r="S2" s="26" t="s">
        <v>33</v>
      </c>
      <c r="T2" s="7" t="s">
        <v>32</v>
      </c>
      <c r="U2" s="26" t="s">
        <v>33</v>
      </c>
      <c r="V2" s="46" t="s">
        <v>32</v>
      </c>
      <c r="W2" s="26" t="s">
        <v>33</v>
      </c>
      <c r="X2" s="45" t="s">
        <v>32</v>
      </c>
      <c r="Y2" s="47" t="s">
        <v>33</v>
      </c>
      <c r="Z2" s="45" t="s">
        <v>32</v>
      </c>
      <c r="AA2" s="47" t="s">
        <v>33</v>
      </c>
      <c r="AB2" s="45" t="s">
        <v>32</v>
      </c>
      <c r="AC2" s="47" t="s">
        <v>33</v>
      </c>
      <c r="AD2" s="45" t="s">
        <v>32</v>
      </c>
      <c r="AE2" s="47" t="s">
        <v>33</v>
      </c>
      <c r="AF2" s="45" t="s">
        <v>32</v>
      </c>
      <c r="AG2" s="47" t="s">
        <v>33</v>
      </c>
      <c r="AH2" s="45" t="s">
        <v>32</v>
      </c>
      <c r="AI2" s="47" t="s">
        <v>33</v>
      </c>
      <c r="AJ2" s="45" t="s">
        <v>32</v>
      </c>
      <c r="AK2" s="47" t="s">
        <v>33</v>
      </c>
      <c r="AL2" s="45" t="s">
        <v>32</v>
      </c>
      <c r="AM2" s="47" t="s">
        <v>33</v>
      </c>
      <c r="AN2" s="45" t="s">
        <v>32</v>
      </c>
      <c r="AO2" s="47" t="s">
        <v>33</v>
      </c>
      <c r="AP2" s="45" t="s">
        <v>32</v>
      </c>
      <c r="AQ2" s="47" t="s">
        <v>33</v>
      </c>
    </row>
    <row r="3" spans="1:43" ht="12.75">
      <c r="A3" s="32"/>
      <c r="B3" s="8" t="s">
        <v>34</v>
      </c>
      <c r="C3" s="33"/>
      <c r="D3" s="8" t="s">
        <v>34</v>
      </c>
      <c r="E3" s="33"/>
      <c r="F3" s="8" t="s">
        <v>34</v>
      </c>
      <c r="G3" s="33"/>
      <c r="H3" s="8" t="s">
        <v>34</v>
      </c>
      <c r="I3" s="33"/>
      <c r="J3" s="8" t="s">
        <v>34</v>
      </c>
      <c r="K3" s="33"/>
      <c r="L3" s="1" t="s">
        <v>34</v>
      </c>
      <c r="M3" s="33"/>
      <c r="N3" s="69" t="s">
        <v>34</v>
      </c>
      <c r="O3" s="33"/>
      <c r="P3" s="8" t="s">
        <v>34</v>
      </c>
      <c r="Q3" s="74"/>
      <c r="R3" s="1" t="s">
        <v>34</v>
      </c>
      <c r="S3" s="33"/>
      <c r="T3" s="8" t="s">
        <v>34</v>
      </c>
      <c r="U3" s="33"/>
      <c r="V3" s="1" t="s">
        <v>34</v>
      </c>
      <c r="W3" s="33"/>
      <c r="X3" s="43" t="s">
        <v>34</v>
      </c>
      <c r="Y3" s="44"/>
      <c r="Z3" s="43" t="s">
        <v>34</v>
      </c>
      <c r="AA3" s="44"/>
      <c r="AB3" s="43" t="s">
        <v>34</v>
      </c>
      <c r="AC3" s="44"/>
      <c r="AD3" s="43" t="s">
        <v>34</v>
      </c>
      <c r="AE3" s="44"/>
      <c r="AF3" s="43" t="s">
        <v>34</v>
      </c>
      <c r="AG3" s="44"/>
      <c r="AH3" s="43" t="s">
        <v>34</v>
      </c>
      <c r="AI3" s="44"/>
      <c r="AJ3" s="43" t="s">
        <v>34</v>
      </c>
      <c r="AK3" s="44"/>
      <c r="AL3" s="43" t="s">
        <v>34</v>
      </c>
      <c r="AM3" s="44"/>
      <c r="AN3" s="43" t="s">
        <v>34</v>
      </c>
      <c r="AO3" s="44"/>
      <c r="AP3" s="43" t="s">
        <v>34</v>
      </c>
      <c r="AQ3" s="44"/>
    </row>
    <row r="4" spans="1:43" ht="12.75">
      <c r="A4" s="31" t="s">
        <v>35</v>
      </c>
      <c r="B4" s="61"/>
      <c r="C4" s="62"/>
      <c r="D4" s="42"/>
      <c r="E4" s="39"/>
      <c r="F4" s="42"/>
      <c r="G4" s="39"/>
      <c r="H4" s="42"/>
      <c r="I4" s="39"/>
      <c r="K4" s="29"/>
      <c r="M4" s="18"/>
      <c r="N4" s="35"/>
      <c r="O4" s="18"/>
      <c r="P4" s="9"/>
      <c r="Q4" s="10"/>
      <c r="S4" s="18"/>
      <c r="T4" s="35"/>
      <c r="U4" s="18"/>
      <c r="W4" s="18"/>
      <c r="X4" s="23"/>
      <c r="Y4" s="18"/>
      <c r="Z4" s="42"/>
      <c r="AA4" s="10"/>
      <c r="AB4" s="42"/>
      <c r="AC4" s="10"/>
      <c r="AD4" s="42"/>
      <c r="AE4" s="10"/>
      <c r="AF4" s="42"/>
      <c r="AG4" s="10"/>
      <c r="AH4" s="42"/>
      <c r="AI4" s="10"/>
      <c r="AJ4" s="42"/>
      <c r="AK4" s="10"/>
      <c r="AL4" s="42"/>
      <c r="AM4" s="10"/>
      <c r="AN4" s="42"/>
      <c r="AO4" s="10"/>
      <c r="AP4" s="42"/>
      <c r="AQ4" s="10"/>
    </row>
    <row r="5" spans="1:43" ht="12.75">
      <c r="A5" s="6" t="s">
        <v>82</v>
      </c>
      <c r="B5" s="9">
        <f>C5+D5</f>
        <v>120000</v>
      </c>
      <c r="C5" s="18">
        <v>40000</v>
      </c>
      <c r="D5" s="9">
        <f>SUM(E5,G5,I5,K5,M5,O5)</f>
        <v>80000</v>
      </c>
      <c r="E5" s="18">
        <v>12760</v>
      </c>
      <c r="F5" s="9">
        <f>D5-E5</f>
        <v>67240</v>
      </c>
      <c r="G5" s="18">
        <v>13120</v>
      </c>
      <c r="H5" s="13">
        <f>F5-G5</f>
        <v>54120</v>
      </c>
      <c r="I5" s="18">
        <v>13120</v>
      </c>
      <c r="J5" s="38">
        <f>H5-I5</f>
        <v>41000</v>
      </c>
      <c r="K5" s="18">
        <v>13120</v>
      </c>
      <c r="L5" s="38">
        <f>J5-K5</f>
        <v>27880</v>
      </c>
      <c r="M5" s="18">
        <v>13120</v>
      </c>
      <c r="N5" s="70">
        <f>L5-M5</f>
        <v>14760</v>
      </c>
      <c r="O5" s="28">
        <v>14760</v>
      </c>
      <c r="P5" s="14" t="s">
        <v>36</v>
      </c>
      <c r="Q5" s="15" t="s">
        <v>36</v>
      </c>
      <c r="R5" s="25" t="s">
        <v>36</v>
      </c>
      <c r="S5" s="30" t="s">
        <v>36</v>
      </c>
      <c r="T5" s="57" t="s">
        <v>36</v>
      </c>
      <c r="U5" s="30" t="s">
        <v>36</v>
      </c>
      <c r="V5" s="25" t="s">
        <v>36</v>
      </c>
      <c r="W5" s="30" t="s">
        <v>36</v>
      </c>
      <c r="X5" s="25" t="s">
        <v>36</v>
      </c>
      <c r="Y5" s="30" t="s">
        <v>36</v>
      </c>
      <c r="Z5" s="14" t="s">
        <v>36</v>
      </c>
      <c r="AA5" s="15" t="s">
        <v>36</v>
      </c>
      <c r="AB5" s="14" t="s">
        <v>36</v>
      </c>
      <c r="AC5" s="15" t="s">
        <v>36</v>
      </c>
      <c r="AD5" s="14" t="s">
        <v>36</v>
      </c>
      <c r="AE5" s="15" t="s">
        <v>36</v>
      </c>
      <c r="AF5" s="14" t="s">
        <v>36</v>
      </c>
      <c r="AG5" s="15" t="s">
        <v>36</v>
      </c>
      <c r="AH5" s="14" t="s">
        <v>36</v>
      </c>
      <c r="AI5" s="15" t="s">
        <v>36</v>
      </c>
      <c r="AJ5" s="14" t="s">
        <v>36</v>
      </c>
      <c r="AK5" s="15" t="s">
        <v>36</v>
      </c>
      <c r="AL5" s="14" t="s">
        <v>36</v>
      </c>
      <c r="AM5" s="15" t="s">
        <v>36</v>
      </c>
      <c r="AN5" s="14" t="s">
        <v>36</v>
      </c>
      <c r="AO5" s="15" t="s">
        <v>36</v>
      </c>
      <c r="AP5" s="14" t="s">
        <v>36</v>
      </c>
      <c r="AQ5" s="15" t="s">
        <v>36</v>
      </c>
    </row>
    <row r="6" spans="1:43" ht="12.75">
      <c r="A6" s="6" t="s">
        <v>83</v>
      </c>
      <c r="B6" s="9">
        <f>C6+D6</f>
        <v>136673</v>
      </c>
      <c r="C6" s="18">
        <v>39996</v>
      </c>
      <c r="D6" s="9">
        <f>SUM(E6,G6,I6,K6,M6,O6)</f>
        <v>96677</v>
      </c>
      <c r="E6" s="18">
        <v>15677</v>
      </c>
      <c r="F6" s="9">
        <f>D6-E6</f>
        <v>81000</v>
      </c>
      <c r="G6" s="18">
        <v>16200</v>
      </c>
      <c r="H6" s="13">
        <f aca="true" t="shared" si="0" ref="H6:H13">F6-G6</f>
        <v>64800</v>
      </c>
      <c r="I6" s="18">
        <v>16200</v>
      </c>
      <c r="J6" s="38">
        <f aca="true" t="shared" si="1" ref="J6:J16">H6-I6</f>
        <v>48600</v>
      </c>
      <c r="K6" s="18">
        <v>16200</v>
      </c>
      <c r="L6" s="38">
        <f aca="true" t="shared" si="2" ref="L6:L16">J6-K6</f>
        <v>32400</v>
      </c>
      <c r="M6" s="18">
        <v>16200</v>
      </c>
      <c r="N6" s="70">
        <f aca="true" t="shared" si="3" ref="N6:N16">L6-M6</f>
        <v>16200</v>
      </c>
      <c r="O6" s="28">
        <v>16200</v>
      </c>
      <c r="P6" s="14" t="s">
        <v>36</v>
      </c>
      <c r="Q6" s="15" t="s">
        <v>36</v>
      </c>
      <c r="R6" s="25" t="s">
        <v>36</v>
      </c>
      <c r="S6" s="30" t="s">
        <v>36</v>
      </c>
      <c r="T6" s="25" t="s">
        <v>36</v>
      </c>
      <c r="U6" s="30" t="s">
        <v>36</v>
      </c>
      <c r="V6" s="25" t="s">
        <v>36</v>
      </c>
      <c r="W6" s="30" t="s">
        <v>36</v>
      </c>
      <c r="X6" s="25" t="s">
        <v>36</v>
      </c>
      <c r="Y6" s="30" t="s">
        <v>36</v>
      </c>
      <c r="Z6" s="14" t="s">
        <v>36</v>
      </c>
      <c r="AA6" s="15" t="s">
        <v>36</v>
      </c>
      <c r="AB6" s="14" t="s">
        <v>36</v>
      </c>
      <c r="AC6" s="15" t="s">
        <v>36</v>
      </c>
      <c r="AD6" s="14" t="s">
        <v>36</v>
      </c>
      <c r="AE6" s="15" t="s">
        <v>36</v>
      </c>
      <c r="AF6" s="14" t="s">
        <v>36</v>
      </c>
      <c r="AG6" s="15" t="s">
        <v>36</v>
      </c>
      <c r="AH6" s="14" t="s">
        <v>36</v>
      </c>
      <c r="AI6" s="15" t="s">
        <v>36</v>
      </c>
      <c r="AJ6" s="14" t="s">
        <v>36</v>
      </c>
      <c r="AK6" s="15" t="s">
        <v>36</v>
      </c>
      <c r="AL6" s="14" t="s">
        <v>36</v>
      </c>
      <c r="AM6" s="15" t="s">
        <v>36</v>
      </c>
      <c r="AN6" s="14" t="s">
        <v>36</v>
      </c>
      <c r="AO6" s="15" t="s">
        <v>36</v>
      </c>
      <c r="AP6" s="14" t="s">
        <v>36</v>
      </c>
      <c r="AQ6" s="15" t="s">
        <v>36</v>
      </c>
    </row>
    <row r="7" spans="1:43" ht="12.75">
      <c r="A7" s="16" t="s">
        <v>84</v>
      </c>
      <c r="B7" s="9">
        <f>C7+D7</f>
        <v>166668</v>
      </c>
      <c r="C7" s="28">
        <v>66664</v>
      </c>
      <c r="D7" s="13">
        <f>SUM(E7,G7,I7,K7,M7)</f>
        <v>100004</v>
      </c>
      <c r="E7" s="18">
        <v>20004</v>
      </c>
      <c r="F7" s="9">
        <f>D7-E7</f>
        <v>80000</v>
      </c>
      <c r="G7" s="18">
        <v>20000</v>
      </c>
      <c r="H7" s="13">
        <f t="shared" si="0"/>
        <v>60000</v>
      </c>
      <c r="I7" s="18">
        <v>20000</v>
      </c>
      <c r="J7" s="38">
        <f t="shared" si="1"/>
        <v>40000</v>
      </c>
      <c r="K7" s="18">
        <v>20000</v>
      </c>
      <c r="L7" s="38">
        <f t="shared" si="2"/>
        <v>20000</v>
      </c>
      <c r="M7" s="28">
        <v>20000</v>
      </c>
      <c r="N7" s="57" t="s">
        <v>36</v>
      </c>
      <c r="O7" s="30" t="s">
        <v>36</v>
      </c>
      <c r="P7" s="14" t="s">
        <v>36</v>
      </c>
      <c r="Q7" s="15" t="s">
        <v>36</v>
      </c>
      <c r="R7" s="25" t="s">
        <v>36</v>
      </c>
      <c r="S7" s="30" t="s">
        <v>36</v>
      </c>
      <c r="T7" s="25" t="s">
        <v>36</v>
      </c>
      <c r="U7" s="30" t="s">
        <v>36</v>
      </c>
      <c r="V7" s="25" t="s">
        <v>36</v>
      </c>
      <c r="W7" s="30" t="s">
        <v>36</v>
      </c>
      <c r="X7" s="25" t="s">
        <v>36</v>
      </c>
      <c r="Y7" s="30" t="s">
        <v>36</v>
      </c>
      <c r="Z7" s="14" t="s">
        <v>36</v>
      </c>
      <c r="AA7" s="15" t="s">
        <v>36</v>
      </c>
      <c r="AB7" s="14" t="s">
        <v>36</v>
      </c>
      <c r="AC7" s="15" t="s">
        <v>36</v>
      </c>
      <c r="AD7" s="14" t="s">
        <v>36</v>
      </c>
      <c r="AE7" s="15" t="s">
        <v>36</v>
      </c>
      <c r="AF7" s="14" t="s">
        <v>36</v>
      </c>
      <c r="AG7" s="15" t="s">
        <v>36</v>
      </c>
      <c r="AH7" s="14" t="s">
        <v>36</v>
      </c>
      <c r="AI7" s="15" t="s">
        <v>36</v>
      </c>
      <c r="AJ7" s="14" t="s">
        <v>36</v>
      </c>
      <c r="AK7" s="15" t="s">
        <v>36</v>
      </c>
      <c r="AL7" s="14" t="s">
        <v>36</v>
      </c>
      <c r="AM7" s="15" t="s">
        <v>36</v>
      </c>
      <c r="AN7" s="14" t="s">
        <v>36</v>
      </c>
      <c r="AO7" s="15" t="s">
        <v>36</v>
      </c>
      <c r="AP7" s="14" t="s">
        <v>36</v>
      </c>
      <c r="AQ7" s="15" t="s">
        <v>36</v>
      </c>
    </row>
    <row r="8" spans="1:43" ht="12.75">
      <c r="A8" s="16" t="s">
        <v>85</v>
      </c>
      <c r="B8" s="9">
        <f>C8+D8</f>
        <v>237500</v>
      </c>
      <c r="C8" s="28">
        <v>50000</v>
      </c>
      <c r="D8" s="13">
        <f>SUM(E8,G8,I8,K8,M8,O8,Q8)</f>
        <v>187500</v>
      </c>
      <c r="E8" s="18">
        <v>26700</v>
      </c>
      <c r="F8" s="9">
        <f>D8-E8</f>
        <v>160800</v>
      </c>
      <c r="G8" s="18">
        <v>26800</v>
      </c>
      <c r="H8" s="13">
        <f t="shared" si="0"/>
        <v>134000</v>
      </c>
      <c r="I8" s="18">
        <v>26800</v>
      </c>
      <c r="J8" s="38">
        <f t="shared" si="1"/>
        <v>107200</v>
      </c>
      <c r="K8" s="18">
        <v>26800</v>
      </c>
      <c r="L8" s="38">
        <f t="shared" si="2"/>
        <v>80400</v>
      </c>
      <c r="M8" s="18">
        <v>26800</v>
      </c>
      <c r="N8" s="70">
        <f t="shared" si="3"/>
        <v>53600</v>
      </c>
      <c r="O8" s="18">
        <v>26800</v>
      </c>
      <c r="P8" s="13">
        <f aca="true" t="shared" si="4" ref="P8:P16">N8-O8</f>
        <v>26800</v>
      </c>
      <c r="Q8" s="10">
        <v>26800</v>
      </c>
      <c r="R8" s="25" t="s">
        <v>36</v>
      </c>
      <c r="S8" s="30" t="s">
        <v>36</v>
      </c>
      <c r="T8" s="25" t="s">
        <v>36</v>
      </c>
      <c r="U8" s="30" t="s">
        <v>36</v>
      </c>
      <c r="V8" s="25" t="s">
        <v>36</v>
      </c>
      <c r="W8" s="30" t="s">
        <v>36</v>
      </c>
      <c r="X8" s="25" t="s">
        <v>36</v>
      </c>
      <c r="Y8" s="30" t="s">
        <v>36</v>
      </c>
      <c r="Z8" s="14" t="s">
        <v>36</v>
      </c>
      <c r="AA8" s="15" t="s">
        <v>36</v>
      </c>
      <c r="AB8" s="14" t="s">
        <v>36</v>
      </c>
      <c r="AC8" s="15" t="s">
        <v>36</v>
      </c>
      <c r="AD8" s="14" t="s">
        <v>36</v>
      </c>
      <c r="AE8" s="15" t="s">
        <v>36</v>
      </c>
      <c r="AF8" s="14" t="s">
        <v>36</v>
      </c>
      <c r="AG8" s="15" t="s">
        <v>36</v>
      </c>
      <c r="AH8" s="14" t="s">
        <v>36</v>
      </c>
      <c r="AI8" s="15" t="s">
        <v>36</v>
      </c>
      <c r="AJ8" s="14" t="s">
        <v>36</v>
      </c>
      <c r="AK8" s="15" t="s">
        <v>36</v>
      </c>
      <c r="AL8" s="14" t="s">
        <v>36</v>
      </c>
      <c r="AM8" s="15" t="s">
        <v>36</v>
      </c>
      <c r="AN8" s="14" t="s">
        <v>36</v>
      </c>
      <c r="AO8" s="15" t="s">
        <v>36</v>
      </c>
      <c r="AP8" s="14" t="s">
        <v>36</v>
      </c>
      <c r="AQ8" s="15" t="s">
        <v>36</v>
      </c>
    </row>
    <row r="9" spans="1:43" ht="12.75">
      <c r="A9" s="16" t="s">
        <v>86</v>
      </c>
      <c r="B9" s="9">
        <v>143500</v>
      </c>
      <c r="C9" s="28">
        <v>17675</v>
      </c>
      <c r="D9" s="13">
        <v>197375</v>
      </c>
      <c r="E9" s="18">
        <v>22955</v>
      </c>
      <c r="F9" s="9">
        <v>206820</v>
      </c>
      <c r="G9" s="18">
        <v>22980</v>
      </c>
      <c r="H9" s="13">
        <f t="shared" si="0"/>
        <v>183840</v>
      </c>
      <c r="I9" s="18">
        <v>22980</v>
      </c>
      <c r="J9" s="38">
        <f t="shared" si="1"/>
        <v>160860</v>
      </c>
      <c r="K9" s="18">
        <v>22980</v>
      </c>
      <c r="L9" s="38">
        <f t="shared" si="2"/>
        <v>137880</v>
      </c>
      <c r="M9" s="18">
        <v>22980</v>
      </c>
      <c r="N9" s="70">
        <f t="shared" si="3"/>
        <v>114900</v>
      </c>
      <c r="O9" s="18">
        <v>22980</v>
      </c>
      <c r="P9" s="13">
        <f t="shared" si="4"/>
        <v>91920</v>
      </c>
      <c r="Q9" s="10">
        <v>22980</v>
      </c>
      <c r="R9" s="38">
        <f aca="true" t="shared" si="5" ref="R9:R16">P9-Q9</f>
        <v>68940</v>
      </c>
      <c r="S9" s="18">
        <v>22980</v>
      </c>
      <c r="T9" s="38">
        <f>R9-S9</f>
        <v>45960</v>
      </c>
      <c r="U9" s="18">
        <v>22980</v>
      </c>
      <c r="V9" s="38">
        <f>T9-U9</f>
        <v>22980</v>
      </c>
      <c r="W9" s="28">
        <v>22980</v>
      </c>
      <c r="X9" s="25" t="s">
        <v>36</v>
      </c>
      <c r="Y9" s="30" t="s">
        <v>36</v>
      </c>
      <c r="Z9" s="14" t="s">
        <v>36</v>
      </c>
      <c r="AA9" s="15" t="s">
        <v>36</v>
      </c>
      <c r="AB9" s="14" t="s">
        <v>36</v>
      </c>
      <c r="AC9" s="15" t="s">
        <v>36</v>
      </c>
      <c r="AD9" s="14" t="s">
        <v>36</v>
      </c>
      <c r="AE9" s="15" t="s">
        <v>36</v>
      </c>
      <c r="AF9" s="14" t="s">
        <v>36</v>
      </c>
      <c r="AG9" s="15" t="s">
        <v>36</v>
      </c>
      <c r="AH9" s="14" t="s">
        <v>36</v>
      </c>
      <c r="AI9" s="15" t="s">
        <v>36</v>
      </c>
      <c r="AJ9" s="14" t="s">
        <v>36</v>
      </c>
      <c r="AK9" s="15" t="s">
        <v>36</v>
      </c>
      <c r="AL9" s="14" t="s">
        <v>36</v>
      </c>
      <c r="AM9" s="15" t="s">
        <v>36</v>
      </c>
      <c r="AN9" s="14" t="s">
        <v>36</v>
      </c>
      <c r="AO9" s="15" t="s">
        <v>36</v>
      </c>
      <c r="AP9" s="14" t="s">
        <v>36</v>
      </c>
      <c r="AQ9" s="15" t="s">
        <v>36</v>
      </c>
    </row>
    <row r="10" spans="1:43" ht="12.75">
      <c r="A10" s="16" t="s">
        <v>87</v>
      </c>
      <c r="B10" s="9">
        <v>139059</v>
      </c>
      <c r="C10" s="28">
        <v>28666</v>
      </c>
      <c r="D10" s="13">
        <f>SUM(E10,G10,I10,K10,M10,O10,Q10,S10)</f>
        <v>257997</v>
      </c>
      <c r="E10" s="18">
        <v>32233</v>
      </c>
      <c r="F10" s="9">
        <f>D10-E10</f>
        <v>225764</v>
      </c>
      <c r="G10" s="18">
        <v>32252</v>
      </c>
      <c r="H10" s="13">
        <f t="shared" si="0"/>
        <v>193512</v>
      </c>
      <c r="I10" s="18">
        <v>32252</v>
      </c>
      <c r="J10" s="38">
        <f t="shared" si="1"/>
        <v>161260</v>
      </c>
      <c r="K10" s="18">
        <v>32252</v>
      </c>
      <c r="L10" s="38">
        <f t="shared" si="2"/>
        <v>129008</v>
      </c>
      <c r="M10" s="18">
        <v>32252</v>
      </c>
      <c r="N10" s="70">
        <f t="shared" si="3"/>
        <v>96756</v>
      </c>
      <c r="O10" s="18">
        <v>32252</v>
      </c>
      <c r="P10" s="13">
        <f t="shared" si="4"/>
        <v>64504</v>
      </c>
      <c r="Q10" s="10">
        <v>32252</v>
      </c>
      <c r="R10" s="38">
        <f t="shared" si="5"/>
        <v>32252</v>
      </c>
      <c r="S10" s="28">
        <v>32252</v>
      </c>
      <c r="T10" s="25" t="s">
        <v>36</v>
      </c>
      <c r="U10" s="30" t="s">
        <v>36</v>
      </c>
      <c r="V10" s="25" t="s">
        <v>36</v>
      </c>
      <c r="W10" s="30" t="s">
        <v>36</v>
      </c>
      <c r="X10" s="25" t="s">
        <v>36</v>
      </c>
      <c r="Y10" s="30" t="s">
        <v>36</v>
      </c>
      <c r="Z10" s="14" t="s">
        <v>36</v>
      </c>
      <c r="AA10" s="15" t="s">
        <v>36</v>
      </c>
      <c r="AB10" s="14" t="s">
        <v>36</v>
      </c>
      <c r="AC10" s="15" t="s">
        <v>36</v>
      </c>
      <c r="AD10" s="14" t="s">
        <v>36</v>
      </c>
      <c r="AE10" s="15" t="s">
        <v>36</v>
      </c>
      <c r="AF10" s="14" t="s">
        <v>36</v>
      </c>
      <c r="AG10" s="15" t="s">
        <v>36</v>
      </c>
      <c r="AH10" s="14" t="s">
        <v>36</v>
      </c>
      <c r="AI10" s="15" t="s">
        <v>36</v>
      </c>
      <c r="AJ10" s="14" t="s">
        <v>36</v>
      </c>
      <c r="AK10" s="15" t="s">
        <v>36</v>
      </c>
      <c r="AL10" s="14" t="s">
        <v>36</v>
      </c>
      <c r="AM10" s="15" t="s">
        <v>36</v>
      </c>
      <c r="AN10" s="14" t="s">
        <v>36</v>
      </c>
      <c r="AO10" s="15" t="s">
        <v>36</v>
      </c>
      <c r="AP10" s="14" t="s">
        <v>36</v>
      </c>
      <c r="AQ10" s="15" t="s">
        <v>36</v>
      </c>
    </row>
    <row r="11" spans="1:43" ht="12.75">
      <c r="A11" s="16" t="s">
        <v>63</v>
      </c>
      <c r="B11" s="9">
        <f>C11+D11</f>
        <v>107411</v>
      </c>
      <c r="C11" s="28">
        <v>5955</v>
      </c>
      <c r="D11" s="13">
        <v>101456</v>
      </c>
      <c r="E11" s="18">
        <v>11936</v>
      </c>
      <c r="F11" s="9">
        <f>D11-E11</f>
        <v>89520</v>
      </c>
      <c r="G11" s="18">
        <v>11936</v>
      </c>
      <c r="H11" s="13">
        <f t="shared" si="0"/>
        <v>77584</v>
      </c>
      <c r="I11" s="18">
        <v>11936</v>
      </c>
      <c r="J11" s="38">
        <f t="shared" si="1"/>
        <v>65648</v>
      </c>
      <c r="K11" s="18">
        <v>11936</v>
      </c>
      <c r="L11" s="38">
        <f t="shared" si="2"/>
        <v>53712</v>
      </c>
      <c r="M11" s="18">
        <v>11936</v>
      </c>
      <c r="N11" s="70">
        <f t="shared" si="3"/>
        <v>41776</v>
      </c>
      <c r="O11" s="28">
        <v>11936</v>
      </c>
      <c r="P11" s="13">
        <f t="shared" si="4"/>
        <v>29840</v>
      </c>
      <c r="Q11" s="75">
        <v>11936</v>
      </c>
      <c r="R11" s="38">
        <f t="shared" si="5"/>
        <v>17904</v>
      </c>
      <c r="S11" s="28">
        <v>11936</v>
      </c>
      <c r="T11" s="38">
        <f>R11-S11</f>
        <v>5968</v>
      </c>
      <c r="U11" s="28">
        <v>5968</v>
      </c>
      <c r="V11" s="25" t="s">
        <v>36</v>
      </c>
      <c r="W11" s="27" t="s">
        <v>36</v>
      </c>
      <c r="X11" s="24" t="s">
        <v>36</v>
      </c>
      <c r="Y11" s="30" t="s">
        <v>36</v>
      </c>
      <c r="Z11" s="14" t="s">
        <v>36</v>
      </c>
      <c r="AA11" s="15" t="s">
        <v>36</v>
      </c>
      <c r="AB11" s="14" t="s">
        <v>36</v>
      </c>
      <c r="AC11" s="15" t="s">
        <v>36</v>
      </c>
      <c r="AD11" s="14" t="s">
        <v>36</v>
      </c>
      <c r="AE11" s="15" t="s">
        <v>36</v>
      </c>
      <c r="AF11" s="14" t="s">
        <v>36</v>
      </c>
      <c r="AG11" s="15" t="s">
        <v>36</v>
      </c>
      <c r="AH11" s="14" t="s">
        <v>36</v>
      </c>
      <c r="AI11" s="15" t="s">
        <v>36</v>
      </c>
      <c r="AJ11" s="14" t="s">
        <v>36</v>
      </c>
      <c r="AK11" s="15" t="s">
        <v>36</v>
      </c>
      <c r="AL11" s="14" t="s">
        <v>36</v>
      </c>
      <c r="AM11" s="15" t="s">
        <v>36</v>
      </c>
      <c r="AN11" s="14" t="s">
        <v>36</v>
      </c>
      <c r="AO11" s="15" t="s">
        <v>36</v>
      </c>
      <c r="AP11" s="14" t="s">
        <v>36</v>
      </c>
      <c r="AQ11" s="15" t="s">
        <v>36</v>
      </c>
    </row>
    <row r="12" spans="1:43" ht="12.75">
      <c r="A12" s="16" t="s">
        <v>62</v>
      </c>
      <c r="B12" s="9">
        <v>0</v>
      </c>
      <c r="C12" s="28">
        <v>0</v>
      </c>
      <c r="D12" s="13">
        <v>124412</v>
      </c>
      <c r="E12" s="18">
        <v>5932</v>
      </c>
      <c r="F12" s="9">
        <f>D12-E12</f>
        <v>118480</v>
      </c>
      <c r="G12" s="18">
        <v>11848</v>
      </c>
      <c r="H12" s="13">
        <f t="shared" si="0"/>
        <v>106632</v>
      </c>
      <c r="I12" s="18">
        <v>11848</v>
      </c>
      <c r="J12" s="38">
        <f t="shared" si="1"/>
        <v>94784</v>
      </c>
      <c r="K12" s="18">
        <v>11848</v>
      </c>
      <c r="L12" s="38">
        <f t="shared" si="2"/>
        <v>82936</v>
      </c>
      <c r="M12" s="18">
        <v>11848</v>
      </c>
      <c r="N12" s="70">
        <f t="shared" si="3"/>
        <v>71088</v>
      </c>
      <c r="O12" s="18">
        <v>11848</v>
      </c>
      <c r="P12" s="13">
        <f t="shared" si="4"/>
        <v>59240</v>
      </c>
      <c r="Q12" s="10">
        <v>11848</v>
      </c>
      <c r="R12" s="38">
        <f t="shared" si="5"/>
        <v>47392</v>
      </c>
      <c r="S12" s="18">
        <v>11848</v>
      </c>
      <c r="T12" s="38">
        <f>R12-S12</f>
        <v>35544</v>
      </c>
      <c r="U12" s="18">
        <v>11848</v>
      </c>
      <c r="V12" s="38">
        <f>T12-U12</f>
        <v>23696</v>
      </c>
      <c r="W12" s="18">
        <v>11848</v>
      </c>
      <c r="X12" s="38">
        <f>V12-W12</f>
        <v>11848</v>
      </c>
      <c r="Y12" s="18">
        <v>11848</v>
      </c>
      <c r="Z12" s="14" t="s">
        <v>36</v>
      </c>
      <c r="AA12" s="15" t="s">
        <v>36</v>
      </c>
      <c r="AB12" s="14" t="s">
        <v>36</v>
      </c>
      <c r="AC12" s="15" t="s">
        <v>36</v>
      </c>
      <c r="AD12" s="14" t="s">
        <v>36</v>
      </c>
      <c r="AE12" s="15" t="s">
        <v>36</v>
      </c>
      <c r="AF12" s="14" t="s">
        <v>36</v>
      </c>
      <c r="AG12" s="15" t="s">
        <v>36</v>
      </c>
      <c r="AH12" s="14" t="s">
        <v>36</v>
      </c>
      <c r="AI12" s="15" t="s">
        <v>36</v>
      </c>
      <c r="AJ12" s="14" t="s">
        <v>36</v>
      </c>
      <c r="AK12" s="15" t="s">
        <v>36</v>
      </c>
      <c r="AL12" s="14" t="s">
        <v>36</v>
      </c>
      <c r="AM12" s="15" t="s">
        <v>36</v>
      </c>
      <c r="AN12" s="14" t="s">
        <v>36</v>
      </c>
      <c r="AO12" s="15" t="s">
        <v>36</v>
      </c>
      <c r="AP12" s="14" t="s">
        <v>36</v>
      </c>
      <c r="AQ12" s="15" t="s">
        <v>36</v>
      </c>
    </row>
    <row r="13" spans="1:43" ht="12.75">
      <c r="A13" s="16" t="s">
        <v>77</v>
      </c>
      <c r="B13" s="9">
        <v>0</v>
      </c>
      <c r="C13" s="28">
        <v>0</v>
      </c>
      <c r="D13" s="13">
        <v>305133</v>
      </c>
      <c r="E13" s="18">
        <v>20345</v>
      </c>
      <c r="F13" s="9">
        <f>D13-E13</f>
        <v>284788</v>
      </c>
      <c r="G13" s="18">
        <v>40684</v>
      </c>
      <c r="H13" s="13">
        <f t="shared" si="0"/>
        <v>244104</v>
      </c>
      <c r="I13" s="18">
        <v>40684</v>
      </c>
      <c r="J13" s="38">
        <f t="shared" si="1"/>
        <v>203420</v>
      </c>
      <c r="K13" s="18">
        <v>40684</v>
      </c>
      <c r="L13" s="38">
        <f t="shared" si="2"/>
        <v>162736</v>
      </c>
      <c r="M13" s="18">
        <v>40684</v>
      </c>
      <c r="N13" s="70">
        <f t="shared" si="3"/>
        <v>122052</v>
      </c>
      <c r="O13" s="18">
        <v>40684</v>
      </c>
      <c r="P13" s="13">
        <f t="shared" si="4"/>
        <v>81368</v>
      </c>
      <c r="Q13" s="10">
        <v>40684</v>
      </c>
      <c r="R13" s="38">
        <f t="shared" si="5"/>
        <v>40684</v>
      </c>
      <c r="S13" s="18">
        <v>40684</v>
      </c>
      <c r="T13" s="25" t="s">
        <v>36</v>
      </c>
      <c r="U13" s="30" t="s">
        <v>36</v>
      </c>
      <c r="V13" s="25" t="s">
        <v>36</v>
      </c>
      <c r="W13" s="27" t="s">
        <v>36</v>
      </c>
      <c r="X13" s="25" t="s">
        <v>36</v>
      </c>
      <c r="Y13" s="30" t="s">
        <v>36</v>
      </c>
      <c r="Z13" s="14" t="s">
        <v>36</v>
      </c>
      <c r="AA13" s="15" t="s">
        <v>36</v>
      </c>
      <c r="AB13" s="14" t="s">
        <v>36</v>
      </c>
      <c r="AC13" s="15" t="s">
        <v>36</v>
      </c>
      <c r="AD13" s="14" t="s">
        <v>36</v>
      </c>
      <c r="AE13" s="15" t="s">
        <v>36</v>
      </c>
      <c r="AF13" s="14" t="s">
        <v>36</v>
      </c>
      <c r="AG13" s="15" t="s">
        <v>36</v>
      </c>
      <c r="AH13" s="14" t="s">
        <v>36</v>
      </c>
      <c r="AI13" s="15" t="s">
        <v>36</v>
      </c>
      <c r="AJ13" s="14" t="s">
        <v>36</v>
      </c>
      <c r="AK13" s="15" t="s">
        <v>36</v>
      </c>
      <c r="AL13" s="14" t="s">
        <v>36</v>
      </c>
      <c r="AM13" s="15" t="s">
        <v>36</v>
      </c>
      <c r="AN13" s="14" t="s">
        <v>36</v>
      </c>
      <c r="AO13" s="15" t="s">
        <v>36</v>
      </c>
      <c r="AP13" s="14" t="s">
        <v>36</v>
      </c>
      <c r="AQ13" s="15" t="s">
        <v>36</v>
      </c>
    </row>
    <row r="14" spans="1:43" ht="12.75">
      <c r="A14" s="16" t="s">
        <v>92</v>
      </c>
      <c r="B14" s="9">
        <v>0</v>
      </c>
      <c r="C14" s="28">
        <v>0</v>
      </c>
      <c r="D14" s="13">
        <v>0</v>
      </c>
      <c r="E14" s="18">
        <v>0</v>
      </c>
      <c r="F14" s="9">
        <v>681039</v>
      </c>
      <c r="G14" s="18">
        <v>19810</v>
      </c>
      <c r="H14" s="13">
        <v>693361</v>
      </c>
      <c r="I14" s="18">
        <v>79240</v>
      </c>
      <c r="J14" s="38">
        <f>H14-I14</f>
        <v>614121</v>
      </c>
      <c r="K14" s="18">
        <v>79240</v>
      </c>
      <c r="L14" s="38">
        <f>J14-K14</f>
        <v>534881</v>
      </c>
      <c r="M14" s="18">
        <v>79240</v>
      </c>
      <c r="N14" s="70">
        <f>L14-M14</f>
        <v>455641</v>
      </c>
      <c r="O14" s="18">
        <v>79240</v>
      </c>
      <c r="P14" s="13">
        <f>N14-O14</f>
        <v>376401</v>
      </c>
      <c r="Q14" s="10">
        <v>79240</v>
      </c>
      <c r="R14" s="38">
        <f>P14-Q14</f>
        <v>297161</v>
      </c>
      <c r="S14" s="18">
        <v>79240</v>
      </c>
      <c r="T14" s="38">
        <f>R14-S14</f>
        <v>217921</v>
      </c>
      <c r="U14" s="18">
        <v>79240</v>
      </c>
      <c r="V14" s="38">
        <f>T14-U14</f>
        <v>138681</v>
      </c>
      <c r="W14" s="18">
        <v>79240</v>
      </c>
      <c r="X14" s="38">
        <f>V14-W14</f>
        <v>59441</v>
      </c>
      <c r="Y14" s="18">
        <v>59441</v>
      </c>
      <c r="Z14" s="14" t="s">
        <v>36</v>
      </c>
      <c r="AA14" s="15" t="s">
        <v>36</v>
      </c>
      <c r="AB14" s="14" t="s">
        <v>36</v>
      </c>
      <c r="AC14" s="15" t="s">
        <v>36</v>
      </c>
      <c r="AD14" s="14" t="s">
        <v>36</v>
      </c>
      <c r="AE14" s="15" t="s">
        <v>36</v>
      </c>
      <c r="AF14" s="14" t="s">
        <v>36</v>
      </c>
      <c r="AG14" s="15" t="s">
        <v>36</v>
      </c>
      <c r="AH14" s="14" t="s">
        <v>36</v>
      </c>
      <c r="AI14" s="15" t="s">
        <v>36</v>
      </c>
      <c r="AJ14" s="14" t="s">
        <v>36</v>
      </c>
      <c r="AK14" s="15" t="s">
        <v>36</v>
      </c>
      <c r="AL14" s="14" t="s">
        <v>36</v>
      </c>
      <c r="AM14" s="15" t="s">
        <v>36</v>
      </c>
      <c r="AN14" s="14" t="s">
        <v>36</v>
      </c>
      <c r="AO14" s="15" t="s">
        <v>36</v>
      </c>
      <c r="AP14" s="14" t="s">
        <v>36</v>
      </c>
      <c r="AQ14" s="15" t="s">
        <v>36</v>
      </c>
    </row>
    <row r="15" spans="1:43" ht="12.75">
      <c r="A15" s="16" t="s">
        <v>128</v>
      </c>
      <c r="B15" s="9"/>
      <c r="C15" s="28"/>
      <c r="D15" s="13">
        <v>0</v>
      </c>
      <c r="E15" s="18">
        <v>0</v>
      </c>
      <c r="F15" s="13">
        <v>0</v>
      </c>
      <c r="G15" s="28">
        <v>0</v>
      </c>
      <c r="H15" s="13">
        <f>SUM(I15:J15)</f>
        <v>718793</v>
      </c>
      <c r="I15" s="28">
        <v>39949</v>
      </c>
      <c r="J15" s="13">
        <f>SUM(K15:L15)</f>
        <v>678844</v>
      </c>
      <c r="K15" s="28">
        <v>79864</v>
      </c>
      <c r="L15" s="13">
        <f>SUM(M15:N15)</f>
        <v>598980</v>
      </c>
      <c r="M15" s="28">
        <v>79864</v>
      </c>
      <c r="N15" s="13">
        <f>SUM(O15:P15)</f>
        <v>519116</v>
      </c>
      <c r="O15" s="28">
        <v>79864</v>
      </c>
      <c r="P15" s="13">
        <f>SUM(Q15:R15)</f>
        <v>439252</v>
      </c>
      <c r="Q15" s="75">
        <v>79864</v>
      </c>
      <c r="R15" s="13">
        <f>SUM(S15:T15)</f>
        <v>359388</v>
      </c>
      <c r="S15" s="28">
        <v>79864</v>
      </c>
      <c r="T15" s="13">
        <f>SUM(U15:V15)</f>
        <v>279524</v>
      </c>
      <c r="U15" s="28">
        <v>79864</v>
      </c>
      <c r="V15" s="13">
        <f>SUM(W15:X15)</f>
        <v>199660</v>
      </c>
      <c r="W15" s="28">
        <v>79864</v>
      </c>
      <c r="X15" s="13">
        <f>SUM(Y15:Z15)</f>
        <v>119796</v>
      </c>
      <c r="Y15" s="28">
        <v>79864</v>
      </c>
      <c r="Z15" s="13">
        <f>AA15</f>
        <v>39932</v>
      </c>
      <c r="AA15" s="75">
        <v>39932</v>
      </c>
      <c r="AB15" s="14" t="s">
        <v>36</v>
      </c>
      <c r="AC15" s="15" t="s">
        <v>36</v>
      </c>
      <c r="AD15" s="14" t="s">
        <v>36</v>
      </c>
      <c r="AE15" s="15" t="s">
        <v>36</v>
      </c>
      <c r="AF15" s="14" t="s">
        <v>36</v>
      </c>
      <c r="AG15" s="15" t="s">
        <v>36</v>
      </c>
      <c r="AH15" s="14" t="s">
        <v>36</v>
      </c>
      <c r="AI15" s="15" t="s">
        <v>36</v>
      </c>
      <c r="AJ15" s="14" t="s">
        <v>36</v>
      </c>
      <c r="AK15" s="15" t="s">
        <v>36</v>
      </c>
      <c r="AL15" s="14" t="s">
        <v>36</v>
      </c>
      <c r="AM15" s="15" t="s">
        <v>36</v>
      </c>
      <c r="AN15" s="14" t="s">
        <v>36</v>
      </c>
      <c r="AO15" s="15" t="s">
        <v>36</v>
      </c>
      <c r="AP15" s="14" t="s">
        <v>36</v>
      </c>
      <c r="AQ15" s="15" t="s">
        <v>36</v>
      </c>
    </row>
    <row r="16" spans="1:43" ht="13.5" thickBot="1">
      <c r="A16" s="16" t="s">
        <v>90</v>
      </c>
      <c r="B16" s="17">
        <v>0</v>
      </c>
      <c r="C16" s="28">
        <v>0</v>
      </c>
      <c r="D16" s="36">
        <v>12499</v>
      </c>
      <c r="E16" s="19">
        <v>2636</v>
      </c>
      <c r="F16" s="17">
        <v>184439</v>
      </c>
      <c r="G16" s="19">
        <v>9767</v>
      </c>
      <c r="H16" s="13">
        <v>174672</v>
      </c>
      <c r="I16" s="19">
        <v>9704</v>
      </c>
      <c r="J16" s="38">
        <f t="shared" si="1"/>
        <v>164968</v>
      </c>
      <c r="K16" s="19">
        <v>9704</v>
      </c>
      <c r="L16" s="38">
        <f t="shared" si="2"/>
        <v>155264</v>
      </c>
      <c r="M16" s="19">
        <v>9704</v>
      </c>
      <c r="N16" s="70">
        <f t="shared" si="3"/>
        <v>145560</v>
      </c>
      <c r="O16" s="19">
        <v>9704</v>
      </c>
      <c r="P16" s="13">
        <f t="shared" si="4"/>
        <v>135856</v>
      </c>
      <c r="Q16" s="76">
        <v>9704</v>
      </c>
      <c r="R16" s="38">
        <f t="shared" si="5"/>
        <v>126152</v>
      </c>
      <c r="S16" s="19">
        <v>9704</v>
      </c>
      <c r="T16" s="38">
        <f>R16-S16</f>
        <v>116448</v>
      </c>
      <c r="U16" s="19">
        <v>9704</v>
      </c>
      <c r="V16" s="38">
        <f>T16-U16</f>
        <v>106744</v>
      </c>
      <c r="W16" s="19">
        <v>9704</v>
      </c>
      <c r="X16" s="38">
        <f>V16-W16</f>
        <v>97040</v>
      </c>
      <c r="Y16" s="19">
        <v>9704</v>
      </c>
      <c r="Z16" s="9">
        <f>X16-Y16</f>
        <v>87336</v>
      </c>
      <c r="AA16" s="19">
        <v>9704</v>
      </c>
      <c r="AB16" s="9">
        <f>Z16-AA16</f>
        <v>77632</v>
      </c>
      <c r="AC16" s="19">
        <v>9704</v>
      </c>
      <c r="AD16" s="9">
        <f>AB16-AC16</f>
        <v>67928</v>
      </c>
      <c r="AE16" s="19">
        <v>9704</v>
      </c>
      <c r="AF16" s="9">
        <f>AD16-AE16</f>
        <v>58224</v>
      </c>
      <c r="AG16" s="19">
        <v>9704</v>
      </c>
      <c r="AH16" s="9">
        <f>AF16-AG16</f>
        <v>48520</v>
      </c>
      <c r="AI16" s="19">
        <v>9704</v>
      </c>
      <c r="AJ16" s="9">
        <f>AH16-AI16</f>
        <v>38816</v>
      </c>
      <c r="AK16" s="19">
        <v>9704</v>
      </c>
      <c r="AL16" s="9">
        <f>AJ16-AK16</f>
        <v>29112</v>
      </c>
      <c r="AM16" s="19">
        <v>9704</v>
      </c>
      <c r="AN16" s="9">
        <f>AL16-AM16</f>
        <v>19408</v>
      </c>
      <c r="AO16" s="19">
        <v>9704</v>
      </c>
      <c r="AP16" s="9">
        <f>AN16-AO16</f>
        <v>9704</v>
      </c>
      <c r="AQ16" s="19">
        <v>9704</v>
      </c>
    </row>
    <row r="17" spans="1:43" ht="13.5" thickTop="1">
      <c r="A17" s="11" t="s">
        <v>42</v>
      </c>
      <c r="B17" s="37">
        <f>SUM(B5:B16)</f>
        <v>1050811</v>
      </c>
      <c r="C17" s="3">
        <f>SUM(C5:C16)</f>
        <v>248956</v>
      </c>
      <c r="D17" s="37">
        <f aca="true" t="shared" si="6" ref="D17:I17">SUM(D5:D16)</f>
        <v>1463053</v>
      </c>
      <c r="E17" s="3">
        <f t="shared" si="6"/>
        <v>171178</v>
      </c>
      <c r="F17" s="40">
        <f t="shared" si="6"/>
        <v>2179890</v>
      </c>
      <c r="G17" s="3">
        <f t="shared" si="6"/>
        <v>225397</v>
      </c>
      <c r="H17" s="41">
        <f t="shared" si="6"/>
        <v>2705418</v>
      </c>
      <c r="I17" s="3">
        <f t="shared" si="6"/>
        <v>324713</v>
      </c>
      <c r="J17" s="41">
        <f aca="true" t="shared" si="7" ref="J17:O17">SUM(J5:J16)</f>
        <v>2380705</v>
      </c>
      <c r="K17" s="3">
        <f t="shared" si="7"/>
        <v>364628</v>
      </c>
      <c r="L17" s="41">
        <f t="shared" si="7"/>
        <v>2016077</v>
      </c>
      <c r="M17" s="3">
        <f t="shared" si="7"/>
        <v>364628</v>
      </c>
      <c r="N17" s="71">
        <f t="shared" si="7"/>
        <v>1651449</v>
      </c>
      <c r="O17" s="3">
        <f t="shared" si="7"/>
        <v>346268</v>
      </c>
      <c r="P17" s="41">
        <f>SUM(P8:P16)</f>
        <v>1305181</v>
      </c>
      <c r="Q17" s="2">
        <f>SUM(Q5:Q16)</f>
        <v>315308</v>
      </c>
      <c r="R17" s="41">
        <f>SUM(R9:R16)</f>
        <v>989873</v>
      </c>
      <c r="S17" s="3">
        <f>SUM(S5:S16)</f>
        <v>288508</v>
      </c>
      <c r="T17" s="41">
        <f>SUM(T9:T16)</f>
        <v>701365</v>
      </c>
      <c r="U17" s="3">
        <f>SUM(U5:U16)</f>
        <v>209604</v>
      </c>
      <c r="V17" s="41">
        <f>SUM(V5:V16)</f>
        <v>491761</v>
      </c>
      <c r="W17" s="3">
        <f>SUM(W5:W16)</f>
        <v>203636</v>
      </c>
      <c r="X17" s="48">
        <f>SUM(X5:X16)</f>
        <v>288125</v>
      </c>
      <c r="Y17" s="3">
        <f>SUM(Y5:Y16)</f>
        <v>160857</v>
      </c>
      <c r="Z17" s="12">
        <f>SUM(Z16)</f>
        <v>87336</v>
      </c>
      <c r="AA17" s="2">
        <f>SUM(AA5:AA16)</f>
        <v>49636</v>
      </c>
      <c r="AB17" s="12">
        <f>SUM(AB16)</f>
        <v>77632</v>
      </c>
      <c r="AC17" s="2">
        <f aca="true" t="shared" si="8" ref="AC17:AQ17">SUM(AC5:AC16)</f>
        <v>9704</v>
      </c>
      <c r="AD17" s="12">
        <f>SUM(AD16)</f>
        <v>67928</v>
      </c>
      <c r="AE17" s="2">
        <f t="shared" si="8"/>
        <v>9704</v>
      </c>
      <c r="AF17" s="12">
        <f>SUM(AF16)</f>
        <v>58224</v>
      </c>
      <c r="AG17" s="2">
        <f t="shared" si="8"/>
        <v>9704</v>
      </c>
      <c r="AH17" s="12">
        <f>SUM(AH16)</f>
        <v>48520</v>
      </c>
      <c r="AI17" s="2">
        <f t="shared" si="8"/>
        <v>9704</v>
      </c>
      <c r="AJ17" s="12">
        <f>SUM(AJ16)</f>
        <v>38816</v>
      </c>
      <c r="AK17" s="2">
        <f t="shared" si="8"/>
        <v>9704</v>
      </c>
      <c r="AL17" s="12">
        <f>SUM(AL16)</f>
        <v>29112</v>
      </c>
      <c r="AM17" s="2">
        <f t="shared" si="8"/>
        <v>9704</v>
      </c>
      <c r="AN17" s="12">
        <f>SUM(AN16)</f>
        <v>19408</v>
      </c>
      <c r="AO17" s="2">
        <f t="shared" si="8"/>
        <v>9704</v>
      </c>
      <c r="AP17" s="12">
        <f>SUM(AP16)</f>
        <v>9704</v>
      </c>
      <c r="AQ17" s="2">
        <f t="shared" si="8"/>
        <v>9704</v>
      </c>
    </row>
    <row r="18" spans="1:43" ht="12.75">
      <c r="A18" s="31" t="s">
        <v>70</v>
      </c>
      <c r="B18" s="63"/>
      <c r="C18" s="64"/>
      <c r="D18" s="9"/>
      <c r="E18" s="18"/>
      <c r="F18" s="9"/>
      <c r="G18" s="18"/>
      <c r="H18" s="9"/>
      <c r="I18" s="18"/>
      <c r="K18" s="18"/>
      <c r="M18" s="18"/>
      <c r="N18" s="35"/>
      <c r="O18" s="18"/>
      <c r="P18" s="9"/>
      <c r="Q18" s="10"/>
      <c r="S18" s="18"/>
      <c r="U18" s="18"/>
      <c r="W18" s="18"/>
      <c r="X18" s="23"/>
      <c r="Y18" s="18"/>
      <c r="Z18" s="9"/>
      <c r="AA18" s="10"/>
      <c r="AB18" s="9"/>
      <c r="AC18" s="10"/>
      <c r="AD18" s="9"/>
      <c r="AE18" s="10"/>
      <c r="AF18" s="9"/>
      <c r="AG18" s="10"/>
      <c r="AH18" s="9"/>
      <c r="AI18" s="10"/>
      <c r="AJ18" s="9"/>
      <c r="AK18" s="10"/>
      <c r="AL18" s="9"/>
      <c r="AM18" s="10"/>
      <c r="AN18" s="9"/>
      <c r="AO18" s="10"/>
      <c r="AP18" s="9"/>
      <c r="AQ18" s="10"/>
    </row>
    <row r="19" spans="1:43" ht="12.75">
      <c r="A19" s="6" t="s">
        <v>37</v>
      </c>
      <c r="B19" s="9">
        <f aca="true" t="shared" si="9" ref="B19:B25">C19+D19</f>
        <v>35847</v>
      </c>
      <c r="C19" s="18">
        <v>9644</v>
      </c>
      <c r="D19" s="9">
        <f>SUM(E19,G19,I19,K19,M19,O19)</f>
        <v>26203</v>
      </c>
      <c r="E19" s="18">
        <f>ROUND('1998. évi 200 MFt (...03)'!G55/1000,0)</f>
        <v>6222</v>
      </c>
      <c r="F19" s="9">
        <f aca="true" t="shared" si="10" ref="F19:F30">G19+H19</f>
        <v>19981</v>
      </c>
      <c r="G19" s="18">
        <f>ROUND('1998. évi 200 MFt (...03)'!G67/1000,0)</f>
        <v>7326</v>
      </c>
      <c r="H19" s="9">
        <f aca="true" t="shared" si="11" ref="H19:H30">I19+J19</f>
        <v>12655</v>
      </c>
      <c r="I19" s="18">
        <f>ROUND('1998. évi 200 MFt (...03)'!G79/1000,0)</f>
        <v>5398</v>
      </c>
      <c r="J19" s="23">
        <f aca="true" t="shared" si="12" ref="J19:J30">K19+L19</f>
        <v>7257</v>
      </c>
      <c r="K19" s="18">
        <f>ROUND('1998. évi 200 MFt (...03)'!G91/1000,0)</f>
        <v>3908</v>
      </c>
      <c r="L19" s="23">
        <f>M19+N19</f>
        <v>3349</v>
      </c>
      <c r="M19" s="18">
        <f>ROUND('1998. évi 200 MFt (...03)'!G103/1000,0)</f>
        <v>2418</v>
      </c>
      <c r="N19" s="35">
        <f>O19</f>
        <v>931</v>
      </c>
      <c r="O19" s="18">
        <f>ROUND('1998. évi 200 MFt (...03)'!G115/1000,0)</f>
        <v>931</v>
      </c>
      <c r="P19" s="14" t="s">
        <v>36</v>
      </c>
      <c r="Q19" s="15" t="s">
        <v>36</v>
      </c>
      <c r="R19" s="14" t="s">
        <v>36</v>
      </c>
      <c r="S19" s="30" t="s">
        <v>36</v>
      </c>
      <c r="T19" s="14" t="s">
        <v>36</v>
      </c>
      <c r="U19" s="30" t="s">
        <v>36</v>
      </c>
      <c r="V19" s="14" t="s">
        <v>36</v>
      </c>
      <c r="W19" s="30" t="s">
        <v>36</v>
      </c>
      <c r="X19" s="14" t="s">
        <v>36</v>
      </c>
      <c r="Y19" s="30" t="s">
        <v>36</v>
      </c>
      <c r="Z19" s="14" t="s">
        <v>36</v>
      </c>
      <c r="AA19" s="15" t="s">
        <v>36</v>
      </c>
      <c r="AB19" s="14" t="s">
        <v>36</v>
      </c>
      <c r="AC19" s="15" t="s">
        <v>36</v>
      </c>
      <c r="AD19" s="14" t="s">
        <v>36</v>
      </c>
      <c r="AE19" s="15" t="s">
        <v>36</v>
      </c>
      <c r="AF19" s="14" t="s">
        <v>36</v>
      </c>
      <c r="AG19" s="15" t="s">
        <v>36</v>
      </c>
      <c r="AH19" s="14" t="s">
        <v>36</v>
      </c>
      <c r="AI19" s="15" t="s">
        <v>36</v>
      </c>
      <c r="AJ19" s="14" t="s">
        <v>36</v>
      </c>
      <c r="AK19" s="15" t="s">
        <v>36</v>
      </c>
      <c r="AL19" s="14" t="s">
        <v>36</v>
      </c>
      <c r="AM19" s="15" t="s">
        <v>36</v>
      </c>
      <c r="AN19" s="14" t="s">
        <v>36</v>
      </c>
      <c r="AO19" s="15" t="s">
        <v>36</v>
      </c>
      <c r="AP19" s="14" t="s">
        <v>36</v>
      </c>
      <c r="AQ19" s="15" t="s">
        <v>36</v>
      </c>
    </row>
    <row r="20" spans="1:43" ht="12.75">
      <c r="A20" s="6" t="s">
        <v>38</v>
      </c>
      <c r="B20" s="9">
        <f t="shared" si="9"/>
        <v>42398</v>
      </c>
      <c r="C20" s="18">
        <v>11246</v>
      </c>
      <c r="D20" s="9">
        <f>SUM(E20,G20,I20,K20,M20,O20)</f>
        <v>31152</v>
      </c>
      <c r="E20" s="18">
        <f>ROUND('1999. évi 200 MFt (...04)'!G66/1000,0)</f>
        <v>7575</v>
      </c>
      <c r="F20" s="9">
        <f t="shared" si="10"/>
        <v>23577</v>
      </c>
      <c r="G20" s="18">
        <f>ROUND('1999. évi 200 MFt (...04)'!G82/1000,0)</f>
        <v>8815</v>
      </c>
      <c r="H20" s="9">
        <f t="shared" si="11"/>
        <v>14762</v>
      </c>
      <c r="I20" s="18">
        <f>ROUND('1999. évi 200 MFt (...04)'!G98/1000,0)</f>
        <v>6412</v>
      </c>
      <c r="J20" s="23">
        <f t="shared" si="12"/>
        <v>8350</v>
      </c>
      <c r="K20" s="18">
        <f>ROUND('1999. évi 200 MFt (...04)'!G114/1000,0)</f>
        <v>4597</v>
      </c>
      <c r="L20" s="23">
        <f>M20+N20</f>
        <v>3753</v>
      </c>
      <c r="M20" s="18">
        <f>ROUND('1999. évi 200 MFt (...04)'!G130/1000,0)</f>
        <v>2782</v>
      </c>
      <c r="N20" s="35">
        <f>O20</f>
        <v>971</v>
      </c>
      <c r="O20" s="18">
        <f>ROUND('1999. évi 200 MFt (...04)'!G145/1000,0)</f>
        <v>971</v>
      </c>
      <c r="P20" s="14" t="s">
        <v>36</v>
      </c>
      <c r="Q20" s="15" t="s">
        <v>36</v>
      </c>
      <c r="R20" s="25" t="s">
        <v>36</v>
      </c>
      <c r="S20" s="30" t="s">
        <v>36</v>
      </c>
      <c r="T20" s="25" t="s">
        <v>36</v>
      </c>
      <c r="U20" s="30" t="s">
        <v>36</v>
      </c>
      <c r="V20" s="25" t="s">
        <v>36</v>
      </c>
      <c r="W20" s="30" t="s">
        <v>36</v>
      </c>
      <c r="X20" s="25" t="s">
        <v>36</v>
      </c>
      <c r="Y20" s="30" t="s">
        <v>36</v>
      </c>
      <c r="Z20" s="14" t="s">
        <v>36</v>
      </c>
      <c r="AA20" s="15" t="s">
        <v>36</v>
      </c>
      <c r="AB20" s="14" t="s">
        <v>36</v>
      </c>
      <c r="AC20" s="15" t="s">
        <v>36</v>
      </c>
      <c r="AD20" s="14" t="s">
        <v>36</v>
      </c>
      <c r="AE20" s="15" t="s">
        <v>36</v>
      </c>
      <c r="AF20" s="14" t="s">
        <v>36</v>
      </c>
      <c r="AG20" s="15" t="s">
        <v>36</v>
      </c>
      <c r="AH20" s="14" t="s">
        <v>36</v>
      </c>
      <c r="AI20" s="15" t="s">
        <v>36</v>
      </c>
      <c r="AJ20" s="14" t="s">
        <v>36</v>
      </c>
      <c r="AK20" s="15" t="s">
        <v>36</v>
      </c>
      <c r="AL20" s="14" t="s">
        <v>36</v>
      </c>
      <c r="AM20" s="15" t="s">
        <v>36</v>
      </c>
      <c r="AN20" s="14" t="s">
        <v>36</v>
      </c>
      <c r="AO20" s="15" t="s">
        <v>36</v>
      </c>
      <c r="AP20" s="14" t="s">
        <v>36</v>
      </c>
      <c r="AQ20" s="15" t="s">
        <v>36</v>
      </c>
    </row>
    <row r="21" spans="1:43" ht="12.75">
      <c r="A21" s="16" t="s">
        <v>39</v>
      </c>
      <c r="B21" s="9">
        <f t="shared" si="9"/>
        <v>41000</v>
      </c>
      <c r="C21" s="28">
        <v>13518</v>
      </c>
      <c r="D21" s="13">
        <f>SUM(E21,G21,I21,K21,M21)</f>
        <v>27482</v>
      </c>
      <c r="E21" s="18">
        <f>ROUND('2000. júl-i 200 MFt (...06)'!G31/1000,0)</f>
        <v>7847</v>
      </c>
      <c r="F21" s="9">
        <f t="shared" si="10"/>
        <v>19635</v>
      </c>
      <c r="G21" s="18">
        <f>ROUND('2000. júl-i 200 MFt (...06)'!G39/1000,0)</f>
        <v>8724</v>
      </c>
      <c r="H21" s="9">
        <f t="shared" si="11"/>
        <v>10911</v>
      </c>
      <c r="I21" s="18">
        <f>ROUND('2000. júl-i 200 MFt (...06)'!G47/1000,0)</f>
        <v>5888</v>
      </c>
      <c r="J21" s="23">
        <f t="shared" si="12"/>
        <v>5023</v>
      </c>
      <c r="K21" s="18">
        <f>ROUND('2000. júl-i 200 MFt (...06)'!G55/1000,0)</f>
        <v>3637</v>
      </c>
      <c r="L21" s="23">
        <f>M21</f>
        <v>1386</v>
      </c>
      <c r="M21" s="18">
        <f>ROUND('2000. júl-i 200 MFt (...06)'!G62/1000,0)</f>
        <v>1386</v>
      </c>
      <c r="N21" s="57" t="s">
        <v>36</v>
      </c>
      <c r="O21" s="30" t="s">
        <v>36</v>
      </c>
      <c r="P21" s="14" t="s">
        <v>36</v>
      </c>
      <c r="Q21" s="15" t="s">
        <v>36</v>
      </c>
      <c r="R21" s="25" t="s">
        <v>36</v>
      </c>
      <c r="S21" s="30" t="s">
        <v>36</v>
      </c>
      <c r="T21" s="25" t="s">
        <v>36</v>
      </c>
      <c r="U21" s="30" t="s">
        <v>36</v>
      </c>
      <c r="V21" s="25" t="s">
        <v>36</v>
      </c>
      <c r="W21" s="30" t="s">
        <v>36</v>
      </c>
      <c r="X21" s="25" t="s">
        <v>36</v>
      </c>
      <c r="Y21" s="30" t="s">
        <v>36</v>
      </c>
      <c r="Z21" s="14" t="s">
        <v>36</v>
      </c>
      <c r="AA21" s="15" t="s">
        <v>36</v>
      </c>
      <c r="AB21" s="14" t="s">
        <v>36</v>
      </c>
      <c r="AC21" s="15" t="s">
        <v>36</v>
      </c>
      <c r="AD21" s="14" t="s">
        <v>36</v>
      </c>
      <c r="AE21" s="15" t="s">
        <v>36</v>
      </c>
      <c r="AF21" s="14" t="s">
        <v>36</v>
      </c>
      <c r="AG21" s="15" t="s">
        <v>36</v>
      </c>
      <c r="AH21" s="14" t="s">
        <v>36</v>
      </c>
      <c r="AI21" s="15" t="s">
        <v>36</v>
      </c>
      <c r="AJ21" s="14" t="s">
        <v>36</v>
      </c>
      <c r="AK21" s="15" t="s">
        <v>36</v>
      </c>
      <c r="AL21" s="14" t="s">
        <v>36</v>
      </c>
      <c r="AM21" s="15" t="s">
        <v>36</v>
      </c>
      <c r="AN21" s="14" t="s">
        <v>36</v>
      </c>
      <c r="AO21" s="15" t="s">
        <v>36</v>
      </c>
      <c r="AP21" s="14" t="s">
        <v>36</v>
      </c>
      <c r="AQ21" s="15" t="s">
        <v>36</v>
      </c>
    </row>
    <row r="22" spans="1:43" ht="12.75">
      <c r="A22" s="16" t="s">
        <v>40</v>
      </c>
      <c r="B22" s="9">
        <f t="shared" si="9"/>
        <v>93595</v>
      </c>
      <c r="C22" s="28">
        <v>20909</v>
      </c>
      <c r="D22" s="13">
        <f>SUM(E22,G22,I22,K22,M22,O22,Q22)</f>
        <v>72686</v>
      </c>
      <c r="E22" s="18">
        <f>ROUND('2000. dec-i 250 MFt (...05)'!G29/1000,0)</f>
        <v>15089</v>
      </c>
      <c r="F22" s="9">
        <f t="shared" si="10"/>
        <v>57597</v>
      </c>
      <c r="G22" s="18">
        <f>ROUND('2000. dec-i 250 MFt (...05)'!G37/1000,0)</f>
        <v>18133</v>
      </c>
      <c r="H22" s="9">
        <f t="shared" si="11"/>
        <v>39464</v>
      </c>
      <c r="I22" s="18">
        <f>ROUND('2000. dec-i 250 MFt (...05)'!G45/1000,0)</f>
        <v>13922</v>
      </c>
      <c r="J22" s="23">
        <f t="shared" si="12"/>
        <v>25542</v>
      </c>
      <c r="K22" s="18">
        <f>ROUND('2000. dec-i 250 MFt (...05)'!G53/1000,0)</f>
        <v>10906</v>
      </c>
      <c r="L22" s="23">
        <f aca="true" t="shared" si="13" ref="L22:L30">M22+N22</f>
        <v>14636</v>
      </c>
      <c r="M22" s="18">
        <f>ROUND('2000. dec-i 250 MFt (...05)'!G61/1000,0)</f>
        <v>7889</v>
      </c>
      <c r="N22" s="35">
        <f aca="true" t="shared" si="14" ref="N22:N30">O22+P22</f>
        <v>6747</v>
      </c>
      <c r="O22" s="18">
        <f>ROUND('2000. dec-i 250 MFt (...05)'!G69/1000,0)</f>
        <v>4890</v>
      </c>
      <c r="P22" s="9">
        <f>Q22</f>
        <v>1857</v>
      </c>
      <c r="Q22" s="10">
        <f>ROUND('2000. dec-i 250 MFt (...05)'!G76/1000,0)</f>
        <v>1857</v>
      </c>
      <c r="R22" s="25" t="s">
        <v>36</v>
      </c>
      <c r="S22" s="30" t="s">
        <v>36</v>
      </c>
      <c r="T22" s="25" t="s">
        <v>36</v>
      </c>
      <c r="U22" s="30" t="s">
        <v>36</v>
      </c>
      <c r="V22" s="25" t="s">
        <v>36</v>
      </c>
      <c r="W22" s="30" t="s">
        <v>36</v>
      </c>
      <c r="X22" s="25" t="s">
        <v>36</v>
      </c>
      <c r="Y22" s="30" t="s">
        <v>36</v>
      </c>
      <c r="Z22" s="14" t="s">
        <v>36</v>
      </c>
      <c r="AA22" s="15" t="s">
        <v>36</v>
      </c>
      <c r="AB22" s="14" t="s">
        <v>36</v>
      </c>
      <c r="AC22" s="15" t="s">
        <v>36</v>
      </c>
      <c r="AD22" s="14" t="s">
        <v>36</v>
      </c>
      <c r="AE22" s="15" t="s">
        <v>36</v>
      </c>
      <c r="AF22" s="14" t="s">
        <v>36</v>
      </c>
      <c r="AG22" s="15" t="s">
        <v>36</v>
      </c>
      <c r="AH22" s="14" t="s">
        <v>36</v>
      </c>
      <c r="AI22" s="15" t="s">
        <v>36</v>
      </c>
      <c r="AJ22" s="14" t="s">
        <v>36</v>
      </c>
      <c r="AK22" s="15" t="s">
        <v>36</v>
      </c>
      <c r="AL22" s="14" t="s">
        <v>36</v>
      </c>
      <c r="AM22" s="15" t="s">
        <v>36</v>
      </c>
      <c r="AN22" s="14" t="s">
        <v>36</v>
      </c>
      <c r="AO22" s="15" t="s">
        <v>36</v>
      </c>
      <c r="AP22" s="14" t="s">
        <v>36</v>
      </c>
      <c r="AQ22" s="15" t="s">
        <v>36</v>
      </c>
    </row>
    <row r="23" spans="1:43" ht="12.75">
      <c r="A23" s="16" t="s">
        <v>41</v>
      </c>
      <c r="B23" s="9">
        <f t="shared" si="9"/>
        <v>140887</v>
      </c>
      <c r="C23" s="28">
        <v>13938</v>
      </c>
      <c r="D23" s="13">
        <f>SUM(E23,G23,I23,K23,M23,O23,Q23,S23,U23,W23)</f>
        <v>126949</v>
      </c>
      <c r="E23" s="18">
        <f>ROUND('NA600-as vezeték (...07)'!G27/1000,0)</f>
        <v>17917</v>
      </c>
      <c r="F23" s="9">
        <f t="shared" si="10"/>
        <v>109032</v>
      </c>
      <c r="G23" s="18">
        <f>ROUND('NA600-as vezeték (...07)'!G35/1000,0)</f>
        <v>23834</v>
      </c>
      <c r="H23" s="9">
        <f t="shared" si="11"/>
        <v>85198</v>
      </c>
      <c r="I23" s="18">
        <f>ROUND('NA600-as vezeték (...07)'!G43/1000,0)</f>
        <v>19696</v>
      </c>
      <c r="J23" s="23">
        <f t="shared" si="12"/>
        <v>65502</v>
      </c>
      <c r="K23" s="18">
        <f>ROUND('NA600-as vezeték (...07)'!G51/1000,0)</f>
        <v>17110</v>
      </c>
      <c r="L23" s="23">
        <f t="shared" si="13"/>
        <v>48392</v>
      </c>
      <c r="M23" s="18">
        <f>ROUND('NA600-as vezeték (...07)'!G59/1000,0)</f>
        <v>14524</v>
      </c>
      <c r="N23" s="35">
        <f t="shared" si="14"/>
        <v>33868</v>
      </c>
      <c r="O23" s="18">
        <f>ROUND('NA600-as vezeték (...07)'!G67/1000,0)</f>
        <v>11973</v>
      </c>
      <c r="P23" s="9">
        <f aca="true" t="shared" si="15" ref="P23:P30">Q23+R23</f>
        <v>21895</v>
      </c>
      <c r="Q23" s="10">
        <f>ROUND('NA600-as vezeték (...07)'!G75/1000,0)</f>
        <v>9351</v>
      </c>
      <c r="R23" s="23">
        <f>S23+T23</f>
        <v>12544</v>
      </c>
      <c r="S23" s="18">
        <f>ROUND('NA600-as vezeték (...07)'!G83/1000,0)</f>
        <v>6765</v>
      </c>
      <c r="T23" s="23">
        <f>U23+V23</f>
        <v>5779</v>
      </c>
      <c r="U23" s="18">
        <f>ROUND('NA600-as vezeték (...07)'!G91/1000,0)</f>
        <v>4179</v>
      </c>
      <c r="V23" s="23">
        <f>W23</f>
        <v>1600</v>
      </c>
      <c r="W23" s="18">
        <f>ROUND('NA600-as vezeték (...07)'!G98/1000,0)</f>
        <v>1600</v>
      </c>
      <c r="X23" s="14" t="s">
        <v>36</v>
      </c>
      <c r="Y23" s="30" t="s">
        <v>36</v>
      </c>
      <c r="Z23" s="14" t="s">
        <v>36</v>
      </c>
      <c r="AA23" s="15" t="s">
        <v>36</v>
      </c>
      <c r="AB23" s="14" t="s">
        <v>36</v>
      </c>
      <c r="AC23" s="15" t="s">
        <v>36</v>
      </c>
      <c r="AD23" s="14" t="s">
        <v>36</v>
      </c>
      <c r="AE23" s="15" t="s">
        <v>36</v>
      </c>
      <c r="AF23" s="14" t="s">
        <v>36</v>
      </c>
      <c r="AG23" s="15" t="s">
        <v>36</v>
      </c>
      <c r="AH23" s="14" t="s">
        <v>36</v>
      </c>
      <c r="AI23" s="15" t="s">
        <v>36</v>
      </c>
      <c r="AJ23" s="14" t="s">
        <v>36</v>
      </c>
      <c r="AK23" s="15" t="s">
        <v>36</v>
      </c>
      <c r="AL23" s="14" t="s">
        <v>36</v>
      </c>
      <c r="AM23" s="15" t="s">
        <v>36</v>
      </c>
      <c r="AN23" s="14" t="s">
        <v>36</v>
      </c>
      <c r="AO23" s="15" t="s">
        <v>36</v>
      </c>
      <c r="AP23" s="14" t="s">
        <v>36</v>
      </c>
      <c r="AQ23" s="15" t="s">
        <v>36</v>
      </c>
    </row>
    <row r="24" spans="1:43" ht="12.75">
      <c r="A24" s="16" t="s">
        <v>69</v>
      </c>
      <c r="B24" s="9">
        <f t="shared" si="9"/>
        <v>134683</v>
      </c>
      <c r="C24" s="28">
        <v>20186</v>
      </c>
      <c r="D24" s="13">
        <f>SUM(E24,G24,I24,K24,M24,O24,Q24,S24)</f>
        <v>114497</v>
      </c>
      <c r="E24" s="18">
        <f>ROUND('2001.dec. - 2002.jún. (...08) '!G23/1000,0)</f>
        <v>20914</v>
      </c>
      <c r="F24" s="9">
        <f t="shared" si="10"/>
        <v>93583</v>
      </c>
      <c r="G24" s="18">
        <f>ROUND('2001.dec. - 2002.jún. (...08) '!G31/1000,0)</f>
        <v>25698</v>
      </c>
      <c r="H24" s="9">
        <f t="shared" si="11"/>
        <v>67885</v>
      </c>
      <c r="I24" s="18">
        <f>ROUND('2001.dec. - 2002.jún. (...08) '!G39/1000,0)</f>
        <v>20383</v>
      </c>
      <c r="J24" s="23">
        <f t="shared" si="12"/>
        <v>47502</v>
      </c>
      <c r="K24" s="18">
        <f>ROUND('2001.dec. - 2002.jún. (...08) '!G47/1000,0)</f>
        <v>16754</v>
      </c>
      <c r="L24" s="23">
        <f t="shared" si="13"/>
        <v>30748</v>
      </c>
      <c r="M24" s="18">
        <f>ROUND('2001.dec. - 2002.jún. (...08) '!G55/1000,0)</f>
        <v>13124</v>
      </c>
      <c r="N24" s="35">
        <f t="shared" si="14"/>
        <v>17624</v>
      </c>
      <c r="O24" s="18">
        <f>ROUND('2001.dec. - 2002.jún. (...08) '!G63/1000,0)</f>
        <v>9524</v>
      </c>
      <c r="P24" s="9">
        <f t="shared" si="15"/>
        <v>8100</v>
      </c>
      <c r="Q24" s="10">
        <f>ROUND('2001.dec. - 2002.jún. (...08) '!G71/1000,0)</f>
        <v>5865</v>
      </c>
      <c r="R24" s="23">
        <f>S24</f>
        <v>2235</v>
      </c>
      <c r="S24" s="18">
        <f>ROUND('2001.dec. - 2002.jún. (...08) '!G78/1000,0)</f>
        <v>2235</v>
      </c>
      <c r="T24" s="25" t="s">
        <v>36</v>
      </c>
      <c r="U24" s="30" t="s">
        <v>36</v>
      </c>
      <c r="V24" s="25" t="s">
        <v>36</v>
      </c>
      <c r="W24" s="30" t="s">
        <v>36</v>
      </c>
      <c r="X24" s="14" t="s">
        <v>36</v>
      </c>
      <c r="Y24" s="30" t="s">
        <v>36</v>
      </c>
      <c r="Z24" s="14" t="s">
        <v>36</v>
      </c>
      <c r="AA24" s="15" t="s">
        <v>36</v>
      </c>
      <c r="AB24" s="14" t="s">
        <v>36</v>
      </c>
      <c r="AC24" s="15" t="s">
        <v>36</v>
      </c>
      <c r="AD24" s="14" t="s">
        <v>36</v>
      </c>
      <c r="AE24" s="15" t="s">
        <v>36</v>
      </c>
      <c r="AF24" s="14" t="s">
        <v>36</v>
      </c>
      <c r="AG24" s="15" t="s">
        <v>36</v>
      </c>
      <c r="AH24" s="14" t="s">
        <v>36</v>
      </c>
      <c r="AI24" s="15" t="s">
        <v>36</v>
      </c>
      <c r="AJ24" s="14" t="s">
        <v>36</v>
      </c>
      <c r="AK24" s="15" t="s">
        <v>36</v>
      </c>
      <c r="AL24" s="14" t="s">
        <v>36</v>
      </c>
      <c r="AM24" s="15" t="s">
        <v>36</v>
      </c>
      <c r="AN24" s="14" t="s">
        <v>36</v>
      </c>
      <c r="AO24" s="15" t="s">
        <v>36</v>
      </c>
      <c r="AP24" s="14" t="s">
        <v>36</v>
      </c>
      <c r="AQ24" s="15" t="s">
        <v>36</v>
      </c>
    </row>
    <row r="25" spans="1:44" ht="12.75">
      <c r="A25" s="16" t="s">
        <v>46</v>
      </c>
      <c r="B25" s="9">
        <f t="shared" si="9"/>
        <v>23340</v>
      </c>
      <c r="C25" s="28">
        <v>3400</v>
      </c>
      <c r="D25" s="13">
        <f>SUM(E25,G25,I25,K25,M25,O25,Q25,S25,U25)</f>
        <v>19940</v>
      </c>
      <c r="E25" s="18">
        <f>ROUND('69 db bérlakásépítés (...11)'!G23/1000,0)</f>
        <v>4346</v>
      </c>
      <c r="F25" s="9">
        <f t="shared" si="10"/>
        <v>15594</v>
      </c>
      <c r="G25" s="18">
        <f>ROUND('69 db bérlakásépítés (...11)'!G31/1000,0)</f>
        <v>4787</v>
      </c>
      <c r="H25" s="9">
        <f t="shared" si="11"/>
        <v>10807</v>
      </c>
      <c r="I25" s="18">
        <f>ROUND('69 db bérlakásépítés (...11)'!G39/1000,0)</f>
        <v>3020</v>
      </c>
      <c r="J25" s="23">
        <f t="shared" si="12"/>
        <v>7787</v>
      </c>
      <c r="K25" s="18">
        <f>ROUND('69 db bérlakásépítés (...11)'!G47/1000,0)</f>
        <v>2526</v>
      </c>
      <c r="L25" s="23">
        <f t="shared" si="13"/>
        <v>5261</v>
      </c>
      <c r="M25" s="18">
        <f>ROUND('69 db bérlakásépítés (...11)'!G55/1000,0)</f>
        <v>2032</v>
      </c>
      <c r="N25" s="35">
        <f t="shared" si="14"/>
        <v>3229</v>
      </c>
      <c r="O25" s="18">
        <f>ROUND('69 db bérlakásépítés (...11)'!G63/1000,0)</f>
        <v>1543</v>
      </c>
      <c r="P25" s="9">
        <f t="shared" si="15"/>
        <v>1686</v>
      </c>
      <c r="Q25" s="10">
        <f>ROUND('69 db bérlakásépítés (...11)'!G71/1000,0)</f>
        <v>1045</v>
      </c>
      <c r="R25" s="23">
        <f>S25+T25</f>
        <v>641</v>
      </c>
      <c r="S25" s="18">
        <f>ROUND('69 db bérlakásépítés (...11)'!G79/1000,0)</f>
        <v>551</v>
      </c>
      <c r="T25" s="23">
        <f>U25</f>
        <v>90</v>
      </c>
      <c r="U25" s="18">
        <f>ROUND('69 db bérlakásépítés (...11)'!G82/1000,0)</f>
        <v>90</v>
      </c>
      <c r="V25" s="25" t="s">
        <v>36</v>
      </c>
      <c r="W25" s="27" t="s">
        <v>36</v>
      </c>
      <c r="X25" s="24" t="s">
        <v>36</v>
      </c>
      <c r="Y25" s="30" t="s">
        <v>36</v>
      </c>
      <c r="Z25" s="14" t="s">
        <v>36</v>
      </c>
      <c r="AA25" s="15" t="s">
        <v>36</v>
      </c>
      <c r="AB25" s="14" t="s">
        <v>36</v>
      </c>
      <c r="AC25" s="15" t="s">
        <v>36</v>
      </c>
      <c r="AD25" s="14" t="s">
        <v>36</v>
      </c>
      <c r="AE25" s="15" t="s">
        <v>36</v>
      </c>
      <c r="AF25" s="14" t="s">
        <v>36</v>
      </c>
      <c r="AG25" s="15" t="s">
        <v>36</v>
      </c>
      <c r="AH25" s="14" t="s">
        <v>36</v>
      </c>
      <c r="AI25" s="15" t="s">
        <v>36</v>
      </c>
      <c r="AJ25" s="14" t="s">
        <v>36</v>
      </c>
      <c r="AK25" s="15" t="s">
        <v>36</v>
      </c>
      <c r="AL25" s="14" t="s">
        <v>36</v>
      </c>
      <c r="AM25" s="15" t="s">
        <v>36</v>
      </c>
      <c r="AN25" s="14" t="s">
        <v>36</v>
      </c>
      <c r="AO25" s="15" t="s">
        <v>36</v>
      </c>
      <c r="AP25" s="14" t="s">
        <v>36</v>
      </c>
      <c r="AQ25" s="15" t="s">
        <v>36</v>
      </c>
      <c r="AR25" s="22"/>
    </row>
    <row r="26" spans="1:43" ht="12.75">
      <c r="A26" s="16" t="s">
        <v>62</v>
      </c>
      <c r="B26" s="9">
        <v>0</v>
      </c>
      <c r="C26" s="28">
        <v>399</v>
      </c>
      <c r="D26" s="13">
        <f>SUM(E26,G26,I26,K26,M26,O26,Q26,S26,U26,W26,Y26)</f>
        <v>32369</v>
      </c>
      <c r="E26" s="18">
        <f>ROUND('59 db bérlakás (...12)'!G15/1000,0)</f>
        <v>5585</v>
      </c>
      <c r="F26" s="9">
        <f t="shared" si="10"/>
        <v>26784</v>
      </c>
      <c r="G26" s="18">
        <f>ROUND('59 db bérlakás (...12)'!G23/1000,0)</f>
        <v>6413</v>
      </c>
      <c r="H26" s="9">
        <f t="shared" si="11"/>
        <v>20371</v>
      </c>
      <c r="I26" s="18">
        <f>ROUND('59 db bérlakás (...12)'!G31/1000,0)</f>
        <v>4223</v>
      </c>
      <c r="J26" s="23">
        <f t="shared" si="12"/>
        <v>16148</v>
      </c>
      <c r="K26" s="18">
        <f>ROUND('59 db bérlakás (...12)'!G39/1000,0)</f>
        <v>3733</v>
      </c>
      <c r="L26" s="23">
        <f t="shared" si="13"/>
        <v>12415</v>
      </c>
      <c r="M26" s="18">
        <f>ROUND('59 db bérlakás (...12)'!G47/1000,0)</f>
        <v>3242</v>
      </c>
      <c r="N26" s="35">
        <f t="shared" si="14"/>
        <v>9173</v>
      </c>
      <c r="O26" s="18">
        <f>ROUND('59 db bérlakás (...12)'!G55/1000,0)</f>
        <v>2760</v>
      </c>
      <c r="P26" s="9">
        <f t="shared" si="15"/>
        <v>6413</v>
      </c>
      <c r="Q26" s="10">
        <f>ROUND('59 db bérlakás (...12)'!G63/1000,0)</f>
        <v>2262</v>
      </c>
      <c r="R26" s="23">
        <f>S26+T26</f>
        <v>4151</v>
      </c>
      <c r="S26" s="18">
        <f>ROUND('59 db bérlakás (...12)'!G71/1000,0)</f>
        <v>1772</v>
      </c>
      <c r="T26" s="23">
        <f>U26+V26</f>
        <v>2379</v>
      </c>
      <c r="U26" s="18">
        <f>ROUND('59 db bérlakás (...12)'!G79/1000,0)</f>
        <v>1282</v>
      </c>
      <c r="V26" s="38">
        <f>W26+X26</f>
        <v>1097</v>
      </c>
      <c r="W26" s="18">
        <f>ROUND('59 db bérlakás (...12)'!G87/1000,0)</f>
        <v>795</v>
      </c>
      <c r="X26" s="56">
        <f>Y26</f>
        <v>302</v>
      </c>
      <c r="Y26" s="18">
        <f>ROUND('59 db bérlakás (...12)'!G94/1000,0)</f>
        <v>302</v>
      </c>
      <c r="Z26" s="14" t="s">
        <v>36</v>
      </c>
      <c r="AA26" s="15" t="s">
        <v>36</v>
      </c>
      <c r="AB26" s="14" t="s">
        <v>36</v>
      </c>
      <c r="AC26" s="15" t="s">
        <v>36</v>
      </c>
      <c r="AD26" s="14" t="s">
        <v>36</v>
      </c>
      <c r="AE26" s="15" t="s">
        <v>36</v>
      </c>
      <c r="AF26" s="14" t="s">
        <v>36</v>
      </c>
      <c r="AG26" s="15" t="s">
        <v>36</v>
      </c>
      <c r="AH26" s="14" t="s">
        <v>36</v>
      </c>
      <c r="AI26" s="15" t="s">
        <v>36</v>
      </c>
      <c r="AJ26" s="14" t="s">
        <v>36</v>
      </c>
      <c r="AK26" s="15" t="s">
        <v>36</v>
      </c>
      <c r="AL26" s="14" t="s">
        <v>36</v>
      </c>
      <c r="AM26" s="15" t="s">
        <v>36</v>
      </c>
      <c r="AN26" s="14" t="s">
        <v>36</v>
      </c>
      <c r="AO26" s="15" t="s">
        <v>36</v>
      </c>
      <c r="AP26" s="14" t="s">
        <v>36</v>
      </c>
      <c r="AQ26" s="15" t="s">
        <v>36</v>
      </c>
    </row>
    <row r="27" spans="1:43" ht="12.75">
      <c r="A27" s="16" t="s">
        <v>77</v>
      </c>
      <c r="B27" s="9">
        <v>0</v>
      </c>
      <c r="C27" s="28">
        <v>1157</v>
      </c>
      <c r="D27" s="13">
        <f>SUM(E27,G27,I27,K27,M27,O27,Q27,S27)</f>
        <v>143858</v>
      </c>
      <c r="E27" s="18">
        <f>ROUND('2002. dec-i 305.133 eFt (...09)'!G15/1000,0)</f>
        <v>25808</v>
      </c>
      <c r="F27" s="9">
        <f t="shared" si="10"/>
        <v>118050</v>
      </c>
      <c r="G27" s="18">
        <f>ROUND('2002. dec-i 305.133 eFt (...09)'!G23/1000,0)</f>
        <v>32417</v>
      </c>
      <c r="H27" s="9">
        <f t="shared" si="11"/>
        <v>85633</v>
      </c>
      <c r="I27" s="18">
        <f>ROUND('2002. dec-i 305.133 eFt (...09)'!G31/1000,0)</f>
        <v>25713</v>
      </c>
      <c r="J27" s="23">
        <f t="shared" si="12"/>
        <v>59920</v>
      </c>
      <c r="K27" s="18">
        <f>ROUND('2002. dec-i 305.133 eFt (...09)'!G39/1000,0)</f>
        <v>21134</v>
      </c>
      <c r="L27" s="23">
        <f t="shared" si="13"/>
        <v>38786</v>
      </c>
      <c r="M27" s="28">
        <f>ROUND('2002. dec-i 305.133 eFt (...09)'!G47/1000,0)</f>
        <v>16555</v>
      </c>
      <c r="N27" s="35">
        <f t="shared" si="14"/>
        <v>22231</v>
      </c>
      <c r="O27" s="28">
        <f>ROUND('2002. dec-i 305.133 eFt (...09)'!G55/1000,0)</f>
        <v>12014</v>
      </c>
      <c r="P27" s="9">
        <f t="shared" si="15"/>
        <v>10217</v>
      </c>
      <c r="Q27" s="75">
        <f>ROUND('2002. dec-i 305.133 eFt (...09)'!G63/1000,0)</f>
        <v>7398</v>
      </c>
      <c r="R27" s="23">
        <f>S27</f>
        <v>2819</v>
      </c>
      <c r="S27" s="28">
        <f>ROUND('2002. dec-i 305.133 eFt (...09)'!G70/1000,0)</f>
        <v>2819</v>
      </c>
      <c r="T27" s="25" t="s">
        <v>36</v>
      </c>
      <c r="U27" s="30" t="s">
        <v>36</v>
      </c>
      <c r="V27" s="25" t="s">
        <v>36</v>
      </c>
      <c r="W27" s="27" t="s">
        <v>36</v>
      </c>
      <c r="X27" s="22" t="s">
        <v>36</v>
      </c>
      <c r="Y27" s="30" t="s">
        <v>36</v>
      </c>
      <c r="Z27" s="14" t="s">
        <v>36</v>
      </c>
      <c r="AA27" s="15" t="s">
        <v>36</v>
      </c>
      <c r="AB27" s="14" t="s">
        <v>36</v>
      </c>
      <c r="AC27" s="15" t="s">
        <v>36</v>
      </c>
      <c r="AD27" s="14" t="s">
        <v>36</v>
      </c>
      <c r="AE27" s="15" t="s">
        <v>36</v>
      </c>
      <c r="AF27" s="14" t="s">
        <v>36</v>
      </c>
      <c r="AG27" s="15" t="s">
        <v>36</v>
      </c>
      <c r="AH27" s="14" t="s">
        <v>36</v>
      </c>
      <c r="AI27" s="15" t="s">
        <v>36</v>
      </c>
      <c r="AJ27" s="14" t="s">
        <v>36</v>
      </c>
      <c r="AK27" s="15" t="s">
        <v>36</v>
      </c>
      <c r="AL27" s="14" t="s">
        <v>36</v>
      </c>
      <c r="AM27" s="15" t="s">
        <v>36</v>
      </c>
      <c r="AN27" s="14" t="s">
        <v>36</v>
      </c>
      <c r="AO27" s="15" t="s">
        <v>36</v>
      </c>
      <c r="AP27" s="14" t="s">
        <v>36</v>
      </c>
      <c r="AQ27" s="15" t="s">
        <v>36</v>
      </c>
    </row>
    <row r="28" spans="1:43" ht="12.75">
      <c r="A28" s="16" t="s">
        <v>91</v>
      </c>
      <c r="B28" s="9">
        <v>0</v>
      </c>
      <c r="C28" s="28">
        <v>0</v>
      </c>
      <c r="D28" s="13">
        <f>SUM(Y28,W28,U28,S28,Q28,O28,M28,K28,I28,G28,E28)</f>
        <v>414407</v>
      </c>
      <c r="E28" s="18">
        <f>ROUND('2003. okt. és dec. (...10)'!G11/1000,0)</f>
        <v>7975</v>
      </c>
      <c r="F28" s="9">
        <f>G28+H28</f>
        <v>406432</v>
      </c>
      <c r="G28" s="18">
        <f>ROUND('2003. okt. és dec. (...10)'!G20/1000,0)</f>
        <v>75667</v>
      </c>
      <c r="H28" s="9">
        <f t="shared" si="11"/>
        <v>330765</v>
      </c>
      <c r="I28" s="18">
        <f>ROUND('2003. okt. és dec. (...10)'!G28/1000,0)</f>
        <v>72375</v>
      </c>
      <c r="J28" s="23">
        <f t="shared" si="12"/>
        <v>258390</v>
      </c>
      <c r="K28" s="18">
        <f>ROUND('2003. okt. és dec. (...10)'!G36/1000,0)</f>
        <v>63457</v>
      </c>
      <c r="L28" s="23">
        <f t="shared" si="13"/>
        <v>194933</v>
      </c>
      <c r="M28" s="18">
        <f>ROUND('2003. okt. és dec. (...10)'!G44/1000,0)</f>
        <v>54539</v>
      </c>
      <c r="N28" s="35">
        <f t="shared" si="14"/>
        <v>140394</v>
      </c>
      <c r="O28" s="18">
        <f>ROUND('2003. okt. és dec. (...10)'!G52/1000,0)</f>
        <v>45756</v>
      </c>
      <c r="P28" s="9">
        <f t="shared" si="15"/>
        <v>94638</v>
      </c>
      <c r="Q28" s="10">
        <f>ROUND('2003. okt. és dec. (...10)'!G60/1000,0)</f>
        <v>36703</v>
      </c>
      <c r="R28" s="23">
        <f>S28+T28</f>
        <v>57935</v>
      </c>
      <c r="S28" s="18">
        <f>ROUND('2003. okt. és dec. (...10)'!G68/1000,0)</f>
        <v>27602</v>
      </c>
      <c r="T28" s="23">
        <f>U28+V28</f>
        <v>30333</v>
      </c>
      <c r="U28" s="18">
        <f>ROUND('2003. okt. és dec. (...10)'!G76/1000,0)</f>
        <v>18758</v>
      </c>
      <c r="V28" s="38">
        <f>W28+X28</f>
        <v>11575</v>
      </c>
      <c r="W28" s="18">
        <f>ROUND('2003. okt. és dec. (...10)'!G84/1000,0)</f>
        <v>9950</v>
      </c>
      <c r="X28" s="38">
        <f>Y28</f>
        <v>1625</v>
      </c>
      <c r="Y28" s="18">
        <f>ROUND('2003. okt. és dec. (...10)'!G87/1000,0)</f>
        <v>1625</v>
      </c>
      <c r="Z28" s="14" t="s">
        <v>36</v>
      </c>
      <c r="AA28" s="15" t="s">
        <v>36</v>
      </c>
      <c r="AB28" s="14" t="s">
        <v>36</v>
      </c>
      <c r="AC28" s="15" t="s">
        <v>36</v>
      </c>
      <c r="AD28" s="14" t="s">
        <v>36</v>
      </c>
      <c r="AE28" s="15" t="s">
        <v>36</v>
      </c>
      <c r="AF28" s="14" t="s">
        <v>36</v>
      </c>
      <c r="AG28" s="15" t="s">
        <v>36</v>
      </c>
      <c r="AH28" s="14" t="s">
        <v>36</v>
      </c>
      <c r="AI28" s="15" t="s">
        <v>36</v>
      </c>
      <c r="AJ28" s="14" t="s">
        <v>36</v>
      </c>
      <c r="AK28" s="15" t="s">
        <v>36</v>
      </c>
      <c r="AL28" s="14" t="s">
        <v>36</v>
      </c>
      <c r="AM28" s="15" t="s">
        <v>36</v>
      </c>
      <c r="AN28" s="14" t="s">
        <v>36</v>
      </c>
      <c r="AO28" s="15" t="s">
        <v>36</v>
      </c>
      <c r="AP28" s="14" t="s">
        <v>36</v>
      </c>
      <c r="AQ28" s="15" t="s">
        <v>36</v>
      </c>
    </row>
    <row r="29" spans="1:43" ht="12.75">
      <c r="A29" s="16" t="s">
        <v>150</v>
      </c>
      <c r="B29" s="9"/>
      <c r="C29" s="28"/>
      <c r="D29" s="13">
        <v>0</v>
      </c>
      <c r="E29" s="18">
        <v>0</v>
      </c>
      <c r="F29" s="9">
        <f>G29+H29</f>
        <v>432147</v>
      </c>
      <c r="G29" s="18">
        <f>ROUND('2004. szept. 718.793 eFt (..11)'!G13/1000,0)</f>
        <v>18651</v>
      </c>
      <c r="H29" s="9">
        <f>I29+J29</f>
        <v>413496</v>
      </c>
      <c r="I29" s="18">
        <f>ROUND('2004. szept. 718.793 eFt (..11)'!G19/1000,0)</f>
        <v>80297</v>
      </c>
      <c r="J29" s="9">
        <f>K29+L29</f>
        <v>333199</v>
      </c>
      <c r="K29" s="18">
        <f>ROUND('2004. szept. 718.793 eFt (..11)'!G27/1000,0)</f>
        <v>72945</v>
      </c>
      <c r="L29" s="9">
        <f>M29+N29</f>
        <v>260254</v>
      </c>
      <c r="M29" s="18">
        <f>ROUND('2004. szept. 718.793 eFt (..11)'!G35/1000,0)</f>
        <v>63957</v>
      </c>
      <c r="N29" s="9">
        <f>O29+P29</f>
        <v>196297</v>
      </c>
      <c r="O29" s="18">
        <f>ROUND('2004. szept. 718.793 eFt (..11)'!G43/1000,0)</f>
        <v>55129</v>
      </c>
      <c r="P29" s="9">
        <f>Q29+R29</f>
        <v>141168</v>
      </c>
      <c r="Q29" s="10">
        <f>ROUND('2004. szept. 718.793 eFt (..11)'!G51/1000,0)</f>
        <v>45981</v>
      </c>
      <c r="R29" s="9">
        <f>S29+T29</f>
        <v>95187</v>
      </c>
      <c r="S29" s="18">
        <f>ROUND('2004. szept. 718.793 eFt (..11)'!G59/1000,0)</f>
        <v>36734</v>
      </c>
      <c r="T29" s="9">
        <f>U29+V29</f>
        <v>58453</v>
      </c>
      <c r="U29" s="18">
        <f>ROUND('2004. szept. 718.793 eFt (..11)'!G67/1000,0)</f>
        <v>27820</v>
      </c>
      <c r="V29" s="9">
        <f>W29+X29</f>
        <v>30633</v>
      </c>
      <c r="W29" s="18">
        <f>ROUND('2004. szept. 718.793 eFt (..11)'!G75/1000,0)</f>
        <v>18967</v>
      </c>
      <c r="X29" s="9">
        <f>Y29+Z29</f>
        <v>11666</v>
      </c>
      <c r="Y29" s="18">
        <f>ROUND('2004. szept. 718.793 eFt (..11)'!G83/1000,0)</f>
        <v>10028</v>
      </c>
      <c r="Z29" s="9">
        <f>AA29</f>
        <v>1638</v>
      </c>
      <c r="AA29" s="75">
        <f>ROUND('2004. szept. 718.793 eFt (..11)'!G86/1000,0)</f>
        <v>1638</v>
      </c>
      <c r="AB29" s="14" t="s">
        <v>36</v>
      </c>
      <c r="AC29" s="15" t="s">
        <v>36</v>
      </c>
      <c r="AD29" s="14" t="s">
        <v>36</v>
      </c>
      <c r="AE29" s="15" t="s">
        <v>36</v>
      </c>
      <c r="AF29" s="14" t="s">
        <v>36</v>
      </c>
      <c r="AG29" s="15" t="s">
        <v>36</v>
      </c>
      <c r="AH29" s="14" t="s">
        <v>36</v>
      </c>
      <c r="AI29" s="15" t="s">
        <v>36</v>
      </c>
      <c r="AJ29" s="14" t="s">
        <v>36</v>
      </c>
      <c r="AK29" s="15" t="s">
        <v>36</v>
      </c>
      <c r="AL29" s="14" t="s">
        <v>36</v>
      </c>
      <c r="AM29" s="15" t="s">
        <v>36</v>
      </c>
      <c r="AN29" s="14" t="s">
        <v>36</v>
      </c>
      <c r="AO29" s="15" t="s">
        <v>36</v>
      </c>
      <c r="AP29" s="14" t="s">
        <v>36</v>
      </c>
      <c r="AQ29" s="15" t="s">
        <v>36</v>
      </c>
    </row>
    <row r="30" spans="1:43" s="55" customFormat="1" ht="13.5" thickBot="1">
      <c r="A30" s="49" t="s">
        <v>89</v>
      </c>
      <c r="B30" s="9">
        <v>0</v>
      </c>
      <c r="C30" s="53">
        <v>3</v>
      </c>
      <c r="D30" s="58">
        <f>SUM(E30,G30,I30,K30,M30,O30,Q30,S30,U30,W30,Y30,AA30,AC30,AE30,AG30,AI30,AK30,AM30,AO30,AQ30)</f>
        <v>80913</v>
      </c>
      <c r="E30" s="50">
        <f>ROUND('Kecelhegyi bérlakás (...13)'!G22/1000,0)</f>
        <v>5138</v>
      </c>
      <c r="F30" s="9">
        <f t="shared" si="10"/>
        <v>75775</v>
      </c>
      <c r="G30" s="50">
        <f>ROUND('Kecelhegyi bérlakás (...13)'!G31/1000,0)</f>
        <v>10144</v>
      </c>
      <c r="H30" s="9">
        <f t="shared" si="11"/>
        <v>65631</v>
      </c>
      <c r="I30" s="50">
        <f>ROUND('Kecelhegyi bérlakás (...13)'!G39/1000,0)</f>
        <v>7056</v>
      </c>
      <c r="J30" s="23">
        <f t="shared" si="12"/>
        <v>58575</v>
      </c>
      <c r="K30" s="50">
        <f>ROUND('Kecelhegyi bérlakás (...13)'!G47/1000,0)</f>
        <v>6655</v>
      </c>
      <c r="L30" s="23">
        <f t="shared" si="13"/>
        <v>51920</v>
      </c>
      <c r="M30" s="53">
        <f>ROUND('Kecelhegyi bérlakás (...13)'!G55/1000,0)</f>
        <v>6253</v>
      </c>
      <c r="N30" s="35">
        <f t="shared" si="14"/>
        <v>45667</v>
      </c>
      <c r="O30" s="53">
        <f>ROUND('Kecelhegyi bérlakás (...13)'!G63/1000,0)</f>
        <v>5868</v>
      </c>
      <c r="P30" s="9">
        <f t="shared" si="15"/>
        <v>39799</v>
      </c>
      <c r="Q30" s="77">
        <f>ROUND('Kecelhegyi bérlakás (...13)'!G71/1000,0)</f>
        <v>5450</v>
      </c>
      <c r="R30" s="23">
        <f>S30+T30</f>
        <v>34349</v>
      </c>
      <c r="S30" s="53">
        <f>ROUND('Kecelhegyi bérlakás (...13)'!G79/1000,0)</f>
        <v>5049</v>
      </c>
      <c r="T30" s="23">
        <f>U30+V30</f>
        <v>29300</v>
      </c>
      <c r="U30" s="50">
        <f>ROUND('Kecelhegyi bérlakás (...13)'!G87/1000,0)</f>
        <v>4648</v>
      </c>
      <c r="V30" s="38">
        <f>W30+X30</f>
        <v>24652</v>
      </c>
      <c r="W30" s="50">
        <f>ROUND('Kecelhegyi bérlakás (...13)'!G95/1000,0)</f>
        <v>4258</v>
      </c>
      <c r="X30" s="51">
        <f>SUM(Y30:Z30)</f>
        <v>20394</v>
      </c>
      <c r="Y30" s="50">
        <f>ROUND('Kecelhegyi bérlakás (...13)'!G103/1000,0)</f>
        <v>3845</v>
      </c>
      <c r="Z30" s="58">
        <f>AA30+AB30</f>
        <v>16549</v>
      </c>
      <c r="AA30" s="52">
        <f>ROUND('Kecelhegyi bérlakás (...13)'!G111/1000,0)</f>
        <v>3443</v>
      </c>
      <c r="AB30" s="58">
        <f>AC30+AD30</f>
        <v>13106</v>
      </c>
      <c r="AC30" s="52">
        <f>ROUND('Kecelhegyi bérlakás (...13)'!G119/1000,0)</f>
        <v>3042</v>
      </c>
      <c r="AD30" s="58">
        <f>AE30+AF30</f>
        <v>10064</v>
      </c>
      <c r="AE30" s="52">
        <f>ROUND('Kecelhegyi bérlakás (...13)'!G127/1000,0)</f>
        <v>2648</v>
      </c>
      <c r="AF30" s="58">
        <f>AG30+AH30</f>
        <v>7416</v>
      </c>
      <c r="AG30" s="52">
        <f>ROUND('Kecelhegyi bérlakás (...13)'!G135/1000,0)</f>
        <v>2239</v>
      </c>
      <c r="AH30" s="58">
        <f>AI30+AJ30</f>
        <v>5177</v>
      </c>
      <c r="AI30" s="52">
        <f>ROUND('Kecelhegyi bérlakás (...13)'!G143/1000,0)</f>
        <v>1838</v>
      </c>
      <c r="AJ30" s="58">
        <f>AK30+AL30</f>
        <v>3339</v>
      </c>
      <c r="AK30" s="52">
        <f>ROUND('Kecelhegyi bérlakás (...13)'!G151/1000,0)</f>
        <v>1436</v>
      </c>
      <c r="AL30" s="58">
        <f>AM30+AN30</f>
        <v>1903</v>
      </c>
      <c r="AM30" s="54">
        <f>ROUND('Kecelhegyi bérlakás (...13)'!G159/1000,0)</f>
        <v>1038</v>
      </c>
      <c r="AN30" s="58">
        <f>AO30+AP30</f>
        <v>865</v>
      </c>
      <c r="AO30" s="54">
        <f>ROUND('Kecelhegyi bérlakás (...13)'!G167/1000,0)</f>
        <v>633</v>
      </c>
      <c r="AP30" s="58">
        <f>AQ30+AR30</f>
        <v>232</v>
      </c>
      <c r="AQ30" s="54">
        <f>ROUND('Kecelhegyi bérlakás (...13)'!G174/1000,0)</f>
        <v>232</v>
      </c>
    </row>
    <row r="31" spans="1:43" ht="13.5" thickTop="1">
      <c r="A31" s="11" t="s">
        <v>68</v>
      </c>
      <c r="B31" s="12">
        <f aca="true" t="shared" si="16" ref="B31:AQ31">SUM(B19:B30)</f>
        <v>511750</v>
      </c>
      <c r="C31" s="3">
        <f t="shared" si="16"/>
        <v>94400</v>
      </c>
      <c r="D31" s="12">
        <f t="shared" si="16"/>
        <v>1090456</v>
      </c>
      <c r="E31" s="3">
        <f t="shared" si="16"/>
        <v>124416</v>
      </c>
      <c r="F31" s="12">
        <f t="shared" si="16"/>
        <v>1398187</v>
      </c>
      <c r="G31" s="3">
        <f t="shared" si="16"/>
        <v>240609</v>
      </c>
      <c r="H31" s="12">
        <f t="shared" si="16"/>
        <v>1157578</v>
      </c>
      <c r="I31" s="3">
        <f t="shared" si="16"/>
        <v>264383</v>
      </c>
      <c r="J31" s="12">
        <f t="shared" si="16"/>
        <v>893195</v>
      </c>
      <c r="K31" s="3">
        <f t="shared" si="16"/>
        <v>227362</v>
      </c>
      <c r="L31" s="12">
        <f t="shared" si="16"/>
        <v>665833</v>
      </c>
      <c r="M31" s="3">
        <f t="shared" si="16"/>
        <v>188701</v>
      </c>
      <c r="N31" s="72">
        <f t="shared" si="16"/>
        <v>477132</v>
      </c>
      <c r="O31" s="3">
        <f t="shared" si="16"/>
        <v>151359</v>
      </c>
      <c r="P31" s="12">
        <f t="shared" si="16"/>
        <v>325773</v>
      </c>
      <c r="Q31" s="2">
        <f t="shared" si="16"/>
        <v>115912</v>
      </c>
      <c r="R31" s="12">
        <f t="shared" si="16"/>
        <v>209861</v>
      </c>
      <c r="S31" s="3">
        <f t="shared" si="16"/>
        <v>83527</v>
      </c>
      <c r="T31" s="12">
        <f t="shared" si="16"/>
        <v>126334</v>
      </c>
      <c r="U31" s="3">
        <f t="shared" si="16"/>
        <v>56777</v>
      </c>
      <c r="V31" s="12">
        <f t="shared" si="16"/>
        <v>69557</v>
      </c>
      <c r="W31" s="3">
        <f t="shared" si="16"/>
        <v>35570</v>
      </c>
      <c r="X31" s="12">
        <f t="shared" si="16"/>
        <v>33987</v>
      </c>
      <c r="Y31" s="3">
        <f t="shared" si="16"/>
        <v>15800</v>
      </c>
      <c r="Z31" s="12">
        <f t="shared" si="16"/>
        <v>18187</v>
      </c>
      <c r="AA31" s="3">
        <f t="shared" si="16"/>
        <v>5081</v>
      </c>
      <c r="AB31" s="12">
        <f t="shared" si="16"/>
        <v>13106</v>
      </c>
      <c r="AC31" s="3">
        <f t="shared" si="16"/>
        <v>3042</v>
      </c>
      <c r="AD31" s="12">
        <f t="shared" si="16"/>
        <v>10064</v>
      </c>
      <c r="AE31" s="3">
        <f t="shared" si="16"/>
        <v>2648</v>
      </c>
      <c r="AF31" s="12">
        <f t="shared" si="16"/>
        <v>7416</v>
      </c>
      <c r="AG31" s="3">
        <f t="shared" si="16"/>
        <v>2239</v>
      </c>
      <c r="AH31" s="12">
        <f t="shared" si="16"/>
        <v>5177</v>
      </c>
      <c r="AI31" s="3">
        <f t="shared" si="16"/>
        <v>1838</v>
      </c>
      <c r="AJ31" s="12">
        <f t="shared" si="16"/>
        <v>3339</v>
      </c>
      <c r="AK31" s="3">
        <f t="shared" si="16"/>
        <v>1436</v>
      </c>
      <c r="AL31" s="12">
        <f t="shared" si="16"/>
        <v>1903</v>
      </c>
      <c r="AM31" s="3">
        <f t="shared" si="16"/>
        <v>1038</v>
      </c>
      <c r="AN31" s="12">
        <f t="shared" si="16"/>
        <v>865</v>
      </c>
      <c r="AO31" s="3">
        <f t="shared" si="16"/>
        <v>633</v>
      </c>
      <c r="AP31" s="12">
        <f t="shared" si="16"/>
        <v>232</v>
      </c>
      <c r="AQ31" s="3">
        <f t="shared" si="16"/>
        <v>232</v>
      </c>
    </row>
    <row r="32" spans="1:43" ht="12.75">
      <c r="A32" s="31" t="s">
        <v>44</v>
      </c>
      <c r="B32" s="63"/>
      <c r="C32" s="64"/>
      <c r="D32" s="9"/>
      <c r="E32" s="18"/>
      <c r="F32" s="9"/>
      <c r="G32" s="18"/>
      <c r="H32" s="9"/>
      <c r="I32" s="18"/>
      <c r="K32" s="18"/>
      <c r="M32" s="18"/>
      <c r="N32" s="35"/>
      <c r="O32" s="18"/>
      <c r="P32" s="9"/>
      <c r="Q32" s="10"/>
      <c r="S32" s="18"/>
      <c r="U32" s="18"/>
      <c r="W32" s="18"/>
      <c r="X32" s="23"/>
      <c r="Y32" s="18"/>
      <c r="Z32" s="9"/>
      <c r="AA32" s="10"/>
      <c r="AB32" s="9"/>
      <c r="AC32" s="10"/>
      <c r="AD32" s="9"/>
      <c r="AE32" s="10"/>
      <c r="AF32" s="9"/>
      <c r="AG32" s="10"/>
      <c r="AH32" s="9"/>
      <c r="AI32" s="10"/>
      <c r="AJ32" s="9"/>
      <c r="AK32" s="10"/>
      <c r="AL32" s="9"/>
      <c r="AM32" s="10"/>
      <c r="AN32" s="9"/>
      <c r="AO32" s="10"/>
      <c r="AP32" s="9"/>
      <c r="AQ32" s="10"/>
    </row>
    <row r="33" spans="1:43" ht="12.75">
      <c r="A33" s="6" t="s">
        <v>37</v>
      </c>
      <c r="B33" s="9">
        <f aca="true" t="shared" si="17" ref="B33:O33">B5+B19</f>
        <v>155847</v>
      </c>
      <c r="C33" s="18">
        <f t="shared" si="17"/>
        <v>49644</v>
      </c>
      <c r="D33" s="9">
        <f t="shared" si="17"/>
        <v>106203</v>
      </c>
      <c r="E33" s="18">
        <f t="shared" si="17"/>
        <v>18982</v>
      </c>
      <c r="F33" s="9">
        <f t="shared" si="17"/>
        <v>87221</v>
      </c>
      <c r="G33" s="18">
        <f t="shared" si="17"/>
        <v>20446</v>
      </c>
      <c r="H33" s="9">
        <f t="shared" si="17"/>
        <v>66775</v>
      </c>
      <c r="I33" s="18">
        <f t="shared" si="17"/>
        <v>18518</v>
      </c>
      <c r="J33" s="35">
        <f t="shared" si="17"/>
        <v>48257</v>
      </c>
      <c r="K33" s="18">
        <f t="shared" si="17"/>
        <v>17028</v>
      </c>
      <c r="L33" s="35">
        <f t="shared" si="17"/>
        <v>31229</v>
      </c>
      <c r="M33" s="18">
        <f t="shared" si="17"/>
        <v>15538</v>
      </c>
      <c r="N33" s="35">
        <f t="shared" si="17"/>
        <v>15691</v>
      </c>
      <c r="O33" s="18">
        <f t="shared" si="17"/>
        <v>15691</v>
      </c>
      <c r="P33" s="14" t="s">
        <v>36</v>
      </c>
      <c r="Q33" s="15" t="s">
        <v>36</v>
      </c>
      <c r="R33" s="57" t="s">
        <v>36</v>
      </c>
      <c r="S33" s="30" t="s">
        <v>36</v>
      </c>
      <c r="T33" s="57" t="s">
        <v>36</v>
      </c>
      <c r="U33" s="30" t="s">
        <v>36</v>
      </c>
      <c r="V33" s="57" t="s">
        <v>36</v>
      </c>
      <c r="W33" s="30" t="s">
        <v>36</v>
      </c>
      <c r="X33" s="14" t="s">
        <v>36</v>
      </c>
      <c r="Y33" s="30" t="s">
        <v>36</v>
      </c>
      <c r="Z33" s="14" t="s">
        <v>36</v>
      </c>
      <c r="AA33" s="15" t="s">
        <v>36</v>
      </c>
      <c r="AB33" s="14" t="s">
        <v>36</v>
      </c>
      <c r="AC33" s="15" t="s">
        <v>36</v>
      </c>
      <c r="AD33" s="14" t="s">
        <v>36</v>
      </c>
      <c r="AE33" s="15" t="s">
        <v>36</v>
      </c>
      <c r="AF33" s="14" t="s">
        <v>36</v>
      </c>
      <c r="AG33" s="15" t="s">
        <v>36</v>
      </c>
      <c r="AH33" s="14" t="s">
        <v>36</v>
      </c>
      <c r="AI33" s="15" t="s">
        <v>36</v>
      </c>
      <c r="AJ33" s="14" t="s">
        <v>36</v>
      </c>
      <c r="AK33" s="15" t="s">
        <v>36</v>
      </c>
      <c r="AL33" s="14" t="s">
        <v>36</v>
      </c>
      <c r="AM33" s="15" t="s">
        <v>36</v>
      </c>
      <c r="AN33" s="14" t="s">
        <v>36</v>
      </c>
      <c r="AO33" s="15" t="s">
        <v>36</v>
      </c>
      <c r="AP33" s="14" t="s">
        <v>36</v>
      </c>
      <c r="AQ33" s="15" t="s">
        <v>36</v>
      </c>
    </row>
    <row r="34" spans="1:43" ht="12.75">
      <c r="A34" s="6" t="s">
        <v>38</v>
      </c>
      <c r="B34" s="9">
        <f aca="true" t="shared" si="18" ref="B34:O34">B6+B20</f>
        <v>179071</v>
      </c>
      <c r="C34" s="18">
        <f t="shared" si="18"/>
        <v>51242</v>
      </c>
      <c r="D34" s="9">
        <f t="shared" si="18"/>
        <v>127829</v>
      </c>
      <c r="E34" s="18">
        <f t="shared" si="18"/>
        <v>23252</v>
      </c>
      <c r="F34" s="9">
        <f t="shared" si="18"/>
        <v>104577</v>
      </c>
      <c r="G34" s="18">
        <f t="shared" si="18"/>
        <v>25015</v>
      </c>
      <c r="H34" s="9">
        <f t="shared" si="18"/>
        <v>79562</v>
      </c>
      <c r="I34" s="18">
        <f t="shared" si="18"/>
        <v>22612</v>
      </c>
      <c r="J34" s="35">
        <f t="shared" si="18"/>
        <v>56950</v>
      </c>
      <c r="K34" s="18">
        <f t="shared" si="18"/>
        <v>20797</v>
      </c>
      <c r="L34" s="35">
        <f t="shared" si="18"/>
        <v>36153</v>
      </c>
      <c r="M34" s="18">
        <f t="shared" si="18"/>
        <v>18982</v>
      </c>
      <c r="N34" s="35">
        <f t="shared" si="18"/>
        <v>17171</v>
      </c>
      <c r="O34" s="18">
        <f t="shared" si="18"/>
        <v>17171</v>
      </c>
      <c r="P34" s="14" t="s">
        <v>36</v>
      </c>
      <c r="Q34" s="15" t="s">
        <v>36</v>
      </c>
      <c r="R34" s="57" t="s">
        <v>36</v>
      </c>
      <c r="S34" s="30" t="s">
        <v>36</v>
      </c>
      <c r="T34" s="57" t="s">
        <v>36</v>
      </c>
      <c r="U34" s="30" t="s">
        <v>36</v>
      </c>
      <c r="V34" s="57" t="s">
        <v>36</v>
      </c>
      <c r="W34" s="30" t="s">
        <v>36</v>
      </c>
      <c r="X34" s="14" t="s">
        <v>36</v>
      </c>
      <c r="Y34" s="30" t="s">
        <v>36</v>
      </c>
      <c r="Z34" s="14" t="s">
        <v>36</v>
      </c>
      <c r="AA34" s="15" t="s">
        <v>36</v>
      </c>
      <c r="AB34" s="14" t="s">
        <v>36</v>
      </c>
      <c r="AC34" s="15" t="s">
        <v>36</v>
      </c>
      <c r="AD34" s="14" t="s">
        <v>36</v>
      </c>
      <c r="AE34" s="15" t="s">
        <v>36</v>
      </c>
      <c r="AF34" s="14" t="s">
        <v>36</v>
      </c>
      <c r="AG34" s="15" t="s">
        <v>36</v>
      </c>
      <c r="AH34" s="14" t="s">
        <v>36</v>
      </c>
      <c r="AI34" s="15" t="s">
        <v>36</v>
      </c>
      <c r="AJ34" s="14" t="s">
        <v>36</v>
      </c>
      <c r="AK34" s="15" t="s">
        <v>36</v>
      </c>
      <c r="AL34" s="14" t="s">
        <v>36</v>
      </c>
      <c r="AM34" s="15" t="s">
        <v>36</v>
      </c>
      <c r="AN34" s="14" t="s">
        <v>36</v>
      </c>
      <c r="AO34" s="15" t="s">
        <v>36</v>
      </c>
      <c r="AP34" s="14" t="s">
        <v>36</v>
      </c>
      <c r="AQ34" s="15" t="s">
        <v>36</v>
      </c>
    </row>
    <row r="35" spans="1:43" ht="12.75">
      <c r="A35" s="16" t="s">
        <v>39</v>
      </c>
      <c r="B35" s="9">
        <f aca="true" t="shared" si="19" ref="B35:M35">B7+B21</f>
        <v>207668</v>
      </c>
      <c r="C35" s="18">
        <f t="shared" si="19"/>
        <v>80182</v>
      </c>
      <c r="D35" s="9">
        <f t="shared" si="19"/>
        <v>127486</v>
      </c>
      <c r="E35" s="18">
        <f t="shared" si="19"/>
        <v>27851</v>
      </c>
      <c r="F35" s="9">
        <f t="shared" si="19"/>
        <v>99635</v>
      </c>
      <c r="G35" s="18">
        <f t="shared" si="19"/>
        <v>28724</v>
      </c>
      <c r="H35" s="9">
        <f t="shared" si="19"/>
        <v>70911</v>
      </c>
      <c r="I35" s="18">
        <f t="shared" si="19"/>
        <v>25888</v>
      </c>
      <c r="J35" s="35">
        <f t="shared" si="19"/>
        <v>45023</v>
      </c>
      <c r="K35" s="18">
        <f t="shared" si="19"/>
        <v>23637</v>
      </c>
      <c r="L35" s="35">
        <f t="shared" si="19"/>
        <v>21386</v>
      </c>
      <c r="M35" s="18">
        <f t="shared" si="19"/>
        <v>21386</v>
      </c>
      <c r="N35" s="57" t="s">
        <v>36</v>
      </c>
      <c r="O35" s="30" t="s">
        <v>36</v>
      </c>
      <c r="P35" s="14" t="s">
        <v>36</v>
      </c>
      <c r="Q35" s="15" t="s">
        <v>36</v>
      </c>
      <c r="R35" s="57" t="s">
        <v>36</v>
      </c>
      <c r="S35" s="30" t="s">
        <v>36</v>
      </c>
      <c r="T35" s="57" t="s">
        <v>36</v>
      </c>
      <c r="U35" s="30" t="s">
        <v>36</v>
      </c>
      <c r="V35" s="57" t="s">
        <v>36</v>
      </c>
      <c r="W35" s="30" t="s">
        <v>36</v>
      </c>
      <c r="X35" s="14" t="s">
        <v>36</v>
      </c>
      <c r="Y35" s="30" t="s">
        <v>36</v>
      </c>
      <c r="Z35" s="14" t="s">
        <v>36</v>
      </c>
      <c r="AA35" s="15" t="s">
        <v>36</v>
      </c>
      <c r="AB35" s="14" t="s">
        <v>36</v>
      </c>
      <c r="AC35" s="15" t="s">
        <v>36</v>
      </c>
      <c r="AD35" s="14" t="s">
        <v>36</v>
      </c>
      <c r="AE35" s="15" t="s">
        <v>36</v>
      </c>
      <c r="AF35" s="14" t="s">
        <v>36</v>
      </c>
      <c r="AG35" s="15" t="s">
        <v>36</v>
      </c>
      <c r="AH35" s="14" t="s">
        <v>36</v>
      </c>
      <c r="AI35" s="15" t="s">
        <v>36</v>
      </c>
      <c r="AJ35" s="14" t="s">
        <v>36</v>
      </c>
      <c r="AK35" s="15" t="s">
        <v>36</v>
      </c>
      <c r="AL35" s="14" t="s">
        <v>36</v>
      </c>
      <c r="AM35" s="15" t="s">
        <v>36</v>
      </c>
      <c r="AN35" s="14" t="s">
        <v>36</v>
      </c>
      <c r="AO35" s="15" t="s">
        <v>36</v>
      </c>
      <c r="AP35" s="14" t="s">
        <v>36</v>
      </c>
      <c r="AQ35" s="15" t="s">
        <v>36</v>
      </c>
    </row>
    <row r="36" spans="1:43" ht="12.75">
      <c r="A36" s="16" t="s">
        <v>40</v>
      </c>
      <c r="B36" s="9">
        <f aca="true" t="shared" si="20" ref="B36:M36">B8+B22</f>
        <v>331095</v>
      </c>
      <c r="C36" s="18">
        <f t="shared" si="20"/>
        <v>70909</v>
      </c>
      <c r="D36" s="9">
        <f t="shared" si="20"/>
        <v>260186</v>
      </c>
      <c r="E36" s="18">
        <f t="shared" si="20"/>
        <v>41789</v>
      </c>
      <c r="F36" s="9">
        <f t="shared" si="20"/>
        <v>218397</v>
      </c>
      <c r="G36" s="18">
        <f t="shared" si="20"/>
        <v>44933</v>
      </c>
      <c r="H36" s="9">
        <f t="shared" si="20"/>
        <v>173464</v>
      </c>
      <c r="I36" s="18">
        <f t="shared" si="20"/>
        <v>40722</v>
      </c>
      <c r="J36" s="35">
        <f t="shared" si="20"/>
        <v>132742</v>
      </c>
      <c r="K36" s="18">
        <f t="shared" si="20"/>
        <v>37706</v>
      </c>
      <c r="L36" s="35">
        <f t="shared" si="20"/>
        <v>95036</v>
      </c>
      <c r="M36" s="18">
        <f t="shared" si="20"/>
        <v>34689</v>
      </c>
      <c r="N36" s="35">
        <f aca="true" t="shared" si="21" ref="N36:Q42">N8+N22</f>
        <v>60347</v>
      </c>
      <c r="O36" s="18">
        <f t="shared" si="21"/>
        <v>31690</v>
      </c>
      <c r="P36" s="9">
        <f t="shared" si="21"/>
        <v>28657</v>
      </c>
      <c r="Q36" s="10">
        <f t="shared" si="21"/>
        <v>28657</v>
      </c>
      <c r="R36" s="57" t="s">
        <v>36</v>
      </c>
      <c r="S36" s="30" t="s">
        <v>36</v>
      </c>
      <c r="T36" s="57" t="s">
        <v>36</v>
      </c>
      <c r="U36" s="30" t="s">
        <v>36</v>
      </c>
      <c r="V36" s="57" t="s">
        <v>36</v>
      </c>
      <c r="W36" s="30" t="s">
        <v>36</v>
      </c>
      <c r="X36" s="14" t="s">
        <v>36</v>
      </c>
      <c r="Y36" s="25" t="s">
        <v>36</v>
      </c>
      <c r="Z36" s="14" t="s">
        <v>36</v>
      </c>
      <c r="AA36" s="15" t="s">
        <v>36</v>
      </c>
      <c r="AB36" s="14" t="s">
        <v>36</v>
      </c>
      <c r="AC36" s="15" t="s">
        <v>36</v>
      </c>
      <c r="AD36" s="14" t="s">
        <v>36</v>
      </c>
      <c r="AE36" s="15" t="s">
        <v>36</v>
      </c>
      <c r="AF36" s="14" t="s">
        <v>36</v>
      </c>
      <c r="AG36" s="15" t="s">
        <v>36</v>
      </c>
      <c r="AH36" s="14" t="s">
        <v>36</v>
      </c>
      <c r="AI36" s="15" t="s">
        <v>36</v>
      </c>
      <c r="AJ36" s="14" t="s">
        <v>36</v>
      </c>
      <c r="AK36" s="15" t="s">
        <v>36</v>
      </c>
      <c r="AL36" s="14" t="s">
        <v>36</v>
      </c>
      <c r="AM36" s="15" t="s">
        <v>36</v>
      </c>
      <c r="AN36" s="14" t="s">
        <v>36</v>
      </c>
      <c r="AO36" s="15" t="s">
        <v>36</v>
      </c>
      <c r="AP36" s="14" t="s">
        <v>36</v>
      </c>
      <c r="AQ36" s="15" t="s">
        <v>36</v>
      </c>
    </row>
    <row r="37" spans="1:43" ht="12.75">
      <c r="A37" s="16" t="s">
        <v>41</v>
      </c>
      <c r="B37" s="9">
        <f aca="true" t="shared" si="22" ref="B37:M37">B9+B23</f>
        <v>284387</v>
      </c>
      <c r="C37" s="18">
        <f t="shared" si="22"/>
        <v>31613</v>
      </c>
      <c r="D37" s="9">
        <f t="shared" si="22"/>
        <v>324324</v>
      </c>
      <c r="E37" s="18">
        <f t="shared" si="22"/>
        <v>40872</v>
      </c>
      <c r="F37" s="9">
        <f t="shared" si="22"/>
        <v>315852</v>
      </c>
      <c r="G37" s="18">
        <f t="shared" si="22"/>
        <v>46814</v>
      </c>
      <c r="H37" s="9">
        <f t="shared" si="22"/>
        <v>269038</v>
      </c>
      <c r="I37" s="18">
        <f t="shared" si="22"/>
        <v>42676</v>
      </c>
      <c r="J37" s="35">
        <f t="shared" si="22"/>
        <v>226362</v>
      </c>
      <c r="K37" s="18">
        <f t="shared" si="22"/>
        <v>40090</v>
      </c>
      <c r="L37" s="35">
        <f t="shared" si="22"/>
        <v>186272</v>
      </c>
      <c r="M37" s="18">
        <f t="shared" si="22"/>
        <v>37504</v>
      </c>
      <c r="N37" s="35">
        <f t="shared" si="21"/>
        <v>148768</v>
      </c>
      <c r="O37" s="18">
        <f t="shared" si="21"/>
        <v>34953</v>
      </c>
      <c r="P37" s="9">
        <f t="shared" si="21"/>
        <v>113815</v>
      </c>
      <c r="Q37" s="10">
        <f t="shared" si="21"/>
        <v>32331</v>
      </c>
      <c r="R37" s="35">
        <f aca="true" t="shared" si="23" ref="R37:W37">R9+R23</f>
        <v>81484</v>
      </c>
      <c r="S37" s="18">
        <f t="shared" si="23"/>
        <v>29745</v>
      </c>
      <c r="T37" s="35">
        <f t="shared" si="23"/>
        <v>51739</v>
      </c>
      <c r="U37" s="18">
        <f t="shared" si="23"/>
        <v>27159</v>
      </c>
      <c r="V37" s="35">
        <f t="shared" si="23"/>
        <v>24580</v>
      </c>
      <c r="W37" s="18">
        <f t="shared" si="23"/>
        <v>24580</v>
      </c>
      <c r="X37" s="14" t="s">
        <v>36</v>
      </c>
      <c r="Y37" s="30" t="s">
        <v>36</v>
      </c>
      <c r="Z37" s="14" t="s">
        <v>36</v>
      </c>
      <c r="AA37" s="15" t="s">
        <v>36</v>
      </c>
      <c r="AB37" s="14" t="s">
        <v>36</v>
      </c>
      <c r="AC37" s="15" t="s">
        <v>36</v>
      </c>
      <c r="AD37" s="14" t="s">
        <v>36</v>
      </c>
      <c r="AE37" s="15" t="s">
        <v>36</v>
      </c>
      <c r="AF37" s="14" t="s">
        <v>36</v>
      </c>
      <c r="AG37" s="15" t="s">
        <v>36</v>
      </c>
      <c r="AH37" s="14" t="s">
        <v>36</v>
      </c>
      <c r="AI37" s="15" t="s">
        <v>36</v>
      </c>
      <c r="AJ37" s="14" t="s">
        <v>36</v>
      </c>
      <c r="AK37" s="15" t="s">
        <v>36</v>
      </c>
      <c r="AL37" s="14" t="s">
        <v>36</v>
      </c>
      <c r="AM37" s="15" t="s">
        <v>36</v>
      </c>
      <c r="AN37" s="14" t="s">
        <v>36</v>
      </c>
      <c r="AO37" s="15" t="s">
        <v>36</v>
      </c>
      <c r="AP37" s="14" t="s">
        <v>36</v>
      </c>
      <c r="AQ37" s="15" t="s">
        <v>36</v>
      </c>
    </row>
    <row r="38" spans="1:43" ht="12.75">
      <c r="A38" s="16" t="s">
        <v>69</v>
      </c>
      <c r="B38" s="9">
        <f aca="true" t="shared" si="24" ref="B38:M38">B10+B24</f>
        <v>273742</v>
      </c>
      <c r="C38" s="18">
        <f t="shared" si="24"/>
        <v>48852</v>
      </c>
      <c r="D38" s="9">
        <f t="shared" si="24"/>
        <v>372494</v>
      </c>
      <c r="E38" s="18">
        <f t="shared" si="24"/>
        <v>53147</v>
      </c>
      <c r="F38" s="9">
        <f t="shared" si="24"/>
        <v>319347</v>
      </c>
      <c r="G38" s="18">
        <f t="shared" si="24"/>
        <v>57950</v>
      </c>
      <c r="H38" s="9">
        <f t="shared" si="24"/>
        <v>261397</v>
      </c>
      <c r="I38" s="18">
        <f t="shared" si="24"/>
        <v>52635</v>
      </c>
      <c r="J38" s="35">
        <f t="shared" si="24"/>
        <v>208762</v>
      </c>
      <c r="K38" s="18">
        <f t="shared" si="24"/>
        <v>49006</v>
      </c>
      <c r="L38" s="35">
        <f t="shared" si="24"/>
        <v>159756</v>
      </c>
      <c r="M38" s="18">
        <f t="shared" si="24"/>
        <v>45376</v>
      </c>
      <c r="N38" s="35">
        <f t="shared" si="21"/>
        <v>114380</v>
      </c>
      <c r="O38" s="18">
        <f t="shared" si="21"/>
        <v>41776</v>
      </c>
      <c r="P38" s="9">
        <f t="shared" si="21"/>
        <v>72604</v>
      </c>
      <c r="Q38" s="10">
        <f t="shared" si="21"/>
        <v>38117</v>
      </c>
      <c r="R38" s="35">
        <f aca="true" t="shared" si="25" ref="R38:S42">R10+R24</f>
        <v>34487</v>
      </c>
      <c r="S38" s="18">
        <f t="shared" si="25"/>
        <v>34487</v>
      </c>
      <c r="T38" s="57" t="s">
        <v>36</v>
      </c>
      <c r="U38" s="30" t="s">
        <v>36</v>
      </c>
      <c r="V38" s="57" t="s">
        <v>36</v>
      </c>
      <c r="W38" s="30" t="s">
        <v>36</v>
      </c>
      <c r="X38" s="14" t="s">
        <v>36</v>
      </c>
      <c r="Y38" s="30" t="s">
        <v>36</v>
      </c>
      <c r="Z38" s="14" t="s">
        <v>36</v>
      </c>
      <c r="AA38" s="15" t="s">
        <v>36</v>
      </c>
      <c r="AB38" s="14" t="s">
        <v>36</v>
      </c>
      <c r="AC38" s="15" t="s">
        <v>36</v>
      </c>
      <c r="AD38" s="14" t="s">
        <v>36</v>
      </c>
      <c r="AE38" s="15" t="s">
        <v>36</v>
      </c>
      <c r="AF38" s="14" t="s">
        <v>36</v>
      </c>
      <c r="AG38" s="15" t="s">
        <v>36</v>
      </c>
      <c r="AH38" s="14" t="s">
        <v>36</v>
      </c>
      <c r="AI38" s="15" t="s">
        <v>36</v>
      </c>
      <c r="AJ38" s="14" t="s">
        <v>36</v>
      </c>
      <c r="AK38" s="15" t="s">
        <v>36</v>
      </c>
      <c r="AL38" s="14" t="s">
        <v>36</v>
      </c>
      <c r="AM38" s="15" t="s">
        <v>36</v>
      </c>
      <c r="AN38" s="14" t="s">
        <v>36</v>
      </c>
      <c r="AO38" s="15" t="s">
        <v>36</v>
      </c>
      <c r="AP38" s="14" t="s">
        <v>36</v>
      </c>
      <c r="AQ38" s="15" t="s">
        <v>36</v>
      </c>
    </row>
    <row r="39" spans="1:43" ht="12.75">
      <c r="A39" s="16" t="s">
        <v>46</v>
      </c>
      <c r="B39" s="9">
        <f aca="true" t="shared" si="26" ref="B39:M39">B11+B25</f>
        <v>130751</v>
      </c>
      <c r="C39" s="18">
        <f t="shared" si="26"/>
        <v>9355</v>
      </c>
      <c r="D39" s="9">
        <f t="shared" si="26"/>
        <v>121396</v>
      </c>
      <c r="E39" s="18">
        <f t="shared" si="26"/>
        <v>16282</v>
      </c>
      <c r="F39" s="9">
        <f t="shared" si="26"/>
        <v>105114</v>
      </c>
      <c r="G39" s="18">
        <f t="shared" si="26"/>
        <v>16723</v>
      </c>
      <c r="H39" s="9">
        <f t="shared" si="26"/>
        <v>88391</v>
      </c>
      <c r="I39" s="18">
        <f t="shared" si="26"/>
        <v>14956</v>
      </c>
      <c r="J39" s="35">
        <f t="shared" si="26"/>
        <v>73435</v>
      </c>
      <c r="K39" s="18">
        <f t="shared" si="26"/>
        <v>14462</v>
      </c>
      <c r="L39" s="35">
        <f t="shared" si="26"/>
        <v>58973</v>
      </c>
      <c r="M39" s="18">
        <f t="shared" si="26"/>
        <v>13968</v>
      </c>
      <c r="N39" s="35">
        <f t="shared" si="21"/>
        <v>45005</v>
      </c>
      <c r="O39" s="18">
        <f t="shared" si="21"/>
        <v>13479</v>
      </c>
      <c r="P39" s="9">
        <f t="shared" si="21"/>
        <v>31526</v>
      </c>
      <c r="Q39" s="10">
        <f t="shared" si="21"/>
        <v>12981</v>
      </c>
      <c r="R39" s="35">
        <f t="shared" si="25"/>
        <v>18545</v>
      </c>
      <c r="S39" s="18">
        <f t="shared" si="25"/>
        <v>12487</v>
      </c>
      <c r="T39" s="35">
        <f>T11+T25</f>
        <v>6058</v>
      </c>
      <c r="U39" s="18">
        <f>U11+U25</f>
        <v>6058</v>
      </c>
      <c r="V39" s="57" t="s">
        <v>36</v>
      </c>
      <c r="W39" s="27" t="s">
        <v>36</v>
      </c>
      <c r="X39" s="14" t="s">
        <v>36</v>
      </c>
      <c r="Y39" s="30" t="s">
        <v>36</v>
      </c>
      <c r="Z39" s="14" t="s">
        <v>36</v>
      </c>
      <c r="AA39" s="15" t="s">
        <v>36</v>
      </c>
      <c r="AB39" s="14" t="s">
        <v>36</v>
      </c>
      <c r="AC39" s="15" t="s">
        <v>36</v>
      </c>
      <c r="AD39" s="14" t="s">
        <v>36</v>
      </c>
      <c r="AE39" s="15" t="s">
        <v>36</v>
      </c>
      <c r="AF39" s="14" t="s">
        <v>36</v>
      </c>
      <c r="AG39" s="15" t="s">
        <v>36</v>
      </c>
      <c r="AH39" s="14" t="s">
        <v>36</v>
      </c>
      <c r="AI39" s="15" t="s">
        <v>36</v>
      </c>
      <c r="AJ39" s="14" t="s">
        <v>36</v>
      </c>
      <c r="AK39" s="15" t="s">
        <v>36</v>
      </c>
      <c r="AL39" s="14" t="s">
        <v>36</v>
      </c>
      <c r="AM39" s="15" t="s">
        <v>36</v>
      </c>
      <c r="AN39" s="14" t="s">
        <v>36</v>
      </c>
      <c r="AO39" s="15" t="s">
        <v>36</v>
      </c>
      <c r="AP39" s="14" t="s">
        <v>36</v>
      </c>
      <c r="AQ39" s="15" t="s">
        <v>36</v>
      </c>
    </row>
    <row r="40" spans="1:45" ht="12.75">
      <c r="A40" s="16" t="s">
        <v>62</v>
      </c>
      <c r="B40" s="9">
        <f aca="true" t="shared" si="27" ref="B40:M40">B12+B26</f>
        <v>0</v>
      </c>
      <c r="C40" s="18">
        <f t="shared" si="27"/>
        <v>399</v>
      </c>
      <c r="D40" s="9">
        <f t="shared" si="27"/>
        <v>156781</v>
      </c>
      <c r="E40" s="18">
        <f t="shared" si="27"/>
        <v>11517</v>
      </c>
      <c r="F40" s="9">
        <f t="shared" si="27"/>
        <v>145264</v>
      </c>
      <c r="G40" s="18">
        <f t="shared" si="27"/>
        <v>18261</v>
      </c>
      <c r="H40" s="9">
        <f t="shared" si="27"/>
        <v>127003</v>
      </c>
      <c r="I40" s="18">
        <f t="shared" si="27"/>
        <v>16071</v>
      </c>
      <c r="J40" s="35">
        <f t="shared" si="27"/>
        <v>110932</v>
      </c>
      <c r="K40" s="18">
        <f t="shared" si="27"/>
        <v>15581</v>
      </c>
      <c r="L40" s="35">
        <f t="shared" si="27"/>
        <v>95351</v>
      </c>
      <c r="M40" s="18">
        <f t="shared" si="27"/>
        <v>15090</v>
      </c>
      <c r="N40" s="35">
        <f t="shared" si="21"/>
        <v>80261</v>
      </c>
      <c r="O40" s="18">
        <f t="shared" si="21"/>
        <v>14608</v>
      </c>
      <c r="P40" s="9">
        <f t="shared" si="21"/>
        <v>65653</v>
      </c>
      <c r="Q40" s="10">
        <f t="shared" si="21"/>
        <v>14110</v>
      </c>
      <c r="R40" s="35">
        <f t="shared" si="25"/>
        <v>51543</v>
      </c>
      <c r="S40" s="18">
        <f t="shared" si="25"/>
        <v>13620</v>
      </c>
      <c r="T40" s="35">
        <f>T12+T26</f>
        <v>37923</v>
      </c>
      <c r="U40" s="18">
        <f>U12+U26</f>
        <v>13130</v>
      </c>
      <c r="V40" s="35">
        <f>V12+V26</f>
        <v>24793</v>
      </c>
      <c r="W40" s="18">
        <f>W12+W26</f>
        <v>12643</v>
      </c>
      <c r="X40" s="9">
        <f>X12+X26</f>
        <v>12150</v>
      </c>
      <c r="Y40" s="18">
        <f>Y12+Y26</f>
        <v>12150</v>
      </c>
      <c r="Z40" s="14" t="s">
        <v>36</v>
      </c>
      <c r="AA40" s="15" t="s">
        <v>36</v>
      </c>
      <c r="AB40" s="14" t="s">
        <v>36</v>
      </c>
      <c r="AC40" s="15" t="s">
        <v>36</v>
      </c>
      <c r="AD40" s="14" t="s">
        <v>36</v>
      </c>
      <c r="AE40" s="15" t="s">
        <v>36</v>
      </c>
      <c r="AF40" s="14" t="s">
        <v>36</v>
      </c>
      <c r="AG40" s="15" t="s">
        <v>36</v>
      </c>
      <c r="AH40" s="14" t="s">
        <v>36</v>
      </c>
      <c r="AI40" s="15" t="s">
        <v>36</v>
      </c>
      <c r="AJ40" s="14" t="s">
        <v>36</v>
      </c>
      <c r="AK40" s="15" t="s">
        <v>36</v>
      </c>
      <c r="AL40" s="14" t="s">
        <v>36</v>
      </c>
      <c r="AM40" s="15" t="s">
        <v>36</v>
      </c>
      <c r="AN40" s="14" t="s">
        <v>36</v>
      </c>
      <c r="AO40" s="15" t="s">
        <v>36</v>
      </c>
      <c r="AP40" s="14" t="s">
        <v>36</v>
      </c>
      <c r="AQ40" s="15" t="s">
        <v>36</v>
      </c>
      <c r="AR40" s="22"/>
      <c r="AS40" s="22"/>
    </row>
    <row r="41" spans="1:43" ht="12.75">
      <c r="A41" s="16" t="s">
        <v>77</v>
      </c>
      <c r="B41" s="9">
        <f aca="true" t="shared" si="28" ref="B41:M41">B13+B27</f>
        <v>0</v>
      </c>
      <c r="C41" s="18">
        <f t="shared" si="28"/>
        <v>1157</v>
      </c>
      <c r="D41" s="9">
        <f t="shared" si="28"/>
        <v>448991</v>
      </c>
      <c r="E41" s="18">
        <f t="shared" si="28"/>
        <v>46153</v>
      </c>
      <c r="F41" s="9">
        <f t="shared" si="28"/>
        <v>402838</v>
      </c>
      <c r="G41" s="18">
        <f t="shared" si="28"/>
        <v>73101</v>
      </c>
      <c r="H41" s="9">
        <f t="shared" si="28"/>
        <v>329737</v>
      </c>
      <c r="I41" s="18">
        <f t="shared" si="28"/>
        <v>66397</v>
      </c>
      <c r="J41" s="35">
        <f t="shared" si="28"/>
        <v>263340</v>
      </c>
      <c r="K41" s="18">
        <f t="shared" si="28"/>
        <v>61818</v>
      </c>
      <c r="L41" s="35">
        <f t="shared" si="28"/>
        <v>201522</v>
      </c>
      <c r="M41" s="18">
        <f t="shared" si="28"/>
        <v>57239</v>
      </c>
      <c r="N41" s="35">
        <f t="shared" si="21"/>
        <v>144283</v>
      </c>
      <c r="O41" s="18">
        <f t="shared" si="21"/>
        <v>52698</v>
      </c>
      <c r="P41" s="9">
        <f t="shared" si="21"/>
        <v>91585</v>
      </c>
      <c r="Q41" s="10">
        <f t="shared" si="21"/>
        <v>48082</v>
      </c>
      <c r="R41" s="35">
        <f t="shared" si="25"/>
        <v>43503</v>
      </c>
      <c r="S41" s="18">
        <f t="shared" si="25"/>
        <v>43503</v>
      </c>
      <c r="T41" s="57" t="s">
        <v>36</v>
      </c>
      <c r="U41" s="27" t="s">
        <v>36</v>
      </c>
      <c r="V41" s="57" t="s">
        <v>36</v>
      </c>
      <c r="W41" s="27" t="s">
        <v>36</v>
      </c>
      <c r="X41" s="14" t="s">
        <v>36</v>
      </c>
      <c r="Y41" s="30" t="s">
        <v>36</v>
      </c>
      <c r="Z41" s="14" t="s">
        <v>36</v>
      </c>
      <c r="AA41" s="15" t="s">
        <v>36</v>
      </c>
      <c r="AB41" s="14" t="s">
        <v>36</v>
      </c>
      <c r="AC41" s="15" t="s">
        <v>36</v>
      </c>
      <c r="AD41" s="14" t="s">
        <v>36</v>
      </c>
      <c r="AE41" s="15" t="s">
        <v>36</v>
      </c>
      <c r="AF41" s="14" t="s">
        <v>36</v>
      </c>
      <c r="AG41" s="15" t="s">
        <v>36</v>
      </c>
      <c r="AH41" s="14" t="s">
        <v>36</v>
      </c>
      <c r="AI41" s="15" t="s">
        <v>36</v>
      </c>
      <c r="AJ41" s="14" t="s">
        <v>36</v>
      </c>
      <c r="AK41" s="15" t="s">
        <v>36</v>
      </c>
      <c r="AL41" s="14" t="s">
        <v>36</v>
      </c>
      <c r="AM41" s="15" t="s">
        <v>36</v>
      </c>
      <c r="AN41" s="14" t="s">
        <v>36</v>
      </c>
      <c r="AO41" s="15" t="s">
        <v>36</v>
      </c>
      <c r="AP41" s="14" t="s">
        <v>36</v>
      </c>
      <c r="AQ41" s="15" t="s">
        <v>36</v>
      </c>
    </row>
    <row r="42" spans="1:43" ht="12.75">
      <c r="A42" s="16" t="s">
        <v>91</v>
      </c>
      <c r="B42" s="9">
        <f aca="true" t="shared" si="29" ref="B42:M42">B14+B28</f>
        <v>0</v>
      </c>
      <c r="C42" s="18">
        <f t="shared" si="29"/>
        <v>0</v>
      </c>
      <c r="D42" s="9">
        <f t="shared" si="29"/>
        <v>414407</v>
      </c>
      <c r="E42" s="18">
        <f t="shared" si="29"/>
        <v>7975</v>
      </c>
      <c r="F42" s="9">
        <f t="shared" si="29"/>
        <v>1087471</v>
      </c>
      <c r="G42" s="18">
        <f t="shared" si="29"/>
        <v>95477</v>
      </c>
      <c r="H42" s="9">
        <f t="shared" si="29"/>
        <v>1024126</v>
      </c>
      <c r="I42" s="18">
        <f t="shared" si="29"/>
        <v>151615</v>
      </c>
      <c r="J42" s="35">
        <f t="shared" si="29"/>
        <v>872511</v>
      </c>
      <c r="K42" s="18">
        <f t="shared" si="29"/>
        <v>142697</v>
      </c>
      <c r="L42" s="35">
        <f t="shared" si="29"/>
        <v>729814</v>
      </c>
      <c r="M42" s="18">
        <f t="shared" si="29"/>
        <v>133779</v>
      </c>
      <c r="N42" s="35">
        <f t="shared" si="21"/>
        <v>596035</v>
      </c>
      <c r="O42" s="18">
        <f t="shared" si="21"/>
        <v>124996</v>
      </c>
      <c r="P42" s="9">
        <f t="shared" si="21"/>
        <v>471039</v>
      </c>
      <c r="Q42" s="10">
        <f t="shared" si="21"/>
        <v>115943</v>
      </c>
      <c r="R42" s="35">
        <f t="shared" si="25"/>
        <v>355096</v>
      </c>
      <c r="S42" s="18">
        <f t="shared" si="25"/>
        <v>106842</v>
      </c>
      <c r="T42" s="35">
        <f aca="true" t="shared" si="30" ref="T42:Y42">T14+T28</f>
        <v>248254</v>
      </c>
      <c r="U42" s="18">
        <f t="shared" si="30"/>
        <v>97998</v>
      </c>
      <c r="V42" s="35">
        <f t="shared" si="30"/>
        <v>150256</v>
      </c>
      <c r="W42" s="18">
        <f t="shared" si="30"/>
        <v>89190</v>
      </c>
      <c r="X42" s="35">
        <f t="shared" si="30"/>
        <v>61066</v>
      </c>
      <c r="Y42" s="18">
        <f t="shared" si="30"/>
        <v>61066</v>
      </c>
      <c r="Z42" s="14" t="s">
        <v>36</v>
      </c>
      <c r="AA42" s="15" t="s">
        <v>36</v>
      </c>
      <c r="AB42" s="14" t="s">
        <v>36</v>
      </c>
      <c r="AC42" s="15" t="s">
        <v>36</v>
      </c>
      <c r="AD42" s="14" t="s">
        <v>36</v>
      </c>
      <c r="AE42" s="15" t="s">
        <v>36</v>
      </c>
      <c r="AF42" s="14" t="s">
        <v>36</v>
      </c>
      <c r="AG42" s="15" t="s">
        <v>36</v>
      </c>
      <c r="AH42" s="14" t="s">
        <v>36</v>
      </c>
      <c r="AI42" s="15" t="s">
        <v>36</v>
      </c>
      <c r="AJ42" s="14" t="s">
        <v>36</v>
      </c>
      <c r="AK42" s="15" t="s">
        <v>36</v>
      </c>
      <c r="AL42" s="14" t="s">
        <v>36</v>
      </c>
      <c r="AM42" s="15" t="s">
        <v>36</v>
      </c>
      <c r="AN42" s="14" t="s">
        <v>36</v>
      </c>
      <c r="AO42" s="15" t="s">
        <v>36</v>
      </c>
      <c r="AP42" s="14" t="s">
        <v>36</v>
      </c>
      <c r="AQ42" s="15" t="s">
        <v>36</v>
      </c>
    </row>
    <row r="43" spans="1:43" ht="12.75">
      <c r="A43" s="16" t="s">
        <v>150</v>
      </c>
      <c r="B43" s="9"/>
      <c r="C43" s="18"/>
      <c r="D43" s="13">
        <f>D15+D29</f>
        <v>0</v>
      </c>
      <c r="E43" s="18">
        <f>E15+E29</f>
        <v>0</v>
      </c>
      <c r="F43" s="13">
        <f aca="true" t="shared" si="31" ref="F43:AA43">F15+F29</f>
        <v>432147</v>
      </c>
      <c r="G43" s="18">
        <f t="shared" si="31"/>
        <v>18651</v>
      </c>
      <c r="H43" s="13">
        <f t="shared" si="31"/>
        <v>1132289</v>
      </c>
      <c r="I43" s="18">
        <f t="shared" si="31"/>
        <v>120246</v>
      </c>
      <c r="J43" s="13">
        <f t="shared" si="31"/>
        <v>1012043</v>
      </c>
      <c r="K43" s="18">
        <f t="shared" si="31"/>
        <v>152809</v>
      </c>
      <c r="L43" s="13">
        <f t="shared" si="31"/>
        <v>859234</v>
      </c>
      <c r="M43" s="18">
        <f t="shared" si="31"/>
        <v>143821</v>
      </c>
      <c r="N43" s="13">
        <f t="shared" si="31"/>
        <v>715413</v>
      </c>
      <c r="O43" s="18">
        <f t="shared" si="31"/>
        <v>134993</v>
      </c>
      <c r="P43" s="13">
        <f t="shared" si="31"/>
        <v>580420</v>
      </c>
      <c r="Q43" s="18">
        <f t="shared" si="31"/>
        <v>125845</v>
      </c>
      <c r="R43" s="13">
        <f t="shared" si="31"/>
        <v>454575</v>
      </c>
      <c r="S43" s="18">
        <f t="shared" si="31"/>
        <v>116598</v>
      </c>
      <c r="T43" s="13">
        <f t="shared" si="31"/>
        <v>337977</v>
      </c>
      <c r="U43" s="18">
        <f t="shared" si="31"/>
        <v>107684</v>
      </c>
      <c r="V43" s="13">
        <f t="shared" si="31"/>
        <v>230293</v>
      </c>
      <c r="W43" s="18">
        <f t="shared" si="31"/>
        <v>98831</v>
      </c>
      <c r="X43" s="13">
        <f t="shared" si="31"/>
        <v>131462</v>
      </c>
      <c r="Y43" s="18">
        <f t="shared" si="31"/>
        <v>89892</v>
      </c>
      <c r="Z43" s="13">
        <f t="shared" si="31"/>
        <v>41570</v>
      </c>
      <c r="AA43" s="18">
        <f t="shared" si="31"/>
        <v>41570</v>
      </c>
      <c r="AB43" s="14" t="s">
        <v>36</v>
      </c>
      <c r="AC43" s="15" t="s">
        <v>36</v>
      </c>
      <c r="AD43" s="14" t="s">
        <v>36</v>
      </c>
      <c r="AE43" s="15" t="s">
        <v>36</v>
      </c>
      <c r="AF43" s="14" t="s">
        <v>36</v>
      </c>
      <c r="AG43" s="15" t="s">
        <v>36</v>
      </c>
      <c r="AH43" s="14" t="s">
        <v>36</v>
      </c>
      <c r="AI43" s="15" t="s">
        <v>36</v>
      </c>
      <c r="AJ43" s="14" t="s">
        <v>36</v>
      </c>
      <c r="AK43" s="15" t="s">
        <v>36</v>
      </c>
      <c r="AL43" s="14" t="s">
        <v>36</v>
      </c>
      <c r="AM43" s="15" t="s">
        <v>36</v>
      </c>
      <c r="AN43" s="14" t="s">
        <v>36</v>
      </c>
      <c r="AO43" s="15" t="s">
        <v>36</v>
      </c>
      <c r="AP43" s="14" t="s">
        <v>36</v>
      </c>
      <c r="AQ43" s="15" t="s">
        <v>36</v>
      </c>
    </row>
    <row r="44" spans="1:43" ht="13.5" thickBot="1">
      <c r="A44" s="16" t="s">
        <v>78</v>
      </c>
      <c r="B44" s="9">
        <f aca="true" t="shared" si="32" ref="B44:Q44">B16+B30</f>
        <v>0</v>
      </c>
      <c r="C44" s="18">
        <f t="shared" si="32"/>
        <v>3</v>
      </c>
      <c r="D44" s="9">
        <f t="shared" si="32"/>
        <v>93412</v>
      </c>
      <c r="E44" s="18">
        <f t="shared" si="32"/>
        <v>7774</v>
      </c>
      <c r="F44" s="9">
        <f t="shared" si="32"/>
        <v>260214</v>
      </c>
      <c r="G44" s="18">
        <f t="shared" si="32"/>
        <v>19911</v>
      </c>
      <c r="H44" s="9">
        <f t="shared" si="32"/>
        <v>240303</v>
      </c>
      <c r="I44" s="18">
        <f t="shared" si="32"/>
        <v>16760</v>
      </c>
      <c r="J44" s="35">
        <f t="shared" si="32"/>
        <v>223543</v>
      </c>
      <c r="K44" s="18">
        <f t="shared" si="32"/>
        <v>16359</v>
      </c>
      <c r="L44" s="35">
        <f t="shared" si="32"/>
        <v>207184</v>
      </c>
      <c r="M44" s="18">
        <f t="shared" si="32"/>
        <v>15957</v>
      </c>
      <c r="N44" s="35">
        <f t="shared" si="32"/>
        <v>191227</v>
      </c>
      <c r="O44" s="18">
        <f t="shared" si="32"/>
        <v>15572</v>
      </c>
      <c r="P44" s="9">
        <f t="shared" si="32"/>
        <v>175655</v>
      </c>
      <c r="Q44" s="10">
        <f t="shared" si="32"/>
        <v>15154</v>
      </c>
      <c r="R44" s="35">
        <f>R16+R30</f>
        <v>160501</v>
      </c>
      <c r="S44" s="18">
        <f>S16+S30</f>
        <v>14753</v>
      </c>
      <c r="T44" s="35">
        <f aca="true" t="shared" si="33" ref="T44:Y44">T16+T30</f>
        <v>145748</v>
      </c>
      <c r="U44" s="19">
        <f t="shared" si="33"/>
        <v>14352</v>
      </c>
      <c r="V44" s="35">
        <f t="shared" si="33"/>
        <v>131396</v>
      </c>
      <c r="W44" s="19">
        <f t="shared" si="33"/>
        <v>13962</v>
      </c>
      <c r="X44" s="35">
        <f t="shared" si="33"/>
        <v>117434</v>
      </c>
      <c r="Y44" s="18">
        <f t="shared" si="33"/>
        <v>13549</v>
      </c>
      <c r="Z44" s="9">
        <f aca="true" t="shared" si="34" ref="Z44:AG44">Z16+Z30</f>
        <v>103885</v>
      </c>
      <c r="AA44" s="10">
        <f t="shared" si="34"/>
        <v>13147</v>
      </c>
      <c r="AB44" s="9">
        <f t="shared" si="34"/>
        <v>90738</v>
      </c>
      <c r="AC44" s="10">
        <f t="shared" si="34"/>
        <v>12746</v>
      </c>
      <c r="AD44" s="9">
        <f t="shared" si="34"/>
        <v>77992</v>
      </c>
      <c r="AE44" s="10">
        <f t="shared" si="34"/>
        <v>12352</v>
      </c>
      <c r="AF44" s="9">
        <f t="shared" si="34"/>
        <v>65640</v>
      </c>
      <c r="AG44" s="10">
        <f t="shared" si="34"/>
        <v>11943</v>
      </c>
      <c r="AH44" s="9">
        <f aca="true" t="shared" si="35" ref="AH44:AQ44">AH16+AH30</f>
        <v>53697</v>
      </c>
      <c r="AI44" s="10">
        <f t="shared" si="35"/>
        <v>11542</v>
      </c>
      <c r="AJ44" s="9">
        <f t="shared" si="35"/>
        <v>42155</v>
      </c>
      <c r="AK44" s="10">
        <f t="shared" si="35"/>
        <v>11140</v>
      </c>
      <c r="AL44" s="9">
        <f t="shared" si="35"/>
        <v>31015</v>
      </c>
      <c r="AM44" s="10">
        <f t="shared" si="35"/>
        <v>10742</v>
      </c>
      <c r="AN44" s="9">
        <f t="shared" si="35"/>
        <v>20273</v>
      </c>
      <c r="AO44" s="10">
        <f t="shared" si="35"/>
        <v>10337</v>
      </c>
      <c r="AP44" s="9">
        <f t="shared" si="35"/>
        <v>9936</v>
      </c>
      <c r="AQ44" s="10">
        <f t="shared" si="35"/>
        <v>9936</v>
      </c>
    </row>
    <row r="45" spans="1:43" ht="13.5" thickTop="1">
      <c r="A45" s="11" t="s">
        <v>45</v>
      </c>
      <c r="B45" s="40">
        <f>SUM(B33:B44)</f>
        <v>1562561</v>
      </c>
      <c r="C45" s="3">
        <f>SUM(C33:C44)</f>
        <v>343356</v>
      </c>
      <c r="D45" s="40">
        <f>D17+D31</f>
        <v>2553509</v>
      </c>
      <c r="E45" s="3">
        <f aca="true" t="shared" si="36" ref="E45:O45">SUM(E33:E44)</f>
        <v>295594</v>
      </c>
      <c r="F45" s="12">
        <f t="shared" si="36"/>
        <v>3578077</v>
      </c>
      <c r="G45" s="3">
        <f t="shared" si="36"/>
        <v>466006</v>
      </c>
      <c r="H45" s="12">
        <f t="shared" si="36"/>
        <v>3862996</v>
      </c>
      <c r="I45" s="3">
        <f t="shared" si="36"/>
        <v>589096</v>
      </c>
      <c r="J45" s="34">
        <f t="shared" si="36"/>
        <v>3273900</v>
      </c>
      <c r="K45" s="3">
        <f t="shared" si="36"/>
        <v>591990</v>
      </c>
      <c r="L45" s="34">
        <f t="shared" si="36"/>
        <v>2681910</v>
      </c>
      <c r="M45" s="3">
        <f t="shared" si="36"/>
        <v>553329</v>
      </c>
      <c r="N45" s="72">
        <f t="shared" si="36"/>
        <v>2128581</v>
      </c>
      <c r="O45" s="3">
        <f t="shared" si="36"/>
        <v>497627</v>
      </c>
      <c r="P45" s="12">
        <f>SUM(P36:P44)</f>
        <v>1630954</v>
      </c>
      <c r="Q45" s="2">
        <f>SUM(Q33:Q44)</f>
        <v>431220</v>
      </c>
      <c r="R45" s="34">
        <f>SUM(R37:R44)</f>
        <v>1199734</v>
      </c>
      <c r="S45" s="3">
        <f aca="true" t="shared" si="37" ref="S45:Y45">SUM(S33:S44)</f>
        <v>372035</v>
      </c>
      <c r="T45" s="34">
        <f t="shared" si="37"/>
        <v>827699</v>
      </c>
      <c r="U45" s="3">
        <f t="shared" si="37"/>
        <v>266381</v>
      </c>
      <c r="V45" s="34">
        <f t="shared" si="37"/>
        <v>561318</v>
      </c>
      <c r="W45" s="3">
        <f t="shared" si="37"/>
        <v>239206</v>
      </c>
      <c r="X45" s="34">
        <f t="shared" si="37"/>
        <v>322112</v>
      </c>
      <c r="Y45" s="3">
        <f t="shared" si="37"/>
        <v>176657</v>
      </c>
      <c r="Z45" s="12">
        <f>SUM(Z44)</f>
        <v>103885</v>
      </c>
      <c r="AA45" s="2">
        <f>SUM(AA33:AA44)</f>
        <v>54717</v>
      </c>
      <c r="AB45" s="12">
        <f>SUM(AB44)</f>
        <v>90738</v>
      </c>
      <c r="AC45" s="2">
        <f>SUM(AC33:AC44)</f>
        <v>12746</v>
      </c>
      <c r="AD45" s="12">
        <f>SUM(AD44)</f>
        <v>77992</v>
      </c>
      <c r="AE45" s="2">
        <f>SUM(AE33:AE44)</f>
        <v>12352</v>
      </c>
      <c r="AF45" s="12">
        <f>SUM(AF44)</f>
        <v>65640</v>
      </c>
      <c r="AG45" s="2">
        <f>SUM(AG33:AG44)</f>
        <v>11943</v>
      </c>
      <c r="AH45" s="12">
        <f>SUM(AH44)</f>
        <v>53697</v>
      </c>
      <c r="AI45" s="2">
        <f>SUM(AI33:AI44)</f>
        <v>11542</v>
      </c>
      <c r="AJ45" s="12">
        <f>SUM(AJ44)</f>
        <v>42155</v>
      </c>
      <c r="AK45" s="2">
        <f>SUM(AK33:AK44)</f>
        <v>11140</v>
      </c>
      <c r="AL45" s="12">
        <f>SUM(AL44)</f>
        <v>31015</v>
      </c>
      <c r="AM45" s="2">
        <f>SUM(AM33:AM44)</f>
        <v>10742</v>
      </c>
      <c r="AN45" s="12">
        <f>SUM(AN44)</f>
        <v>20273</v>
      </c>
      <c r="AO45" s="2">
        <f>SUM(AO33:AO44)</f>
        <v>10337</v>
      </c>
      <c r="AP45" s="12">
        <f>SUM(AP44)</f>
        <v>9936</v>
      </c>
      <c r="AQ45" s="2">
        <f>SUM(AQ33:AQ44)</f>
        <v>9936</v>
      </c>
    </row>
    <row r="47" spans="2:22" s="78" customFormat="1" ht="12">
      <c r="B47" s="78" t="s">
        <v>81</v>
      </c>
      <c r="C47" s="79" t="s">
        <v>103</v>
      </c>
      <c r="F47" s="162" t="s">
        <v>81</v>
      </c>
      <c r="G47" s="79" t="s">
        <v>103</v>
      </c>
      <c r="H47" s="80"/>
      <c r="I47" s="80"/>
      <c r="J47" s="81"/>
      <c r="K47" s="82"/>
      <c r="L47" s="78" t="s">
        <v>93</v>
      </c>
      <c r="N47" s="82"/>
      <c r="P47" s="82"/>
      <c r="R47" s="82"/>
      <c r="T47" s="82"/>
      <c r="V47" s="82"/>
    </row>
    <row r="48" spans="3:22" s="78" customFormat="1" ht="12">
      <c r="C48" s="83" t="s">
        <v>104</v>
      </c>
      <c r="G48" s="83" t="s">
        <v>104</v>
      </c>
      <c r="H48" s="80"/>
      <c r="I48" s="81"/>
      <c r="J48" s="82"/>
      <c r="N48" s="82"/>
      <c r="P48" s="82"/>
      <c r="R48" s="82"/>
      <c r="T48" s="82"/>
      <c r="V48" s="82"/>
    </row>
    <row r="49" spans="3:22" s="78" customFormat="1" ht="12">
      <c r="C49" s="83"/>
      <c r="G49" s="83" t="s">
        <v>105</v>
      </c>
      <c r="H49" s="80"/>
      <c r="I49" s="81"/>
      <c r="J49" s="82"/>
      <c r="L49" s="78" t="s">
        <v>99</v>
      </c>
      <c r="N49" s="82"/>
      <c r="P49" s="82"/>
      <c r="R49" s="82"/>
      <c r="T49" s="82"/>
      <c r="V49" s="82"/>
    </row>
    <row r="50" spans="3:22" s="78" customFormat="1" ht="12">
      <c r="C50" s="83" t="s">
        <v>151</v>
      </c>
      <c r="G50" s="81" t="s">
        <v>101</v>
      </c>
      <c r="H50" s="82"/>
      <c r="J50" s="82"/>
      <c r="L50" s="81" t="s">
        <v>102</v>
      </c>
      <c r="N50" s="82"/>
      <c r="P50" s="82"/>
      <c r="R50" s="82"/>
      <c r="T50" s="82"/>
      <c r="V50" s="82"/>
    </row>
    <row r="51" spans="3:22" s="78" customFormat="1" ht="12">
      <c r="C51" s="83"/>
      <c r="G51" s="81" t="s">
        <v>149</v>
      </c>
      <c r="H51" s="80"/>
      <c r="I51" s="165"/>
      <c r="J51" s="81"/>
      <c r="K51" s="166"/>
      <c r="L51" s="81" t="s">
        <v>148</v>
      </c>
      <c r="N51" s="82"/>
      <c r="P51" s="82"/>
      <c r="R51" s="82"/>
      <c r="T51" s="82"/>
      <c r="V51" s="82"/>
    </row>
    <row r="52" spans="3:22" s="78" customFormat="1" ht="12">
      <c r="C52" s="78" t="s">
        <v>88</v>
      </c>
      <c r="G52" s="83" t="s">
        <v>106</v>
      </c>
      <c r="H52" s="80"/>
      <c r="I52" s="81"/>
      <c r="J52" s="82"/>
      <c r="L52" s="82" t="s">
        <v>96</v>
      </c>
      <c r="N52" s="82"/>
      <c r="P52" s="82"/>
      <c r="Q52" s="81"/>
      <c r="R52" s="81"/>
      <c r="S52" s="165"/>
      <c r="T52" s="81"/>
      <c r="U52" s="81"/>
      <c r="V52" s="82"/>
    </row>
    <row r="53" spans="6:22" s="78" customFormat="1" ht="12">
      <c r="F53" s="80"/>
      <c r="G53" s="78" t="s">
        <v>94</v>
      </c>
      <c r="H53" s="80"/>
      <c r="I53" s="81"/>
      <c r="J53" s="82"/>
      <c r="L53" s="82" t="s">
        <v>97</v>
      </c>
      <c r="N53" s="82"/>
      <c r="P53" s="82"/>
      <c r="Q53" s="81"/>
      <c r="R53" s="81"/>
      <c r="S53" s="165"/>
      <c r="T53" s="81"/>
      <c r="U53" s="81"/>
      <c r="V53" s="82"/>
    </row>
    <row r="54" spans="6:22" s="78" customFormat="1" ht="12">
      <c r="F54" s="80"/>
      <c r="G54" s="78" t="s">
        <v>95</v>
      </c>
      <c r="H54" s="82"/>
      <c r="J54" s="82"/>
      <c r="L54" s="82" t="s">
        <v>98</v>
      </c>
      <c r="N54" s="82"/>
      <c r="P54" s="82"/>
      <c r="Q54" s="80"/>
      <c r="R54" s="80"/>
      <c r="S54" s="165"/>
      <c r="T54" s="81"/>
      <c r="U54" s="80"/>
      <c r="V54" s="82"/>
    </row>
    <row r="55" spans="6:22" s="78" customFormat="1" ht="12">
      <c r="F55" s="80"/>
      <c r="G55" s="83" t="s">
        <v>133</v>
      </c>
      <c r="H55" s="80"/>
      <c r="I55" s="81"/>
      <c r="J55" s="82"/>
      <c r="L55" s="78" t="s">
        <v>134</v>
      </c>
      <c r="N55" s="82"/>
      <c r="P55" s="82"/>
      <c r="Q55" s="80"/>
      <c r="R55" s="80"/>
      <c r="S55" s="165"/>
      <c r="T55" s="81"/>
      <c r="U55" s="80"/>
      <c r="V55" s="82"/>
    </row>
    <row r="56" spans="6:22" s="78" customFormat="1" ht="12">
      <c r="F56" s="80"/>
      <c r="G56" s="81" t="s">
        <v>135</v>
      </c>
      <c r="H56" s="82"/>
      <c r="J56" s="82"/>
      <c r="L56" s="81"/>
      <c r="N56" s="82"/>
      <c r="P56" s="82"/>
      <c r="R56" s="82"/>
      <c r="T56" s="82"/>
      <c r="V56" s="82"/>
    </row>
    <row r="57" spans="6:12" ht="12.75">
      <c r="F57"/>
      <c r="G57"/>
      <c r="H57"/>
      <c r="I57" s="21"/>
      <c r="J57"/>
      <c r="K57"/>
      <c r="L57"/>
    </row>
    <row r="58" spans="6:12" ht="12.75">
      <c r="F58"/>
      <c r="G58"/>
      <c r="H58"/>
      <c r="I58" s="21"/>
      <c r="J58"/>
      <c r="K58"/>
      <c r="L58"/>
    </row>
    <row r="59" spans="6:12" ht="12.75">
      <c r="F59"/>
      <c r="G59"/>
      <c r="H59"/>
      <c r="I59" s="21"/>
      <c r="J59"/>
      <c r="K59"/>
      <c r="L59"/>
    </row>
    <row r="60" spans="6:12" ht="12.75">
      <c r="F60"/>
      <c r="G60"/>
      <c r="H60"/>
      <c r="I60" s="21"/>
      <c r="J60"/>
      <c r="K60"/>
      <c r="L60"/>
    </row>
    <row r="61" spans="6:12" ht="12.75">
      <c r="F61"/>
      <c r="G61"/>
      <c r="H61"/>
      <c r="I61" s="21"/>
      <c r="J61"/>
      <c r="K61"/>
      <c r="L61"/>
    </row>
    <row r="62" spans="6:12" ht="12.75">
      <c r="F62"/>
      <c r="G62"/>
      <c r="H62"/>
      <c r="I62" s="21"/>
      <c r="J62"/>
      <c r="K62"/>
      <c r="L62"/>
    </row>
    <row r="63" spans="6:12" ht="12.75">
      <c r="F63"/>
      <c r="G63"/>
      <c r="H63"/>
      <c r="I63" s="21"/>
      <c r="J63"/>
      <c r="K63"/>
      <c r="L63"/>
    </row>
  </sheetData>
  <mergeCells count="21"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P1:AQ1"/>
    <mergeCell ref="AH1:AI1"/>
    <mergeCell ref="AJ1:AK1"/>
    <mergeCell ref="AL1:AM1"/>
    <mergeCell ref="AN1:AO1"/>
  </mergeCells>
  <printOptions horizontalCentered="1"/>
  <pageMargins left="0.2755905511811024" right="0.5905511811023623" top="0.5905511811023623" bottom="0.15748031496062992" header="0.1968503937007874" footer="0.11811023622047245"/>
  <pageSetup blackAndWhite="1" horizontalDpi="300" verticalDpi="300" orientation="landscape" paperSize="9" scale="75" r:id="rId1"/>
  <headerFooter alignWithMargins="0">
    <oddHeader>&amp;C&amp;"Times New Roman CE,Félkövér"&amp;14Kimutatás az önkormányzat fejlesztési célú adósságszolgálatának alakulásáról &amp;R9. sz. melléklet
(ezer Ft-ban)</oddHeader>
    <oddFooter>&amp;LNyomtatás dátuma: &amp;D
C:\Andi\adósságszolgálat\&amp;F\&amp;A&amp;R&amp;P/&amp;N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7"/>
  <sheetViews>
    <sheetView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11.375" style="89" bestFit="1" customWidth="1"/>
    <col min="2" max="2" width="6.50390625" style="89" customWidth="1"/>
    <col min="3" max="3" width="12.125" style="155" customWidth="1"/>
    <col min="4" max="4" width="12.875" style="155" bestFit="1" customWidth="1"/>
    <col min="5" max="5" width="9.00390625" style="89" customWidth="1"/>
    <col min="6" max="7" width="11.625" style="89" bestFit="1" customWidth="1"/>
    <col min="8" max="8" width="12.625" style="89" bestFit="1" customWidth="1"/>
    <col min="9" max="9" width="12.50390625" style="89" customWidth="1"/>
    <col min="10" max="10" width="9.375" style="89" customWidth="1"/>
    <col min="11" max="11" width="10.125" style="89" bestFit="1" customWidth="1"/>
    <col min="12" max="16384" width="9.375" style="89" customWidth="1"/>
  </cols>
  <sheetData>
    <row r="1" spans="1:9" ht="12.75">
      <c r="A1" s="278" t="s">
        <v>109</v>
      </c>
      <c r="B1" s="199"/>
      <c r="C1" s="200"/>
      <c r="D1" s="200"/>
      <c r="F1" s="200"/>
      <c r="G1" s="200"/>
      <c r="H1" s="200"/>
      <c r="I1" s="200"/>
    </row>
    <row r="2" spans="1:9" ht="12.75">
      <c r="A2" s="172" t="s">
        <v>0</v>
      </c>
      <c r="B2" s="170"/>
      <c r="C2" s="169"/>
      <c r="D2" s="169"/>
      <c r="E2" s="169"/>
      <c r="F2" s="169"/>
      <c r="G2" s="169"/>
      <c r="H2" s="169"/>
      <c r="I2" s="169"/>
    </row>
    <row r="3" spans="1:9" ht="12.75">
      <c r="A3" s="171" t="s">
        <v>72</v>
      </c>
      <c r="B3" s="170"/>
      <c r="C3" s="169"/>
      <c r="D3" s="169"/>
      <c r="E3" s="169"/>
      <c r="F3" s="169"/>
      <c r="G3" s="169"/>
      <c r="H3" s="169"/>
      <c r="I3" s="170" t="s">
        <v>2</v>
      </c>
    </row>
    <row r="4" spans="1:9" ht="12.75">
      <c r="A4" s="97" t="s">
        <v>3</v>
      </c>
      <c r="B4" s="98" t="s">
        <v>4</v>
      </c>
      <c r="C4" s="99" t="s">
        <v>5</v>
      </c>
      <c r="D4" s="99" t="s">
        <v>21</v>
      </c>
      <c r="E4" s="99" t="s">
        <v>18</v>
      </c>
      <c r="F4" s="100" t="s">
        <v>20</v>
      </c>
      <c r="G4" s="101" t="s">
        <v>6</v>
      </c>
      <c r="H4" s="101" t="s">
        <v>6</v>
      </c>
      <c r="I4" s="102" t="s">
        <v>6</v>
      </c>
    </row>
    <row r="5" spans="1:9" ht="12.75">
      <c r="A5" s="103"/>
      <c r="B5" s="104" t="s">
        <v>7</v>
      </c>
      <c r="C5" s="105" t="s">
        <v>8</v>
      </c>
      <c r="D5" s="105" t="s">
        <v>13</v>
      </c>
      <c r="E5" s="105" t="s">
        <v>19</v>
      </c>
      <c r="F5" s="106" t="s">
        <v>13</v>
      </c>
      <c r="G5" s="107" t="s">
        <v>9</v>
      </c>
      <c r="H5" s="107" t="s">
        <v>11</v>
      </c>
      <c r="I5" s="108" t="s">
        <v>10</v>
      </c>
    </row>
    <row r="6" spans="1:9" ht="12.75">
      <c r="A6" s="109"/>
      <c r="B6" s="110"/>
      <c r="C6" s="111"/>
      <c r="D6" s="111"/>
      <c r="E6" s="111"/>
      <c r="F6" s="112"/>
      <c r="G6" s="112"/>
      <c r="H6" s="113" t="s">
        <v>13</v>
      </c>
      <c r="I6" s="114" t="s">
        <v>12</v>
      </c>
    </row>
    <row r="7" spans="1:9" ht="12.75">
      <c r="A7" s="134">
        <v>36526</v>
      </c>
      <c r="B7" s="279"/>
      <c r="C7" s="176">
        <v>200000000</v>
      </c>
      <c r="D7" s="176"/>
      <c r="E7" s="84"/>
      <c r="F7" s="176"/>
      <c r="G7" s="177"/>
      <c r="H7" s="177"/>
      <c r="I7" s="178"/>
    </row>
    <row r="8" spans="1:9" ht="12.75">
      <c r="A8" s="115">
        <v>36556</v>
      </c>
      <c r="B8" s="174">
        <f aca="true" t="shared" si="0" ref="B8:B43">A8-A7</f>
        <v>30</v>
      </c>
      <c r="C8" s="175">
        <f aca="true" t="shared" si="1" ref="C8:C42">C7-D8</f>
        <v>195000000</v>
      </c>
      <c r="D8" s="175">
        <v>5000000</v>
      </c>
      <c r="E8" s="84"/>
      <c r="F8" s="175"/>
      <c r="G8" s="185"/>
      <c r="H8" s="185"/>
      <c r="I8" s="186"/>
    </row>
    <row r="9" spans="1:9" ht="12.75">
      <c r="A9" s="115">
        <v>36584</v>
      </c>
      <c r="B9" s="174">
        <f t="shared" si="0"/>
        <v>28</v>
      </c>
      <c r="C9" s="175">
        <f t="shared" si="1"/>
        <v>190000000</v>
      </c>
      <c r="D9" s="175">
        <v>5000000</v>
      </c>
      <c r="E9" s="84"/>
      <c r="F9" s="175"/>
      <c r="G9" s="185"/>
      <c r="H9" s="185"/>
      <c r="I9" s="186"/>
    </row>
    <row r="10" spans="1:9" ht="12.75">
      <c r="A10" s="115">
        <v>36616</v>
      </c>
      <c r="B10" s="174">
        <f t="shared" si="0"/>
        <v>32</v>
      </c>
      <c r="C10" s="175">
        <f t="shared" si="1"/>
        <v>190000000</v>
      </c>
      <c r="D10" s="175"/>
      <c r="E10" s="84">
        <v>0.1362</v>
      </c>
      <c r="F10" s="175">
        <f>((C8+D8)*E10/365*B8)+((C9+D9)*E10/365*B9)+(C10*E10/365*B10)</f>
        <v>6545063.013698629</v>
      </c>
      <c r="G10" s="185"/>
      <c r="H10" s="185"/>
      <c r="I10" s="186"/>
    </row>
    <row r="11" spans="1:9" ht="12.75">
      <c r="A11" s="115">
        <v>36646</v>
      </c>
      <c r="B11" s="174">
        <f t="shared" si="0"/>
        <v>30</v>
      </c>
      <c r="C11" s="175">
        <f t="shared" si="1"/>
        <v>185000000</v>
      </c>
      <c r="D11" s="175">
        <v>5000000</v>
      </c>
      <c r="E11" s="84"/>
      <c r="F11" s="175"/>
      <c r="G11" s="185"/>
      <c r="H11" s="185"/>
      <c r="I11" s="186"/>
    </row>
    <row r="12" spans="1:9" ht="12.75">
      <c r="A12" s="115">
        <v>36677</v>
      </c>
      <c r="B12" s="174">
        <f t="shared" si="0"/>
        <v>31</v>
      </c>
      <c r="C12" s="175">
        <f t="shared" si="1"/>
        <v>180000000</v>
      </c>
      <c r="D12" s="175">
        <v>5000000</v>
      </c>
      <c r="E12" s="84"/>
      <c r="F12" s="175"/>
      <c r="G12" s="185"/>
      <c r="H12" s="185"/>
      <c r="I12" s="186"/>
    </row>
    <row r="13" spans="1:9" ht="12.75">
      <c r="A13" s="115">
        <v>36707</v>
      </c>
      <c r="B13" s="174">
        <f t="shared" si="0"/>
        <v>30</v>
      </c>
      <c r="C13" s="175">
        <f t="shared" si="1"/>
        <v>180000000</v>
      </c>
      <c r="D13" s="175"/>
      <c r="E13" s="84">
        <v>0.1105</v>
      </c>
      <c r="F13" s="175">
        <f>((C11+D11)*E13/365*B11)+((C12+D12)*E13/365*B12)+(C13*E13/365*B13)</f>
        <v>5096623.287671233</v>
      </c>
      <c r="G13" s="185"/>
      <c r="H13" s="185"/>
      <c r="I13" s="186"/>
    </row>
    <row r="14" spans="1:9" ht="12.75">
      <c r="A14" s="115">
        <v>36738</v>
      </c>
      <c r="B14" s="174">
        <f t="shared" si="0"/>
        <v>31</v>
      </c>
      <c r="C14" s="175">
        <f t="shared" si="1"/>
        <v>175000000</v>
      </c>
      <c r="D14" s="175">
        <v>5000000</v>
      </c>
      <c r="E14" s="84"/>
      <c r="F14" s="175"/>
      <c r="G14" s="185"/>
      <c r="H14" s="185"/>
      <c r="I14" s="186"/>
    </row>
    <row r="15" spans="1:9" ht="12.75">
      <c r="A15" s="115">
        <v>36769</v>
      </c>
      <c r="B15" s="174">
        <f t="shared" si="0"/>
        <v>31</v>
      </c>
      <c r="C15" s="175">
        <f t="shared" si="1"/>
        <v>170000000</v>
      </c>
      <c r="D15" s="175">
        <v>5000000</v>
      </c>
      <c r="E15" s="84"/>
      <c r="F15" s="175"/>
      <c r="G15" s="185"/>
      <c r="H15" s="185"/>
      <c r="I15" s="186"/>
    </row>
    <row r="16" spans="1:9" ht="12.75">
      <c r="A16" s="115">
        <v>36799</v>
      </c>
      <c r="B16" s="174">
        <f t="shared" si="0"/>
        <v>30</v>
      </c>
      <c r="C16" s="175">
        <f t="shared" si="1"/>
        <v>170000000</v>
      </c>
      <c r="D16" s="175"/>
      <c r="E16" s="84">
        <v>0.1116</v>
      </c>
      <c r="F16" s="175">
        <f>((C14+D14)*E16/365*B14)+((C15+D15)*E16/365*B15)+(C16*E16/365*B16)</f>
        <v>4924158.904109589</v>
      </c>
      <c r="G16" s="185"/>
      <c r="H16" s="185"/>
      <c r="I16" s="186"/>
    </row>
    <row r="17" spans="1:9" ht="12.75">
      <c r="A17" s="115">
        <v>36830</v>
      </c>
      <c r="B17" s="174">
        <f t="shared" si="0"/>
        <v>31</v>
      </c>
      <c r="C17" s="175">
        <f t="shared" si="1"/>
        <v>165000000</v>
      </c>
      <c r="D17" s="175">
        <v>5000000</v>
      </c>
      <c r="E17" s="84"/>
      <c r="F17" s="175"/>
      <c r="G17" s="185"/>
      <c r="H17" s="185"/>
      <c r="I17" s="186"/>
    </row>
    <row r="18" spans="1:9" ht="12.75">
      <c r="A18" s="115">
        <v>36860</v>
      </c>
      <c r="B18" s="174">
        <f t="shared" si="0"/>
        <v>30</v>
      </c>
      <c r="C18" s="175">
        <f t="shared" si="1"/>
        <v>160000000</v>
      </c>
      <c r="D18" s="175">
        <v>5000000</v>
      </c>
      <c r="E18" s="84"/>
      <c r="F18" s="175"/>
      <c r="G18" s="185"/>
      <c r="H18" s="185"/>
      <c r="I18" s="186"/>
    </row>
    <row r="19" spans="1:9" ht="12.75">
      <c r="A19" s="179">
        <v>36891</v>
      </c>
      <c r="B19" s="280">
        <f t="shared" si="0"/>
        <v>31</v>
      </c>
      <c r="C19" s="180">
        <f t="shared" si="1"/>
        <v>160000000</v>
      </c>
      <c r="D19" s="180"/>
      <c r="E19" s="131">
        <f>E16</f>
        <v>0.1116</v>
      </c>
      <c r="F19" s="181">
        <f>((C17+D17)*E19/365*B17)+((C18+D18)*E19/365*B18)+(C19*E19/365*B19)</f>
        <v>4641336.98630137</v>
      </c>
      <c r="G19" s="187">
        <f>SUM(F10:F19)</f>
        <v>21207182.19178082</v>
      </c>
      <c r="H19" s="187">
        <f>SUM(D8:D19)</f>
        <v>40000000</v>
      </c>
      <c r="I19" s="188">
        <f>SUM(G19:H19)</f>
        <v>61207182.19178082</v>
      </c>
    </row>
    <row r="20" spans="1:9" ht="12.75">
      <c r="A20" s="115">
        <v>36922</v>
      </c>
      <c r="B20" s="174">
        <f t="shared" si="0"/>
        <v>31</v>
      </c>
      <c r="C20" s="175">
        <f t="shared" si="1"/>
        <v>155000000</v>
      </c>
      <c r="D20" s="175">
        <v>5000000</v>
      </c>
      <c r="E20" s="84"/>
      <c r="F20" s="175"/>
      <c r="G20" s="185"/>
      <c r="H20" s="185"/>
      <c r="I20" s="186"/>
    </row>
    <row r="21" spans="1:9" ht="12.75">
      <c r="A21" s="115">
        <v>36950</v>
      </c>
      <c r="B21" s="174">
        <f t="shared" si="0"/>
        <v>28</v>
      </c>
      <c r="C21" s="175">
        <f t="shared" si="1"/>
        <v>150000000</v>
      </c>
      <c r="D21" s="175">
        <v>5000000</v>
      </c>
      <c r="E21" s="84"/>
      <c r="F21" s="175"/>
      <c r="G21" s="185"/>
      <c r="H21" s="185"/>
      <c r="I21" s="186"/>
    </row>
    <row r="22" spans="1:9" ht="12.75">
      <c r="A22" s="121">
        <v>36981</v>
      </c>
      <c r="B22" s="281">
        <f t="shared" si="0"/>
        <v>31</v>
      </c>
      <c r="C22" s="191">
        <f t="shared" si="1"/>
        <v>150000000</v>
      </c>
      <c r="D22" s="191"/>
      <c r="E22" s="84">
        <f>F22/(((C20+D20)*B20)+((C21+D21)*B21)+(C22*B22))*365</f>
        <v>0.12508128745519714</v>
      </c>
      <c r="F22" s="175">
        <v>4780504</v>
      </c>
      <c r="G22" s="192"/>
      <c r="H22" s="192"/>
      <c r="I22" s="193"/>
    </row>
    <row r="23" spans="1:9" ht="12.75">
      <c r="A23" s="121">
        <v>37011</v>
      </c>
      <c r="B23" s="281">
        <f t="shared" si="0"/>
        <v>30</v>
      </c>
      <c r="C23" s="191">
        <f t="shared" si="1"/>
        <v>145000000</v>
      </c>
      <c r="D23" s="191">
        <v>5000000</v>
      </c>
      <c r="E23" s="84"/>
      <c r="F23" s="191"/>
      <c r="G23" s="192"/>
      <c r="H23" s="192"/>
      <c r="I23" s="193"/>
    </row>
    <row r="24" spans="1:9" ht="12.75">
      <c r="A24" s="115">
        <v>37042</v>
      </c>
      <c r="B24" s="174">
        <f t="shared" si="0"/>
        <v>31</v>
      </c>
      <c r="C24" s="175">
        <f t="shared" si="1"/>
        <v>140000000</v>
      </c>
      <c r="D24" s="175">
        <v>5000000</v>
      </c>
      <c r="E24" s="84"/>
      <c r="F24" s="175"/>
      <c r="G24" s="185"/>
      <c r="H24" s="185"/>
      <c r="I24" s="186"/>
    </row>
    <row r="25" spans="1:9" ht="12.75">
      <c r="A25" s="121">
        <v>37072</v>
      </c>
      <c r="B25" s="281">
        <f t="shared" si="0"/>
        <v>30</v>
      </c>
      <c r="C25" s="191">
        <f t="shared" si="1"/>
        <v>140000000</v>
      </c>
      <c r="D25" s="191"/>
      <c r="E25" s="84">
        <f>F25/(((C23+D23)*B23)+((C24+D24)*B24)+(C25*B25))*365</f>
        <v>0.12392879992421371</v>
      </c>
      <c r="F25" s="175">
        <v>4480111</v>
      </c>
      <c r="G25" s="192"/>
      <c r="H25" s="192"/>
      <c r="I25" s="193"/>
    </row>
    <row r="26" spans="1:9" ht="12.75">
      <c r="A26" s="121">
        <v>37103</v>
      </c>
      <c r="B26" s="281">
        <f t="shared" si="0"/>
        <v>31</v>
      </c>
      <c r="C26" s="191">
        <f t="shared" si="1"/>
        <v>135000000</v>
      </c>
      <c r="D26" s="191">
        <v>5000000</v>
      </c>
      <c r="E26" s="282"/>
      <c r="F26" s="191"/>
      <c r="G26" s="192"/>
      <c r="H26" s="192"/>
      <c r="I26" s="193"/>
    </row>
    <row r="27" spans="1:9" ht="12.75">
      <c r="A27" s="115">
        <v>37134</v>
      </c>
      <c r="B27" s="174">
        <f t="shared" si="0"/>
        <v>31</v>
      </c>
      <c r="C27" s="175">
        <f t="shared" si="1"/>
        <v>130000000</v>
      </c>
      <c r="D27" s="175">
        <v>5000000</v>
      </c>
      <c r="E27" s="84"/>
      <c r="F27" s="175"/>
      <c r="G27" s="185"/>
      <c r="H27" s="185"/>
      <c r="I27" s="186"/>
    </row>
    <row r="28" spans="1:9" ht="12.75">
      <c r="A28" s="115">
        <v>37164</v>
      </c>
      <c r="B28" s="174">
        <f t="shared" si="0"/>
        <v>30</v>
      </c>
      <c r="C28" s="175">
        <f t="shared" si="1"/>
        <v>130000000</v>
      </c>
      <c r="D28" s="175"/>
      <c r="E28" s="84">
        <f>F28/(((C26+D26)*B26)+((C27+D27)*B27)+(C28*B28))*365</f>
        <v>0.11154079798792757</v>
      </c>
      <c r="F28" s="175">
        <v>3796971</v>
      </c>
      <c r="G28" s="185"/>
      <c r="H28" s="185"/>
      <c r="I28" s="186"/>
    </row>
    <row r="29" spans="1:9" ht="12.75">
      <c r="A29" s="115">
        <v>37195</v>
      </c>
      <c r="B29" s="174">
        <f t="shared" si="0"/>
        <v>31</v>
      </c>
      <c r="C29" s="175">
        <f t="shared" si="1"/>
        <v>125000000</v>
      </c>
      <c r="D29" s="175">
        <v>5000000</v>
      </c>
      <c r="E29" s="84"/>
      <c r="F29" s="175"/>
      <c r="G29" s="185"/>
      <c r="H29" s="185"/>
      <c r="I29" s="186"/>
    </row>
    <row r="30" spans="1:9" ht="12.75">
      <c r="A30" s="115">
        <v>37225</v>
      </c>
      <c r="B30" s="174">
        <f t="shared" si="0"/>
        <v>30</v>
      </c>
      <c r="C30" s="175">
        <f t="shared" si="1"/>
        <v>120000000</v>
      </c>
      <c r="D30" s="175">
        <v>5000000</v>
      </c>
      <c r="E30" s="84"/>
      <c r="F30" s="175"/>
      <c r="G30" s="185"/>
      <c r="H30" s="185"/>
      <c r="I30" s="186"/>
    </row>
    <row r="31" spans="1:9" ht="12.75">
      <c r="A31" s="179">
        <v>37253</v>
      </c>
      <c r="B31" s="280">
        <f t="shared" si="0"/>
        <v>28</v>
      </c>
      <c r="C31" s="180">
        <f t="shared" si="1"/>
        <v>120000000</v>
      </c>
      <c r="D31" s="180"/>
      <c r="E31" s="131">
        <f>F31/(((C29+D29)*B29)+((C30+D30)*B30)+(C31*B31))*365</f>
        <v>0.1163699618491921</v>
      </c>
      <c r="F31" s="181">
        <v>3551675</v>
      </c>
      <c r="G31" s="187">
        <f>SUM(F22:F31)</f>
        <v>16609261</v>
      </c>
      <c r="H31" s="187">
        <f>SUM(D20:D31)</f>
        <v>40000000</v>
      </c>
      <c r="I31" s="188">
        <f>SUM(G31:H31)</f>
        <v>56609261</v>
      </c>
    </row>
    <row r="32" spans="1:9" ht="12.75">
      <c r="A32" s="115">
        <v>37287</v>
      </c>
      <c r="B32" s="174">
        <f t="shared" si="0"/>
        <v>34</v>
      </c>
      <c r="C32" s="175">
        <f t="shared" si="1"/>
        <v>115000000</v>
      </c>
      <c r="D32" s="175">
        <v>5000000</v>
      </c>
      <c r="E32" s="84"/>
      <c r="F32" s="175"/>
      <c r="G32" s="185"/>
      <c r="H32" s="185"/>
      <c r="I32" s="186"/>
    </row>
    <row r="33" spans="1:9" ht="12.75">
      <c r="A33" s="115">
        <v>37315</v>
      </c>
      <c r="B33" s="174">
        <f t="shared" si="0"/>
        <v>28</v>
      </c>
      <c r="C33" s="175">
        <f t="shared" si="1"/>
        <v>110000000</v>
      </c>
      <c r="D33" s="175">
        <v>5000000</v>
      </c>
      <c r="E33" s="84"/>
      <c r="F33" s="175"/>
      <c r="G33" s="185"/>
      <c r="H33" s="185"/>
      <c r="I33" s="186"/>
    </row>
    <row r="34" spans="1:9" ht="12.75">
      <c r="A34" s="115">
        <v>37344</v>
      </c>
      <c r="B34" s="174">
        <f t="shared" si="0"/>
        <v>29</v>
      </c>
      <c r="C34" s="175">
        <f t="shared" si="1"/>
        <v>110000000</v>
      </c>
      <c r="D34" s="175"/>
      <c r="E34" s="84">
        <f>F34/(((C32+D32)*B32)+((C33+D33)*B33)+(C34*B34))*365</f>
        <v>0.09974106911344137</v>
      </c>
      <c r="F34" s="175">
        <v>2866531</v>
      </c>
      <c r="G34" s="185"/>
      <c r="H34" s="185"/>
      <c r="I34" s="186"/>
    </row>
    <row r="35" spans="1:9" ht="12.75">
      <c r="A35" s="115">
        <v>37376</v>
      </c>
      <c r="B35" s="174">
        <f t="shared" si="0"/>
        <v>32</v>
      </c>
      <c r="C35" s="175">
        <f t="shared" si="1"/>
        <v>105000000</v>
      </c>
      <c r="D35" s="175">
        <v>5000000</v>
      </c>
      <c r="E35" s="84"/>
      <c r="F35" s="175"/>
      <c r="G35" s="185"/>
      <c r="H35" s="185"/>
      <c r="I35" s="186"/>
    </row>
    <row r="36" spans="1:9" ht="12.75">
      <c r="A36" s="115">
        <v>37407</v>
      </c>
      <c r="B36" s="174">
        <f t="shared" si="0"/>
        <v>31</v>
      </c>
      <c r="C36" s="175">
        <f t="shared" si="1"/>
        <v>100000000</v>
      </c>
      <c r="D36" s="175">
        <v>5000000</v>
      </c>
      <c r="E36" s="84"/>
      <c r="F36" s="175"/>
      <c r="G36" s="185"/>
      <c r="H36" s="185"/>
      <c r="I36" s="186"/>
    </row>
    <row r="37" spans="1:9" ht="12.75">
      <c r="A37" s="115">
        <v>37437</v>
      </c>
      <c r="B37" s="174">
        <f t="shared" si="0"/>
        <v>30</v>
      </c>
      <c r="C37" s="175">
        <f t="shared" si="1"/>
        <v>100000000</v>
      </c>
      <c r="D37" s="175"/>
      <c r="E37" s="84">
        <v>0.086</v>
      </c>
      <c r="F37" s="175">
        <v>2315568</v>
      </c>
      <c r="G37" s="185"/>
      <c r="H37" s="185"/>
      <c r="I37" s="186"/>
    </row>
    <row r="38" spans="1:9" ht="12.75">
      <c r="A38" s="115">
        <v>37468</v>
      </c>
      <c r="B38" s="174">
        <f t="shared" si="0"/>
        <v>31</v>
      </c>
      <c r="C38" s="175">
        <f t="shared" si="1"/>
        <v>95000000</v>
      </c>
      <c r="D38" s="175">
        <v>5000000</v>
      </c>
      <c r="E38" s="84"/>
      <c r="F38" s="175"/>
      <c r="G38" s="185"/>
      <c r="H38" s="185"/>
      <c r="I38" s="186"/>
    </row>
    <row r="39" spans="1:9" ht="12.75">
      <c r="A39" s="115">
        <v>37499</v>
      </c>
      <c r="B39" s="174">
        <f t="shared" si="0"/>
        <v>31</v>
      </c>
      <c r="C39" s="175">
        <f t="shared" si="1"/>
        <v>90000000</v>
      </c>
      <c r="D39" s="175">
        <v>5000000</v>
      </c>
      <c r="E39" s="84"/>
      <c r="F39" s="175"/>
      <c r="G39" s="185"/>
      <c r="H39" s="185"/>
      <c r="I39" s="186"/>
    </row>
    <row r="40" spans="1:9" ht="12.75">
      <c r="A40" s="115">
        <v>37529</v>
      </c>
      <c r="B40" s="174">
        <f t="shared" si="0"/>
        <v>30</v>
      </c>
      <c r="C40" s="175">
        <f t="shared" si="1"/>
        <v>90000000</v>
      </c>
      <c r="D40" s="175"/>
      <c r="E40" s="84">
        <v>0.0931</v>
      </c>
      <c r="F40" s="175">
        <v>2309946</v>
      </c>
      <c r="G40" s="185"/>
      <c r="H40" s="185"/>
      <c r="I40" s="186"/>
    </row>
    <row r="41" spans="1:9" ht="12.75">
      <c r="A41" s="115">
        <v>37560</v>
      </c>
      <c r="B41" s="174">
        <f t="shared" si="0"/>
        <v>31</v>
      </c>
      <c r="C41" s="175">
        <f t="shared" si="1"/>
        <v>85000000</v>
      </c>
      <c r="D41" s="175">
        <v>5000000</v>
      </c>
      <c r="E41" s="84"/>
      <c r="F41" s="175"/>
      <c r="G41" s="185"/>
      <c r="H41" s="185"/>
      <c r="I41" s="186"/>
    </row>
    <row r="42" spans="1:9" ht="12.75">
      <c r="A42" s="115">
        <v>37590</v>
      </c>
      <c r="B42" s="174">
        <f t="shared" si="0"/>
        <v>30</v>
      </c>
      <c r="C42" s="175">
        <f t="shared" si="1"/>
        <v>80000000</v>
      </c>
      <c r="D42" s="175">
        <v>5000000</v>
      </c>
      <c r="E42" s="84"/>
      <c r="F42" s="175"/>
      <c r="G42" s="185"/>
      <c r="H42" s="185"/>
      <c r="I42" s="186"/>
    </row>
    <row r="43" spans="1:9" ht="12.75">
      <c r="A43" s="128">
        <v>37621</v>
      </c>
      <c r="B43" s="283">
        <f t="shared" si="0"/>
        <v>31</v>
      </c>
      <c r="C43" s="284">
        <v>80000000</v>
      </c>
      <c r="D43" s="130"/>
      <c r="E43" s="225">
        <v>0.099</v>
      </c>
      <c r="F43" s="130">
        <v>2151775</v>
      </c>
      <c r="G43" s="132">
        <f>SUM(F34:F43)</f>
        <v>9643820</v>
      </c>
      <c r="H43" s="182">
        <f>SUM(D32:D43)</f>
        <v>40000000</v>
      </c>
      <c r="I43" s="183">
        <f>SUM(G43:H43)</f>
        <v>49643820</v>
      </c>
    </row>
    <row r="44" spans="1:9" ht="12.75">
      <c r="A44" s="115">
        <v>37652</v>
      </c>
      <c r="B44" s="116">
        <v>31</v>
      </c>
      <c r="C44" s="117">
        <f aca="true" t="shared" si="2" ref="C44:C108">C43-D44</f>
        <v>78720000</v>
      </c>
      <c r="D44" s="117">
        <v>1280000</v>
      </c>
      <c r="E44" s="116"/>
      <c r="F44" s="116"/>
      <c r="G44" s="116"/>
      <c r="H44" s="116"/>
      <c r="I44" s="285"/>
    </row>
    <row r="45" spans="1:9" ht="12.75">
      <c r="A45" s="121">
        <v>37680</v>
      </c>
      <c r="B45" s="122">
        <f aca="true" t="shared" si="3" ref="B45:B108">A45-A44</f>
        <v>28</v>
      </c>
      <c r="C45" s="59">
        <f t="shared" si="2"/>
        <v>77080000</v>
      </c>
      <c r="D45" s="59">
        <v>1640000</v>
      </c>
      <c r="E45" s="122"/>
      <c r="F45" s="122"/>
      <c r="G45" s="122"/>
      <c r="H45" s="122"/>
      <c r="I45" s="276"/>
    </row>
    <row r="46" spans="1:9" ht="12.75">
      <c r="A46" s="121">
        <v>37711</v>
      </c>
      <c r="B46" s="122">
        <f t="shared" si="3"/>
        <v>31</v>
      </c>
      <c r="C46" s="59">
        <f t="shared" si="2"/>
        <v>77080000</v>
      </c>
      <c r="D46" s="59"/>
      <c r="E46" s="123">
        <v>0.0857</v>
      </c>
      <c r="F46" s="59">
        <v>1686875</v>
      </c>
      <c r="G46" s="122"/>
      <c r="H46" s="122"/>
      <c r="I46" s="276"/>
    </row>
    <row r="47" spans="1:9" ht="12.75">
      <c r="A47" s="121">
        <v>37741</v>
      </c>
      <c r="B47" s="122">
        <f t="shared" si="3"/>
        <v>30</v>
      </c>
      <c r="C47" s="59">
        <f t="shared" si="2"/>
        <v>75440000</v>
      </c>
      <c r="D47" s="59">
        <v>1640000</v>
      </c>
      <c r="E47" s="122"/>
      <c r="F47" s="122"/>
      <c r="G47" s="122"/>
      <c r="H47" s="122"/>
      <c r="I47" s="276"/>
    </row>
    <row r="48" spans="1:9" ht="12.75">
      <c r="A48" s="121">
        <v>37772</v>
      </c>
      <c r="B48" s="122">
        <f t="shared" si="3"/>
        <v>31</v>
      </c>
      <c r="C48" s="59">
        <f t="shared" si="2"/>
        <v>73800000</v>
      </c>
      <c r="D48" s="59">
        <v>1640000</v>
      </c>
      <c r="E48" s="122"/>
      <c r="F48" s="122"/>
      <c r="G48" s="122"/>
      <c r="H48" s="122"/>
      <c r="I48" s="276"/>
    </row>
    <row r="49" spans="1:9" ht="12.75">
      <c r="A49" s="121">
        <v>37802</v>
      </c>
      <c r="B49" s="122">
        <f t="shared" si="3"/>
        <v>30</v>
      </c>
      <c r="C49" s="59">
        <f t="shared" si="2"/>
        <v>73800000</v>
      </c>
      <c r="D49" s="59"/>
      <c r="E49" s="123">
        <v>0.0674</v>
      </c>
      <c r="F49" s="59">
        <v>1289820</v>
      </c>
      <c r="G49" s="122"/>
      <c r="H49" s="122"/>
      <c r="I49" s="276"/>
    </row>
    <row r="50" spans="1:9" ht="12.75">
      <c r="A50" s="121">
        <v>37833</v>
      </c>
      <c r="B50" s="122">
        <f t="shared" si="3"/>
        <v>31</v>
      </c>
      <c r="C50" s="59">
        <f t="shared" si="2"/>
        <v>72160000</v>
      </c>
      <c r="D50" s="59">
        <v>1640000</v>
      </c>
      <c r="E50" s="122"/>
      <c r="F50" s="122"/>
      <c r="G50" s="122"/>
      <c r="H50" s="122"/>
      <c r="I50" s="276"/>
    </row>
    <row r="51" spans="1:9" ht="12.75">
      <c r="A51" s="121">
        <v>37864</v>
      </c>
      <c r="B51" s="122">
        <f t="shared" si="3"/>
        <v>31</v>
      </c>
      <c r="C51" s="59">
        <f t="shared" si="2"/>
        <v>70520000</v>
      </c>
      <c r="D51" s="59">
        <v>1640000</v>
      </c>
      <c r="E51" s="122"/>
      <c r="F51" s="122"/>
      <c r="G51" s="122"/>
      <c r="H51" s="122"/>
      <c r="I51" s="276"/>
    </row>
    <row r="52" spans="1:9" ht="12.75">
      <c r="A52" s="121">
        <v>37894</v>
      </c>
      <c r="B52" s="122">
        <f t="shared" si="3"/>
        <v>30</v>
      </c>
      <c r="C52" s="59">
        <f t="shared" si="2"/>
        <v>70520000</v>
      </c>
      <c r="D52" s="59"/>
      <c r="E52" s="123">
        <v>0.0851</v>
      </c>
      <c r="F52" s="59">
        <v>1566466</v>
      </c>
      <c r="G52" s="122"/>
      <c r="H52" s="122"/>
      <c r="I52" s="276"/>
    </row>
    <row r="53" spans="1:9" ht="12.75">
      <c r="A53" s="121">
        <v>37925</v>
      </c>
      <c r="B53" s="122">
        <f t="shared" si="3"/>
        <v>31</v>
      </c>
      <c r="C53" s="59">
        <f t="shared" si="2"/>
        <v>68880000</v>
      </c>
      <c r="D53" s="59">
        <v>1640000</v>
      </c>
      <c r="E53" s="122"/>
      <c r="F53" s="122"/>
      <c r="G53" s="122"/>
      <c r="H53" s="122"/>
      <c r="I53" s="276"/>
    </row>
    <row r="54" spans="1:11" ht="12.75">
      <c r="A54" s="121">
        <v>37955</v>
      </c>
      <c r="B54" s="122">
        <f t="shared" si="3"/>
        <v>30</v>
      </c>
      <c r="C54" s="59">
        <f t="shared" si="2"/>
        <v>67240000</v>
      </c>
      <c r="D54" s="59">
        <v>1640000</v>
      </c>
      <c r="E54" s="122"/>
      <c r="F54" s="122"/>
      <c r="G54" s="122"/>
      <c r="H54" s="122"/>
      <c r="I54" s="276"/>
      <c r="K54" s="155"/>
    </row>
    <row r="55" spans="1:9" ht="12.75">
      <c r="A55" s="128">
        <v>37986</v>
      </c>
      <c r="B55" s="129">
        <f t="shared" si="3"/>
        <v>31</v>
      </c>
      <c r="C55" s="130">
        <f t="shared" si="2"/>
        <v>67240000</v>
      </c>
      <c r="D55" s="130"/>
      <c r="E55" s="131">
        <v>0.0955</v>
      </c>
      <c r="F55" s="130">
        <v>1679017</v>
      </c>
      <c r="G55" s="132">
        <f>SUM(F46:F55)</f>
        <v>6222178</v>
      </c>
      <c r="H55" s="132">
        <f>SUM(D44:D55)</f>
        <v>12760000</v>
      </c>
      <c r="I55" s="133">
        <f>SUM(G55:H55)</f>
        <v>18982178</v>
      </c>
    </row>
    <row r="56" spans="1:9" ht="12.75">
      <c r="A56" s="115">
        <v>38017</v>
      </c>
      <c r="B56" s="116">
        <f t="shared" si="3"/>
        <v>31</v>
      </c>
      <c r="C56" s="117">
        <f t="shared" si="2"/>
        <v>65600000</v>
      </c>
      <c r="D56" s="59">
        <v>1640000</v>
      </c>
      <c r="E56" s="116"/>
      <c r="F56" s="116"/>
      <c r="G56" s="116"/>
      <c r="H56" s="116"/>
      <c r="I56" s="285"/>
    </row>
    <row r="57" spans="1:9" ht="12.75">
      <c r="A57" s="121">
        <v>38045</v>
      </c>
      <c r="B57" s="122">
        <f t="shared" si="3"/>
        <v>28</v>
      </c>
      <c r="C57" s="59">
        <f t="shared" si="2"/>
        <v>63960000</v>
      </c>
      <c r="D57" s="59">
        <v>1640000</v>
      </c>
      <c r="E57" s="122"/>
      <c r="F57" s="122"/>
      <c r="G57" s="122"/>
      <c r="H57" s="122"/>
      <c r="I57" s="276"/>
    </row>
    <row r="58" spans="1:11" ht="12.75">
      <c r="A58" s="121">
        <v>38077</v>
      </c>
      <c r="B58" s="122">
        <f t="shared" si="3"/>
        <v>32</v>
      </c>
      <c r="C58" s="59">
        <f t="shared" si="2"/>
        <v>63960000</v>
      </c>
      <c r="D58" s="59"/>
      <c r="E58" s="123">
        <v>0.1222</v>
      </c>
      <c r="F58" s="59">
        <f>((C56+D56)*E58/360*B56)+((C57+D57)*E58/360*B57)+(C58*E58/360*B58)</f>
        <v>2025790.8666666667</v>
      </c>
      <c r="G58" s="122"/>
      <c r="H58" s="122"/>
      <c r="I58" s="276"/>
      <c r="K58" s="155"/>
    </row>
    <row r="59" spans="1:9" ht="12.75">
      <c r="A59" s="121">
        <v>38107</v>
      </c>
      <c r="B59" s="122">
        <f t="shared" si="3"/>
        <v>30</v>
      </c>
      <c r="C59" s="59">
        <f t="shared" si="2"/>
        <v>62320000</v>
      </c>
      <c r="D59" s="59">
        <v>1640000</v>
      </c>
      <c r="E59" s="122"/>
      <c r="F59" s="122"/>
      <c r="G59" s="122"/>
      <c r="H59" s="122"/>
      <c r="I59" s="276"/>
    </row>
    <row r="60" spans="1:9" ht="12.75">
      <c r="A60" s="121">
        <v>38138</v>
      </c>
      <c r="B60" s="122">
        <f t="shared" si="3"/>
        <v>31</v>
      </c>
      <c r="C60" s="59">
        <f t="shared" si="2"/>
        <v>60680000</v>
      </c>
      <c r="D60" s="59">
        <v>1640000</v>
      </c>
      <c r="E60" s="122"/>
      <c r="F60" s="122"/>
      <c r="G60" s="122"/>
      <c r="H60" s="122"/>
      <c r="I60" s="276"/>
    </row>
    <row r="61" spans="1:11" ht="12.75">
      <c r="A61" s="121">
        <v>38168</v>
      </c>
      <c r="B61" s="122">
        <f t="shared" si="3"/>
        <v>30</v>
      </c>
      <c r="C61" s="59">
        <f t="shared" si="2"/>
        <v>60680000</v>
      </c>
      <c r="D61" s="59"/>
      <c r="E61" s="123">
        <f>E58</f>
        <v>0.1222</v>
      </c>
      <c r="F61" s="286">
        <v>1925587</v>
      </c>
      <c r="G61" s="122"/>
      <c r="H61" s="122"/>
      <c r="I61" s="276"/>
      <c r="K61" s="155"/>
    </row>
    <row r="62" spans="1:9" ht="12.75">
      <c r="A62" s="121">
        <v>38199</v>
      </c>
      <c r="B62" s="122">
        <f t="shared" si="3"/>
        <v>31</v>
      </c>
      <c r="C62" s="59">
        <f t="shared" si="2"/>
        <v>59040000</v>
      </c>
      <c r="D62" s="59">
        <v>1640000</v>
      </c>
      <c r="E62" s="122"/>
      <c r="F62" s="122"/>
      <c r="G62" s="122"/>
      <c r="H62" s="122"/>
      <c r="I62" s="276"/>
    </row>
    <row r="63" spans="1:9" ht="12.75">
      <c r="A63" s="121">
        <v>38230</v>
      </c>
      <c r="B63" s="122">
        <f t="shared" si="3"/>
        <v>31</v>
      </c>
      <c r="C63" s="59">
        <f t="shared" si="2"/>
        <v>57400000</v>
      </c>
      <c r="D63" s="59">
        <v>1640000</v>
      </c>
      <c r="E63" s="122"/>
      <c r="F63" s="122"/>
      <c r="G63" s="122"/>
      <c r="H63" s="122"/>
      <c r="I63" s="276"/>
    </row>
    <row r="64" spans="1:9" ht="12.75">
      <c r="A64" s="121">
        <v>38260</v>
      </c>
      <c r="B64" s="122">
        <f t="shared" si="3"/>
        <v>30</v>
      </c>
      <c r="C64" s="59">
        <f t="shared" si="2"/>
        <v>57400000</v>
      </c>
      <c r="D64" s="59"/>
      <c r="E64" s="123">
        <v>0.1177</v>
      </c>
      <c r="F64" s="59">
        <v>1778225</v>
      </c>
      <c r="G64" s="122"/>
      <c r="H64" s="122"/>
      <c r="I64" s="276"/>
    </row>
    <row r="65" spans="1:9" ht="12.75">
      <c r="A65" s="121">
        <v>38291</v>
      </c>
      <c r="B65" s="122">
        <f t="shared" si="3"/>
        <v>31</v>
      </c>
      <c r="C65" s="59">
        <f t="shared" si="2"/>
        <v>55760000</v>
      </c>
      <c r="D65" s="59">
        <v>1640000</v>
      </c>
      <c r="E65" s="122"/>
      <c r="F65" s="122"/>
      <c r="G65" s="122"/>
      <c r="H65" s="122"/>
      <c r="I65" s="276"/>
    </row>
    <row r="66" spans="1:9" ht="12.75">
      <c r="A66" s="121">
        <v>38321</v>
      </c>
      <c r="B66" s="122">
        <f t="shared" si="3"/>
        <v>30</v>
      </c>
      <c r="C66" s="59">
        <f t="shared" si="2"/>
        <v>54120000</v>
      </c>
      <c r="D66" s="59">
        <v>1640000</v>
      </c>
      <c r="E66" s="122"/>
      <c r="F66" s="122"/>
      <c r="G66" s="122"/>
      <c r="H66" s="122"/>
      <c r="I66" s="276"/>
    </row>
    <row r="67" spans="1:9" ht="12.75">
      <c r="A67" s="128">
        <v>38352</v>
      </c>
      <c r="B67" s="129">
        <f t="shared" si="3"/>
        <v>31</v>
      </c>
      <c r="C67" s="130">
        <f t="shared" si="2"/>
        <v>54120000</v>
      </c>
      <c r="D67" s="130"/>
      <c r="E67" s="131">
        <v>0.112</v>
      </c>
      <c r="F67" s="130">
        <f>((C65+D65)*E67/360*B65)+((C66+D66)*E67/360*B66)+(C67*E67/360*B67)</f>
        <v>1595975.111111111</v>
      </c>
      <c r="G67" s="132">
        <f>SUM(F58:F67)</f>
        <v>7325577.977777778</v>
      </c>
      <c r="H67" s="132">
        <f>SUM(D56:D67)</f>
        <v>13120000</v>
      </c>
      <c r="I67" s="133">
        <f>SUM(G67:H67)</f>
        <v>20445577.97777778</v>
      </c>
    </row>
    <row r="68" spans="1:9" ht="12.75">
      <c r="A68" s="115">
        <v>38383</v>
      </c>
      <c r="B68" s="116">
        <f t="shared" si="3"/>
        <v>31</v>
      </c>
      <c r="C68" s="117">
        <f t="shared" si="2"/>
        <v>52480000</v>
      </c>
      <c r="D68" s="59">
        <v>1640000</v>
      </c>
      <c r="E68" s="116"/>
      <c r="F68" s="116"/>
      <c r="G68" s="116"/>
      <c r="H68" s="116"/>
      <c r="I68" s="285"/>
    </row>
    <row r="69" spans="1:9" ht="12.75">
      <c r="A69" s="121">
        <v>38411</v>
      </c>
      <c r="B69" s="122">
        <f t="shared" si="3"/>
        <v>28</v>
      </c>
      <c r="C69" s="59">
        <f t="shared" si="2"/>
        <v>50840000</v>
      </c>
      <c r="D69" s="59">
        <v>1640000</v>
      </c>
      <c r="E69" s="122"/>
      <c r="F69" s="122"/>
      <c r="G69" s="122"/>
      <c r="H69" s="122"/>
      <c r="I69" s="276"/>
    </row>
    <row r="70" spans="1:9" ht="12.75">
      <c r="A70" s="121">
        <v>38442</v>
      </c>
      <c r="B70" s="122">
        <f t="shared" si="3"/>
        <v>31</v>
      </c>
      <c r="C70" s="59">
        <f t="shared" si="2"/>
        <v>50840000</v>
      </c>
      <c r="D70" s="59"/>
      <c r="E70" s="123">
        <f>E67</f>
        <v>0.112</v>
      </c>
      <c r="F70" s="59">
        <f>((C68+D68)*E70/360*B68)+((C69+D69)*E70/360*B69)+(C70*E70/360*B70)</f>
        <v>1469440</v>
      </c>
      <c r="G70" s="122"/>
      <c r="H70" s="122"/>
      <c r="I70" s="276"/>
    </row>
    <row r="71" spans="1:9" ht="12.75">
      <c r="A71" s="121">
        <v>38472</v>
      </c>
      <c r="B71" s="122">
        <f t="shared" si="3"/>
        <v>30</v>
      </c>
      <c r="C71" s="59">
        <f t="shared" si="2"/>
        <v>49200000</v>
      </c>
      <c r="D71" s="59">
        <v>1640000</v>
      </c>
      <c r="E71" s="122"/>
      <c r="F71" s="122"/>
      <c r="G71" s="122"/>
      <c r="H71" s="122"/>
      <c r="I71" s="276"/>
    </row>
    <row r="72" spans="1:9" ht="12.75">
      <c r="A72" s="121">
        <v>38503</v>
      </c>
      <c r="B72" s="122">
        <f t="shared" si="3"/>
        <v>31</v>
      </c>
      <c r="C72" s="59">
        <f t="shared" si="2"/>
        <v>47560000</v>
      </c>
      <c r="D72" s="59">
        <v>1640000</v>
      </c>
      <c r="E72" s="122"/>
      <c r="F72" s="122"/>
      <c r="G72" s="122"/>
      <c r="H72" s="122"/>
      <c r="I72" s="276"/>
    </row>
    <row r="73" spans="1:9" ht="12.75">
      <c r="A73" s="121">
        <v>38533</v>
      </c>
      <c r="B73" s="122">
        <f t="shared" si="3"/>
        <v>30</v>
      </c>
      <c r="C73" s="59">
        <f t="shared" si="2"/>
        <v>47560000</v>
      </c>
      <c r="D73" s="59"/>
      <c r="E73" s="123">
        <f>E70</f>
        <v>0.112</v>
      </c>
      <c r="F73" s="59">
        <f>((C71+D71)*E73/360*B71)+((C72+D72)*E73/360*B72)+(C73*E73/360*B73)</f>
        <v>1392906.6666666665</v>
      </c>
      <c r="G73" s="122"/>
      <c r="H73" s="122"/>
      <c r="I73" s="276"/>
    </row>
    <row r="74" spans="1:9" ht="12.75">
      <c r="A74" s="121">
        <v>38564</v>
      </c>
      <c r="B74" s="122">
        <f t="shared" si="3"/>
        <v>31</v>
      </c>
      <c r="C74" s="59">
        <f t="shared" si="2"/>
        <v>45920000</v>
      </c>
      <c r="D74" s="59">
        <v>1640000</v>
      </c>
      <c r="E74" s="122"/>
      <c r="F74" s="122"/>
      <c r="G74" s="122"/>
      <c r="H74" s="122"/>
      <c r="I74" s="276"/>
    </row>
    <row r="75" spans="1:9" ht="12.75">
      <c r="A75" s="121">
        <v>38595</v>
      </c>
      <c r="B75" s="122">
        <f t="shared" si="3"/>
        <v>31</v>
      </c>
      <c r="C75" s="59">
        <f t="shared" si="2"/>
        <v>44280000</v>
      </c>
      <c r="D75" s="59">
        <v>1640000</v>
      </c>
      <c r="E75" s="122"/>
      <c r="F75" s="122"/>
      <c r="G75" s="122"/>
      <c r="H75" s="122"/>
      <c r="I75" s="276"/>
    </row>
    <row r="76" spans="1:9" ht="12.75">
      <c r="A76" s="121">
        <v>38625</v>
      </c>
      <c r="B76" s="122">
        <f t="shared" si="3"/>
        <v>30</v>
      </c>
      <c r="C76" s="59">
        <f t="shared" si="2"/>
        <v>44280000</v>
      </c>
      <c r="D76" s="59"/>
      <c r="E76" s="123">
        <f>E73</f>
        <v>0.112</v>
      </c>
      <c r="F76" s="59">
        <f>((C74+D74)*E76/360*B74)+((C75+D75)*E76/360*B75)+(C76*E76/360*B76)</f>
        <v>1314842.6666666667</v>
      </c>
      <c r="G76" s="122"/>
      <c r="H76" s="122"/>
      <c r="I76" s="276"/>
    </row>
    <row r="77" spans="1:9" ht="12.75">
      <c r="A77" s="121">
        <v>38656</v>
      </c>
      <c r="B77" s="122">
        <f t="shared" si="3"/>
        <v>31</v>
      </c>
      <c r="C77" s="59">
        <f t="shared" si="2"/>
        <v>42640000</v>
      </c>
      <c r="D77" s="59">
        <v>1640000</v>
      </c>
      <c r="E77" s="122"/>
      <c r="F77" s="122"/>
      <c r="G77" s="122"/>
      <c r="H77" s="122"/>
      <c r="I77" s="276"/>
    </row>
    <row r="78" spans="1:9" ht="12.75">
      <c r="A78" s="121">
        <v>38686</v>
      </c>
      <c r="B78" s="122">
        <f t="shared" si="3"/>
        <v>30</v>
      </c>
      <c r="C78" s="59">
        <f t="shared" si="2"/>
        <v>41000000</v>
      </c>
      <c r="D78" s="59">
        <v>1640000</v>
      </c>
      <c r="E78" s="122"/>
      <c r="F78" s="122"/>
      <c r="G78" s="122"/>
      <c r="H78" s="122"/>
      <c r="I78" s="276"/>
    </row>
    <row r="79" spans="1:9" ht="12.75">
      <c r="A79" s="128">
        <v>38717</v>
      </c>
      <c r="B79" s="129">
        <f t="shared" si="3"/>
        <v>31</v>
      </c>
      <c r="C79" s="130">
        <f t="shared" si="2"/>
        <v>41000000</v>
      </c>
      <c r="D79" s="130"/>
      <c r="E79" s="131">
        <f>E76</f>
        <v>0.112</v>
      </c>
      <c r="F79" s="130">
        <f>((C77+D77)*E79/360*B77)+((C78+D78)*E79/360*B78)+(C79*E79/360*B79)</f>
        <v>1220451.5555555555</v>
      </c>
      <c r="G79" s="132">
        <f>SUM(F70:F79)</f>
        <v>5397640.888888888</v>
      </c>
      <c r="H79" s="132">
        <f>SUM(D68:D79)</f>
        <v>13120000</v>
      </c>
      <c r="I79" s="133">
        <f>SUM(G79:H79)</f>
        <v>18517640.888888888</v>
      </c>
    </row>
    <row r="80" spans="1:9" ht="12.75">
      <c r="A80" s="115">
        <v>38748</v>
      </c>
      <c r="B80" s="116">
        <f t="shared" si="3"/>
        <v>31</v>
      </c>
      <c r="C80" s="117">
        <f t="shared" si="2"/>
        <v>39360000</v>
      </c>
      <c r="D80" s="59">
        <v>1640000</v>
      </c>
      <c r="E80" s="116"/>
      <c r="F80" s="116"/>
      <c r="G80" s="116"/>
      <c r="H80" s="116"/>
      <c r="I80" s="285"/>
    </row>
    <row r="81" spans="1:9" ht="12.75">
      <c r="A81" s="121">
        <v>38776</v>
      </c>
      <c r="B81" s="122">
        <f t="shared" si="3"/>
        <v>28</v>
      </c>
      <c r="C81" s="59">
        <f t="shared" si="2"/>
        <v>37720000</v>
      </c>
      <c r="D81" s="59">
        <v>1640000</v>
      </c>
      <c r="E81" s="122"/>
      <c r="F81" s="122"/>
      <c r="G81" s="122"/>
      <c r="H81" s="122"/>
      <c r="I81" s="276"/>
    </row>
    <row r="82" spans="1:9" ht="12.75">
      <c r="A82" s="121">
        <v>38807</v>
      </c>
      <c r="B82" s="122">
        <f t="shared" si="3"/>
        <v>31</v>
      </c>
      <c r="C82" s="59">
        <f t="shared" si="2"/>
        <v>37720000</v>
      </c>
      <c r="D82" s="59"/>
      <c r="E82" s="123">
        <f>E79</f>
        <v>0.112</v>
      </c>
      <c r="F82" s="59">
        <f>((C80+D80)*E82/360*B80)+((C81+D81)*E82/360*B81)+(C82*E82/360*B82)</f>
        <v>1102080</v>
      </c>
      <c r="G82" s="122"/>
      <c r="H82" s="122"/>
      <c r="I82" s="276"/>
    </row>
    <row r="83" spans="1:9" ht="12.75">
      <c r="A83" s="121">
        <v>38837</v>
      </c>
      <c r="B83" s="122">
        <f t="shared" si="3"/>
        <v>30</v>
      </c>
      <c r="C83" s="59">
        <f t="shared" si="2"/>
        <v>36080000</v>
      </c>
      <c r="D83" s="59">
        <v>1640000</v>
      </c>
      <c r="E83" s="122"/>
      <c r="F83" s="122"/>
      <c r="G83" s="122"/>
      <c r="H83" s="122"/>
      <c r="I83" s="276"/>
    </row>
    <row r="84" spans="1:9" ht="12.75">
      <c r="A84" s="121">
        <v>38868</v>
      </c>
      <c r="B84" s="122">
        <f t="shared" si="3"/>
        <v>31</v>
      </c>
      <c r="C84" s="59">
        <f t="shared" si="2"/>
        <v>34440000</v>
      </c>
      <c r="D84" s="59">
        <v>1640000</v>
      </c>
      <c r="E84" s="122"/>
      <c r="F84" s="122"/>
      <c r="G84" s="122"/>
      <c r="H84" s="122"/>
      <c r="I84" s="276"/>
    </row>
    <row r="85" spans="1:9" ht="12.75">
      <c r="A85" s="121">
        <v>38898</v>
      </c>
      <c r="B85" s="122">
        <f t="shared" si="3"/>
        <v>30</v>
      </c>
      <c r="C85" s="59">
        <f t="shared" si="2"/>
        <v>34440000</v>
      </c>
      <c r="D85" s="59"/>
      <c r="E85" s="123">
        <f>E82</f>
        <v>0.112</v>
      </c>
      <c r="F85" s="59">
        <f>((C83+D83)*E85/360*B83)+((C84+D84)*E85/360*B84)+(C85*E85/360*B85)</f>
        <v>1021464.8888888889</v>
      </c>
      <c r="G85" s="122"/>
      <c r="H85" s="122"/>
      <c r="I85" s="276"/>
    </row>
    <row r="86" spans="1:9" ht="12.75">
      <c r="A86" s="121">
        <v>38929</v>
      </c>
      <c r="B86" s="122">
        <f t="shared" si="3"/>
        <v>31</v>
      </c>
      <c r="C86" s="59">
        <f t="shared" si="2"/>
        <v>32800000</v>
      </c>
      <c r="D86" s="59">
        <v>1640000</v>
      </c>
      <c r="E86" s="122"/>
      <c r="F86" s="122"/>
      <c r="G86" s="122"/>
      <c r="H86" s="122"/>
      <c r="I86" s="276"/>
    </row>
    <row r="87" spans="1:9" ht="12.75">
      <c r="A87" s="121">
        <v>38960</v>
      </c>
      <c r="B87" s="122">
        <f t="shared" si="3"/>
        <v>31</v>
      </c>
      <c r="C87" s="59">
        <f t="shared" si="2"/>
        <v>31160000</v>
      </c>
      <c r="D87" s="59">
        <v>1640000</v>
      </c>
      <c r="E87" s="122"/>
      <c r="F87" s="122"/>
      <c r="G87" s="122"/>
      <c r="H87" s="122"/>
      <c r="I87" s="276"/>
    </row>
    <row r="88" spans="1:9" ht="12.75">
      <c r="A88" s="121">
        <v>38990</v>
      </c>
      <c r="B88" s="122">
        <f t="shared" si="3"/>
        <v>30</v>
      </c>
      <c r="C88" s="59">
        <f t="shared" si="2"/>
        <v>31160000</v>
      </c>
      <c r="D88" s="59"/>
      <c r="E88" s="123">
        <f>E85</f>
        <v>0.112</v>
      </c>
      <c r="F88" s="59">
        <f>((C86+D86)*E88/360*B86)+((C87+D87)*E88/360*B87)+(C88*E88/360*B88)</f>
        <v>939319.1111111112</v>
      </c>
      <c r="G88" s="122"/>
      <c r="H88" s="122"/>
      <c r="I88" s="276"/>
    </row>
    <row r="89" spans="1:9" ht="12.75">
      <c r="A89" s="121">
        <v>39021</v>
      </c>
      <c r="B89" s="122">
        <f t="shared" si="3"/>
        <v>31</v>
      </c>
      <c r="C89" s="59">
        <f t="shared" si="2"/>
        <v>29520000</v>
      </c>
      <c r="D89" s="59">
        <v>1640000</v>
      </c>
      <c r="E89" s="122"/>
      <c r="F89" s="122"/>
      <c r="G89" s="122"/>
      <c r="H89" s="122"/>
      <c r="I89" s="276"/>
    </row>
    <row r="90" spans="1:12" ht="12.75">
      <c r="A90" s="121">
        <v>39051</v>
      </c>
      <c r="B90" s="122">
        <f t="shared" si="3"/>
        <v>30</v>
      </c>
      <c r="C90" s="59">
        <f t="shared" si="2"/>
        <v>27880000</v>
      </c>
      <c r="D90" s="59">
        <v>1640000</v>
      </c>
      <c r="E90" s="122"/>
      <c r="F90" s="122"/>
      <c r="G90" s="122"/>
      <c r="H90" s="122"/>
      <c r="I90" s="276"/>
      <c r="J90" s="87"/>
      <c r="K90" s="87"/>
      <c r="L90" s="87"/>
    </row>
    <row r="91" spans="1:12" ht="12.75">
      <c r="A91" s="128">
        <v>39082</v>
      </c>
      <c r="B91" s="129">
        <f t="shared" si="3"/>
        <v>31</v>
      </c>
      <c r="C91" s="130">
        <f t="shared" si="2"/>
        <v>27880000</v>
      </c>
      <c r="D91" s="130"/>
      <c r="E91" s="131">
        <f>E88</f>
        <v>0.112</v>
      </c>
      <c r="F91" s="130">
        <f>((C89+D89)*E91/360*B89)+((C90+D90)*E91/360*B90)+(C91*E91/360*B91)</f>
        <v>844928</v>
      </c>
      <c r="G91" s="132">
        <f>SUM(F82:F91)</f>
        <v>3907792</v>
      </c>
      <c r="H91" s="132">
        <f>SUM(D80:D91)</f>
        <v>13120000</v>
      </c>
      <c r="I91" s="133">
        <f>SUM(G91:H91)</f>
        <v>17027792</v>
      </c>
      <c r="J91" s="87"/>
      <c r="K91" s="87"/>
      <c r="L91" s="87"/>
    </row>
    <row r="92" spans="1:12" ht="12.75">
      <c r="A92" s="115">
        <v>39113</v>
      </c>
      <c r="B92" s="116">
        <f t="shared" si="3"/>
        <v>31</v>
      </c>
      <c r="C92" s="117">
        <f t="shared" si="2"/>
        <v>26240000</v>
      </c>
      <c r="D92" s="59">
        <v>1640000</v>
      </c>
      <c r="E92" s="116"/>
      <c r="F92" s="116"/>
      <c r="G92" s="116"/>
      <c r="H92" s="116"/>
      <c r="I92" s="285"/>
      <c r="J92" s="87"/>
      <c r="K92" s="87"/>
      <c r="L92" s="87"/>
    </row>
    <row r="93" spans="1:12" ht="12.75">
      <c r="A93" s="121">
        <v>39141</v>
      </c>
      <c r="B93" s="122">
        <f t="shared" si="3"/>
        <v>28</v>
      </c>
      <c r="C93" s="59">
        <f t="shared" si="2"/>
        <v>24600000</v>
      </c>
      <c r="D93" s="59">
        <v>1640000</v>
      </c>
      <c r="E93" s="122"/>
      <c r="F93" s="122"/>
      <c r="G93" s="122"/>
      <c r="H93" s="122"/>
      <c r="I93" s="276"/>
      <c r="J93" s="87"/>
      <c r="K93" s="87"/>
      <c r="L93" s="87"/>
    </row>
    <row r="94" spans="1:12" ht="12.75">
      <c r="A94" s="121">
        <v>39172</v>
      </c>
      <c r="B94" s="122">
        <f t="shared" si="3"/>
        <v>31</v>
      </c>
      <c r="C94" s="59">
        <f t="shared" si="2"/>
        <v>24600000</v>
      </c>
      <c r="D94" s="59"/>
      <c r="E94" s="123">
        <f>E91</f>
        <v>0.112</v>
      </c>
      <c r="F94" s="59">
        <f>((C92+D92)*E94/360*B92)+((C93+D93)*E94/360*B93)+(C94*E94/360*B94)</f>
        <v>734720</v>
      </c>
      <c r="G94" s="122"/>
      <c r="H94" s="122"/>
      <c r="I94" s="276"/>
      <c r="J94" s="87"/>
      <c r="K94" s="87"/>
      <c r="L94" s="87"/>
    </row>
    <row r="95" spans="1:9" ht="12.75">
      <c r="A95" s="121">
        <v>39202</v>
      </c>
      <c r="B95" s="122">
        <f t="shared" si="3"/>
        <v>30</v>
      </c>
      <c r="C95" s="59">
        <f t="shared" si="2"/>
        <v>22960000</v>
      </c>
      <c r="D95" s="59">
        <v>1640000</v>
      </c>
      <c r="E95" s="122"/>
      <c r="F95" s="122"/>
      <c r="G95" s="122"/>
      <c r="H95" s="122"/>
      <c r="I95" s="276"/>
    </row>
    <row r="96" spans="1:9" ht="12.75">
      <c r="A96" s="121">
        <v>39233</v>
      </c>
      <c r="B96" s="122">
        <f t="shared" si="3"/>
        <v>31</v>
      </c>
      <c r="C96" s="59">
        <f t="shared" si="2"/>
        <v>21320000</v>
      </c>
      <c r="D96" s="59">
        <v>1640000</v>
      </c>
      <c r="E96" s="122"/>
      <c r="F96" s="122"/>
      <c r="G96" s="122"/>
      <c r="H96" s="122"/>
      <c r="I96" s="276"/>
    </row>
    <row r="97" spans="1:9" ht="12.75">
      <c r="A97" s="121">
        <v>39263</v>
      </c>
      <c r="B97" s="122">
        <f t="shared" si="3"/>
        <v>30</v>
      </c>
      <c r="C97" s="59">
        <f t="shared" si="2"/>
        <v>21320000</v>
      </c>
      <c r="D97" s="59"/>
      <c r="E97" s="123">
        <f>E94</f>
        <v>0.112</v>
      </c>
      <c r="F97" s="59">
        <f>((C95+D95)*E97/360*B95)+((C96+D96)*E97/360*B96)+(C97*E97/360*B97)</f>
        <v>650023.1111111111</v>
      </c>
      <c r="G97" s="122"/>
      <c r="H97" s="122"/>
      <c r="I97" s="276"/>
    </row>
    <row r="98" spans="1:9" ht="12.75">
      <c r="A98" s="121">
        <v>39294</v>
      </c>
      <c r="B98" s="122">
        <f t="shared" si="3"/>
        <v>31</v>
      </c>
      <c r="C98" s="59">
        <f t="shared" si="2"/>
        <v>19680000</v>
      </c>
      <c r="D98" s="59">
        <v>1640000</v>
      </c>
      <c r="E98" s="122"/>
      <c r="F98" s="122"/>
      <c r="G98" s="122"/>
      <c r="H98" s="122"/>
      <c r="I98" s="276"/>
    </row>
    <row r="99" spans="1:9" ht="12.75">
      <c r="A99" s="121">
        <v>39325</v>
      </c>
      <c r="B99" s="122">
        <f t="shared" si="3"/>
        <v>31</v>
      </c>
      <c r="C99" s="59">
        <f t="shared" si="2"/>
        <v>18040000</v>
      </c>
      <c r="D99" s="59">
        <v>1640000</v>
      </c>
      <c r="E99" s="122"/>
      <c r="F99" s="122"/>
      <c r="G99" s="122"/>
      <c r="H99" s="122"/>
      <c r="I99" s="276"/>
    </row>
    <row r="100" spans="1:10" ht="12.75">
      <c r="A100" s="121">
        <v>39355</v>
      </c>
      <c r="B100" s="122">
        <f t="shared" si="3"/>
        <v>30</v>
      </c>
      <c r="C100" s="59">
        <f t="shared" si="2"/>
        <v>18040000</v>
      </c>
      <c r="D100" s="59"/>
      <c r="E100" s="123">
        <f>E97</f>
        <v>0.112</v>
      </c>
      <c r="F100" s="59">
        <f>((C98+D98)*E100/360*B98)+((C99+D99)*E100/360*B99)+(C100*E100/360*B100)</f>
        <v>563795.5555555556</v>
      </c>
      <c r="G100" s="122"/>
      <c r="H100" s="122"/>
      <c r="I100" s="276"/>
      <c r="J100" s="87"/>
    </row>
    <row r="101" spans="1:10" ht="12.75">
      <c r="A101" s="121">
        <v>39386</v>
      </c>
      <c r="B101" s="122">
        <f t="shared" si="3"/>
        <v>31</v>
      </c>
      <c r="C101" s="59">
        <f t="shared" si="2"/>
        <v>16400000</v>
      </c>
      <c r="D101" s="59">
        <v>1640000</v>
      </c>
      <c r="E101" s="122"/>
      <c r="F101" s="122"/>
      <c r="G101" s="122"/>
      <c r="H101" s="122"/>
      <c r="I101" s="276"/>
      <c r="J101" s="87"/>
    </row>
    <row r="102" spans="1:10" ht="12.75">
      <c r="A102" s="121">
        <v>39416</v>
      </c>
      <c r="B102" s="122">
        <f t="shared" si="3"/>
        <v>30</v>
      </c>
      <c r="C102" s="59">
        <f t="shared" si="2"/>
        <v>14760000</v>
      </c>
      <c r="D102" s="59">
        <v>1640000</v>
      </c>
      <c r="E102" s="122"/>
      <c r="F102" s="122"/>
      <c r="G102" s="122"/>
      <c r="H102" s="122"/>
      <c r="I102" s="276"/>
      <c r="J102" s="87"/>
    </row>
    <row r="103" spans="1:10" ht="12.75">
      <c r="A103" s="128">
        <v>39447</v>
      </c>
      <c r="B103" s="129">
        <f t="shared" si="3"/>
        <v>31</v>
      </c>
      <c r="C103" s="130">
        <f t="shared" si="2"/>
        <v>14760000</v>
      </c>
      <c r="D103" s="130"/>
      <c r="E103" s="131">
        <f>E100</f>
        <v>0.112</v>
      </c>
      <c r="F103" s="59">
        <f>((C101+D101)*E103/360*B101)+((C102+D102)*E103/360*B102)+(C103*E103/360*B103)</f>
        <v>469404.4444444445</v>
      </c>
      <c r="G103" s="132">
        <f>SUM(F94:F103)</f>
        <v>2417943.111111111</v>
      </c>
      <c r="H103" s="132">
        <f>SUM(D92:D103)</f>
        <v>13120000</v>
      </c>
      <c r="I103" s="133">
        <f>SUM(G103:H103)</f>
        <v>15537943.111111112</v>
      </c>
      <c r="J103" s="87"/>
    </row>
    <row r="104" spans="1:10" ht="12.75">
      <c r="A104" s="134">
        <v>39478</v>
      </c>
      <c r="B104" s="135">
        <f t="shared" si="3"/>
        <v>31</v>
      </c>
      <c r="C104" s="60">
        <f t="shared" si="2"/>
        <v>13120000</v>
      </c>
      <c r="D104" s="60">
        <v>1640000</v>
      </c>
      <c r="E104" s="135"/>
      <c r="F104" s="135"/>
      <c r="G104" s="135"/>
      <c r="H104" s="135"/>
      <c r="I104" s="287"/>
      <c r="J104" s="87"/>
    </row>
    <row r="105" spans="1:10" ht="12.75">
      <c r="A105" s="121">
        <v>39506</v>
      </c>
      <c r="B105" s="122">
        <f t="shared" si="3"/>
        <v>28</v>
      </c>
      <c r="C105" s="59">
        <f t="shared" si="2"/>
        <v>11480000</v>
      </c>
      <c r="D105" s="59">
        <v>1640000</v>
      </c>
      <c r="E105" s="122"/>
      <c r="F105" s="122"/>
      <c r="G105" s="122"/>
      <c r="H105" s="122"/>
      <c r="I105" s="276"/>
      <c r="J105" s="87"/>
    </row>
    <row r="106" spans="1:9" ht="12.75">
      <c r="A106" s="121">
        <v>39538</v>
      </c>
      <c r="B106" s="122">
        <f t="shared" si="3"/>
        <v>32</v>
      </c>
      <c r="C106" s="59">
        <f t="shared" si="2"/>
        <v>11480000</v>
      </c>
      <c r="D106" s="59"/>
      <c r="E106" s="123">
        <f>E103</f>
        <v>0.112</v>
      </c>
      <c r="F106" s="59">
        <f>((C104+D104)*E106/360*B104)+((C105+D105)*E106/360*B105)+(C106*E106/360*B106)</f>
        <v>370931.55555555556</v>
      </c>
      <c r="G106" s="122"/>
      <c r="H106" s="122"/>
      <c r="I106" s="276"/>
    </row>
    <row r="107" spans="1:9" ht="12.75">
      <c r="A107" s="121">
        <v>39568</v>
      </c>
      <c r="B107" s="122">
        <f t="shared" si="3"/>
        <v>30</v>
      </c>
      <c r="C107" s="59">
        <f t="shared" si="2"/>
        <v>9840000</v>
      </c>
      <c r="D107" s="59">
        <v>1640000</v>
      </c>
      <c r="E107" s="122"/>
      <c r="F107" s="122"/>
      <c r="G107" s="122"/>
      <c r="H107" s="122"/>
      <c r="I107" s="276"/>
    </row>
    <row r="108" spans="1:9" ht="12.75">
      <c r="A108" s="121">
        <v>39599</v>
      </c>
      <c r="B108" s="122">
        <f t="shared" si="3"/>
        <v>31</v>
      </c>
      <c r="C108" s="59">
        <f t="shared" si="2"/>
        <v>8200000</v>
      </c>
      <c r="D108" s="59">
        <v>1640000</v>
      </c>
      <c r="E108" s="122"/>
      <c r="F108" s="122"/>
      <c r="G108" s="122"/>
      <c r="H108" s="122"/>
      <c r="I108" s="276"/>
    </row>
    <row r="109" spans="1:9" ht="12.75">
      <c r="A109" s="121">
        <v>39629</v>
      </c>
      <c r="B109" s="122">
        <f aca="true" t="shared" si="4" ref="B109:B115">A109-A108</f>
        <v>30</v>
      </c>
      <c r="C109" s="59">
        <f aca="true" t="shared" si="5" ref="C109:C115">C108-D109</f>
        <v>8200000</v>
      </c>
      <c r="D109" s="59"/>
      <c r="E109" s="123">
        <f>E106</f>
        <v>0.112</v>
      </c>
      <c r="F109" s="59">
        <f>((C107+D107)*E109/360*B107)+((C108+D108)*E109/360*B108)+(C109*E109/360*B109)</f>
        <v>278581.3333333334</v>
      </c>
      <c r="G109" s="122"/>
      <c r="H109" s="122"/>
      <c r="I109" s="276"/>
    </row>
    <row r="110" spans="1:9" ht="12.75">
      <c r="A110" s="121">
        <v>39660</v>
      </c>
      <c r="B110" s="122">
        <f t="shared" si="4"/>
        <v>31</v>
      </c>
      <c r="C110" s="59">
        <f t="shared" si="5"/>
        <v>6560000</v>
      </c>
      <c r="D110" s="59">
        <v>1640000</v>
      </c>
      <c r="E110" s="122"/>
      <c r="F110" s="122"/>
      <c r="G110" s="122"/>
      <c r="H110" s="122"/>
      <c r="I110" s="276"/>
    </row>
    <row r="111" spans="1:9" ht="12.75">
      <c r="A111" s="121">
        <v>39691</v>
      </c>
      <c r="B111" s="122">
        <f t="shared" si="4"/>
        <v>31</v>
      </c>
      <c r="C111" s="59">
        <f t="shared" si="5"/>
        <v>4920000</v>
      </c>
      <c r="D111" s="59">
        <v>1640000</v>
      </c>
      <c r="E111" s="122"/>
      <c r="F111" s="122"/>
      <c r="G111" s="122"/>
      <c r="H111" s="122"/>
      <c r="I111" s="276"/>
    </row>
    <row r="112" spans="1:10" ht="12.75">
      <c r="A112" s="121">
        <v>39721</v>
      </c>
      <c r="B112" s="122">
        <f t="shared" si="4"/>
        <v>30</v>
      </c>
      <c r="C112" s="59">
        <f t="shared" si="5"/>
        <v>4920000</v>
      </c>
      <c r="D112" s="59"/>
      <c r="E112" s="123">
        <f>E109</f>
        <v>0.112</v>
      </c>
      <c r="F112" s="59">
        <f>((C110+D110)*E112/360*B110)+((C111+D111)*E112/360*B111)+(C112*E112/360*B112)</f>
        <v>188272</v>
      </c>
      <c r="G112" s="122"/>
      <c r="H112" s="122"/>
      <c r="I112" s="276"/>
      <c r="J112" s="87"/>
    </row>
    <row r="113" spans="1:10" ht="12.75">
      <c r="A113" s="121">
        <v>39752</v>
      </c>
      <c r="B113" s="122">
        <f t="shared" si="4"/>
        <v>31</v>
      </c>
      <c r="C113" s="59">
        <f t="shared" si="5"/>
        <v>3280000</v>
      </c>
      <c r="D113" s="59">
        <v>1640000</v>
      </c>
      <c r="E113" s="122"/>
      <c r="F113" s="122"/>
      <c r="G113" s="122"/>
      <c r="H113" s="122"/>
      <c r="I113" s="276"/>
      <c r="J113" s="87"/>
    </row>
    <row r="114" spans="1:10" ht="12.75">
      <c r="A114" s="288">
        <v>39782</v>
      </c>
      <c r="B114" s="122">
        <f t="shared" si="4"/>
        <v>30</v>
      </c>
      <c r="C114" s="138">
        <f t="shared" si="5"/>
        <v>1640000</v>
      </c>
      <c r="D114" s="59">
        <v>1640000</v>
      </c>
      <c r="E114" s="122"/>
      <c r="F114" s="122"/>
      <c r="G114" s="122"/>
      <c r="H114" s="122"/>
      <c r="I114" s="276"/>
      <c r="J114" s="87"/>
    </row>
    <row r="115" spans="1:10" ht="13.5" thickBot="1">
      <c r="A115" s="145">
        <v>39812</v>
      </c>
      <c r="B115" s="122">
        <f t="shared" si="4"/>
        <v>30</v>
      </c>
      <c r="C115" s="138">
        <f t="shared" si="5"/>
        <v>0</v>
      </c>
      <c r="D115" s="59">
        <v>1640000</v>
      </c>
      <c r="E115" s="289">
        <f>E112</f>
        <v>0.112</v>
      </c>
      <c r="F115" s="59">
        <f>((C113+D113)*E115/360*B113)+((C114+D114)*E115/360*B114)+(D115*E115/360*B115)</f>
        <v>93370.66666666667</v>
      </c>
      <c r="G115" s="290">
        <f>SUM(F105:F115)</f>
        <v>931155.5555555556</v>
      </c>
      <c r="H115" s="290">
        <f>SUM(D103:D115)</f>
        <v>14760000</v>
      </c>
      <c r="I115" s="291">
        <f>SUM(G115:H115)</f>
        <v>15691155.555555556</v>
      </c>
      <c r="J115" s="87"/>
    </row>
    <row r="116" spans="1:10" ht="13.5" thickTop="1">
      <c r="A116" s="350" t="s">
        <v>14</v>
      </c>
      <c r="B116" s="351"/>
      <c r="C116" s="352"/>
      <c r="D116" s="292">
        <f>SUM(D8:D115)</f>
        <v>200000000</v>
      </c>
      <c r="E116" s="293"/>
      <c r="F116" s="151">
        <f>SUM(F10:F115)</f>
        <v>73662550.72511414</v>
      </c>
      <c r="G116" s="151">
        <f>SUM(G19:G115)</f>
        <v>73662550.72511414</v>
      </c>
      <c r="H116" s="151">
        <f>SUM(H19:H115)</f>
        <v>200000000</v>
      </c>
      <c r="I116" s="294">
        <f>SUM(I19:I115)</f>
        <v>273662550.72511417</v>
      </c>
      <c r="J116" s="87"/>
    </row>
    <row r="117" ht="12.75">
      <c r="J117" s="87"/>
    </row>
  </sheetData>
  <mergeCells count="1">
    <mergeCell ref="A116:C116"/>
  </mergeCells>
  <printOptions horizontalCentered="1"/>
  <pageMargins left="0.5905511811023623" right="0.5905511811023623" top="0.7874015748031497" bottom="0.5905511811023623" header="0.1968503937007874" footer="0.1968503937007874"/>
  <pageSetup blackAndWhite="1" horizontalDpi="300" verticalDpi="300" orientation="portrait" paperSize="9" r:id="rId1"/>
  <headerFooter alignWithMargins="0">
    <oddHeader>&amp;C&amp;"Times New Roman CE,Félkövér"&amp;12Adósságszolgálat számítása az OTP tájékoztatása alapján&amp;"Times New Roman CE,Félkövér dőlt"
1998. évben felvett 200 MFt célhitel</oddHeader>
    <oddFooter>&amp;L&amp;9Nyomtatás dátuma: &amp;D
C:\Andi\adósságszolgálat\&amp;F\&amp;A&amp;R&amp;P/&amp;N</oddFooter>
  </headerFooter>
  <rowBreaks count="2" manualBreakCount="2">
    <brk id="55" max="255" man="1"/>
    <brk id="1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57"/>
  <sheetViews>
    <sheetView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10.875" style="89" customWidth="1"/>
    <col min="2" max="2" width="6.875" style="89" customWidth="1"/>
    <col min="3" max="3" width="12.375" style="155" bestFit="1" customWidth="1"/>
    <col min="4" max="4" width="12.625" style="155" bestFit="1" customWidth="1"/>
    <col min="5" max="5" width="9.00390625" style="156" customWidth="1"/>
    <col min="6" max="6" width="11.375" style="89" customWidth="1"/>
    <col min="7" max="7" width="12.625" style="89" bestFit="1" customWidth="1"/>
    <col min="8" max="9" width="12.375" style="89" customWidth="1"/>
    <col min="10" max="10" width="10.125" style="89" bestFit="1" customWidth="1"/>
    <col min="11" max="16384" width="9.375" style="89" customWidth="1"/>
  </cols>
  <sheetData>
    <row r="1" spans="1:9" ht="12.75">
      <c r="A1" s="200" t="s">
        <v>110</v>
      </c>
      <c r="B1" s="199"/>
      <c r="C1" s="200"/>
      <c r="D1" s="200"/>
      <c r="E1" s="201"/>
      <c r="G1" s="200"/>
      <c r="H1" s="200"/>
      <c r="I1" s="200"/>
    </row>
    <row r="2" spans="1:9" ht="12.75">
      <c r="A2" s="172" t="s">
        <v>1</v>
      </c>
      <c r="B2" s="170"/>
      <c r="C2" s="169"/>
      <c r="D2" s="169"/>
      <c r="E2" s="202"/>
      <c r="F2" s="169"/>
      <c r="G2" s="169"/>
      <c r="H2" s="169"/>
      <c r="I2" s="169"/>
    </row>
    <row r="3" spans="1:9" ht="12.75">
      <c r="A3" s="171" t="s">
        <v>72</v>
      </c>
      <c r="B3" s="170"/>
      <c r="C3" s="169"/>
      <c r="D3" s="169"/>
      <c r="E3" s="202"/>
      <c r="F3" s="169"/>
      <c r="G3" s="169"/>
      <c r="H3" s="169"/>
      <c r="I3" s="170" t="s">
        <v>2</v>
      </c>
    </row>
    <row r="4" spans="1:9" ht="12.75">
      <c r="A4" s="97" t="s">
        <v>3</v>
      </c>
      <c r="B4" s="98" t="s">
        <v>4</v>
      </c>
      <c r="C4" s="99" t="s">
        <v>5</v>
      </c>
      <c r="D4" s="99" t="s">
        <v>21</v>
      </c>
      <c r="E4" s="99" t="s">
        <v>18</v>
      </c>
      <c r="F4" s="100" t="s">
        <v>20</v>
      </c>
      <c r="G4" s="101" t="s">
        <v>6</v>
      </c>
      <c r="H4" s="101" t="s">
        <v>6</v>
      </c>
      <c r="I4" s="102" t="s">
        <v>6</v>
      </c>
    </row>
    <row r="5" spans="1:9" ht="12.75">
      <c r="A5" s="103"/>
      <c r="B5" s="104" t="s">
        <v>7</v>
      </c>
      <c r="C5" s="105" t="s">
        <v>8</v>
      </c>
      <c r="D5" s="105" t="s">
        <v>13</v>
      </c>
      <c r="E5" s="105" t="s">
        <v>19</v>
      </c>
      <c r="F5" s="106" t="s">
        <v>13</v>
      </c>
      <c r="G5" s="107" t="s">
        <v>9</v>
      </c>
      <c r="H5" s="107" t="s">
        <v>11</v>
      </c>
      <c r="I5" s="108" t="s">
        <v>10</v>
      </c>
    </row>
    <row r="6" spans="1:9" ht="12.75">
      <c r="A6" s="109"/>
      <c r="B6" s="110"/>
      <c r="C6" s="111"/>
      <c r="D6" s="111"/>
      <c r="E6" s="111"/>
      <c r="F6" s="112"/>
      <c r="G6" s="112"/>
      <c r="H6" s="113" t="s">
        <v>13</v>
      </c>
      <c r="I6" s="114" t="s">
        <v>12</v>
      </c>
    </row>
    <row r="7" spans="1:9" ht="12.75">
      <c r="A7" s="115">
        <v>36526</v>
      </c>
      <c r="B7" s="174"/>
      <c r="C7" s="175">
        <v>200000000</v>
      </c>
      <c r="D7" s="175"/>
      <c r="E7" s="175"/>
      <c r="F7" s="175"/>
      <c r="G7" s="185"/>
      <c r="H7" s="185"/>
      <c r="I7" s="186"/>
    </row>
    <row r="8" spans="1:9" ht="12.75">
      <c r="A8" s="115">
        <v>36616</v>
      </c>
      <c r="B8" s="174">
        <f aca="true" t="shared" si="0" ref="B8:B50">A8-A7</f>
        <v>90</v>
      </c>
      <c r="C8" s="175">
        <v>200000000</v>
      </c>
      <c r="D8" s="174"/>
      <c r="E8" s="84">
        <v>0.1413</v>
      </c>
      <c r="F8" s="175">
        <f>C8*E8/365*B8</f>
        <v>6968219.178082192</v>
      </c>
      <c r="G8" s="185"/>
      <c r="H8" s="185"/>
      <c r="I8" s="186"/>
    </row>
    <row r="9" spans="1:9" ht="12.75">
      <c r="A9" s="115">
        <v>36705</v>
      </c>
      <c r="B9" s="174">
        <f t="shared" si="0"/>
        <v>89</v>
      </c>
      <c r="C9" s="175">
        <f aca="true" t="shared" si="1" ref="C9:C49">C8-D9</f>
        <v>196667000</v>
      </c>
      <c r="D9" s="175">
        <v>3333000</v>
      </c>
      <c r="E9" s="84"/>
      <c r="F9" s="175"/>
      <c r="G9" s="185"/>
      <c r="H9" s="185"/>
      <c r="I9" s="186"/>
    </row>
    <row r="10" spans="1:9" ht="12.75">
      <c r="A10" s="115">
        <v>36707</v>
      </c>
      <c r="B10" s="174">
        <f t="shared" si="0"/>
        <v>2</v>
      </c>
      <c r="C10" s="175">
        <f t="shared" si="1"/>
        <v>196667000</v>
      </c>
      <c r="D10" s="175"/>
      <c r="E10" s="84">
        <v>0.109</v>
      </c>
      <c r="F10" s="175">
        <f>((C9+D9)*E10/365*B9)+(C10*E10/365*B10)</f>
        <v>5433077.824657533</v>
      </c>
      <c r="G10" s="185"/>
      <c r="H10" s="185"/>
      <c r="I10" s="186"/>
    </row>
    <row r="11" spans="1:9" ht="12.75">
      <c r="A11" s="115">
        <v>36735</v>
      </c>
      <c r="B11" s="174">
        <f t="shared" si="0"/>
        <v>28</v>
      </c>
      <c r="C11" s="175">
        <f t="shared" si="1"/>
        <v>193334000</v>
      </c>
      <c r="D11" s="175">
        <v>3333000</v>
      </c>
      <c r="E11" s="84"/>
      <c r="F11" s="175"/>
      <c r="G11" s="185"/>
      <c r="H11" s="185"/>
      <c r="I11" s="186"/>
    </row>
    <row r="12" spans="1:9" ht="12.75">
      <c r="A12" s="115">
        <v>36766</v>
      </c>
      <c r="B12" s="174">
        <f t="shared" si="0"/>
        <v>31</v>
      </c>
      <c r="C12" s="175">
        <f t="shared" si="1"/>
        <v>190001000</v>
      </c>
      <c r="D12" s="175">
        <v>3333000</v>
      </c>
      <c r="E12" s="84"/>
      <c r="F12" s="175"/>
      <c r="G12" s="185"/>
      <c r="H12" s="185"/>
      <c r="I12" s="186"/>
    </row>
    <row r="13" spans="1:9" ht="12.75">
      <c r="A13" s="115">
        <v>36797</v>
      </c>
      <c r="B13" s="174">
        <f t="shared" si="0"/>
        <v>31</v>
      </c>
      <c r="C13" s="175">
        <f t="shared" si="1"/>
        <v>186668000</v>
      </c>
      <c r="D13" s="175">
        <v>3333000</v>
      </c>
      <c r="E13" s="84"/>
      <c r="F13" s="175"/>
      <c r="G13" s="185"/>
      <c r="H13" s="185"/>
      <c r="I13" s="186"/>
    </row>
    <row r="14" spans="1:9" ht="12.75">
      <c r="A14" s="115">
        <v>36799</v>
      </c>
      <c r="B14" s="174">
        <f t="shared" si="0"/>
        <v>2</v>
      </c>
      <c r="C14" s="175">
        <f t="shared" si="1"/>
        <v>186668000</v>
      </c>
      <c r="D14" s="175"/>
      <c r="E14" s="84">
        <v>0.1111</v>
      </c>
      <c r="F14" s="175">
        <f>((C11+D11)*E14/365*B11)+((C12+D12)*E14/365*B12)+((C13+D13)*E14/365*B13)+C14*E14/365*B14</f>
        <v>5406886.045753424</v>
      </c>
      <c r="G14" s="185"/>
      <c r="H14" s="185"/>
      <c r="I14" s="186"/>
    </row>
    <row r="15" spans="1:9" ht="12.75">
      <c r="A15" s="115">
        <v>36827</v>
      </c>
      <c r="B15" s="174">
        <f t="shared" si="0"/>
        <v>28</v>
      </c>
      <c r="C15" s="175">
        <f t="shared" si="1"/>
        <v>183335000</v>
      </c>
      <c r="D15" s="175">
        <v>3333000</v>
      </c>
      <c r="E15" s="84"/>
      <c r="F15" s="175"/>
      <c r="G15" s="185"/>
      <c r="H15" s="185"/>
      <c r="I15" s="186"/>
    </row>
    <row r="16" spans="1:9" ht="12.75">
      <c r="A16" s="115">
        <v>36858</v>
      </c>
      <c r="B16" s="174">
        <f t="shared" si="0"/>
        <v>31</v>
      </c>
      <c r="C16" s="175">
        <f t="shared" si="1"/>
        <v>180002000</v>
      </c>
      <c r="D16" s="175">
        <v>3333000</v>
      </c>
      <c r="E16" s="84"/>
      <c r="F16" s="175"/>
      <c r="G16" s="185"/>
      <c r="H16" s="185"/>
      <c r="I16" s="186"/>
    </row>
    <row r="17" spans="1:9" ht="12.75">
      <c r="A17" s="115">
        <v>36888</v>
      </c>
      <c r="B17" s="174">
        <f t="shared" si="0"/>
        <v>30</v>
      </c>
      <c r="C17" s="175">
        <f t="shared" si="1"/>
        <v>176669000</v>
      </c>
      <c r="D17" s="175">
        <v>3333000</v>
      </c>
      <c r="E17" s="84"/>
      <c r="F17" s="175"/>
      <c r="G17" s="185"/>
      <c r="H17" s="185"/>
      <c r="I17" s="186"/>
    </row>
    <row r="18" spans="1:9" ht="12.75">
      <c r="A18" s="179">
        <v>36891</v>
      </c>
      <c r="B18" s="280">
        <f t="shared" si="0"/>
        <v>3</v>
      </c>
      <c r="C18" s="180">
        <f t="shared" si="1"/>
        <v>176669000</v>
      </c>
      <c r="D18" s="180"/>
      <c r="E18" s="131">
        <f>E14</f>
        <v>0.1111</v>
      </c>
      <c r="F18" s="181">
        <f>((C15+D15)*E18/365*B15)+((C16+D16)*E18/365*B16)+((C17+D17)*E18/365*B17)+C18*E18/365*B18</f>
        <v>5125866.661917808</v>
      </c>
      <c r="G18" s="187">
        <f>SUM(F8:F18)</f>
        <v>22934049.71041096</v>
      </c>
      <c r="H18" s="187">
        <f>SUM(D9:D18)</f>
        <v>23331000</v>
      </c>
      <c r="I18" s="188">
        <f>SUM(G18:H18)</f>
        <v>46265049.71041096</v>
      </c>
    </row>
    <row r="19" spans="1:9" ht="12.75">
      <c r="A19" s="115">
        <v>36919</v>
      </c>
      <c r="B19" s="174">
        <f t="shared" si="0"/>
        <v>28</v>
      </c>
      <c r="C19" s="175">
        <f t="shared" si="1"/>
        <v>173336000</v>
      </c>
      <c r="D19" s="175">
        <v>3333000</v>
      </c>
      <c r="E19" s="84"/>
      <c r="F19" s="175"/>
      <c r="G19" s="185"/>
      <c r="H19" s="185"/>
      <c r="I19" s="186"/>
    </row>
    <row r="20" spans="1:9" ht="12.75">
      <c r="A20" s="115">
        <v>36950</v>
      </c>
      <c r="B20" s="174">
        <f t="shared" si="0"/>
        <v>31</v>
      </c>
      <c r="C20" s="175">
        <f t="shared" si="1"/>
        <v>170003000</v>
      </c>
      <c r="D20" s="175">
        <v>3333000</v>
      </c>
      <c r="E20" s="84"/>
      <c r="F20" s="175"/>
      <c r="G20" s="185"/>
      <c r="H20" s="185"/>
      <c r="I20" s="186"/>
    </row>
    <row r="21" spans="1:9" ht="12.75">
      <c r="A21" s="115">
        <v>36978</v>
      </c>
      <c r="B21" s="174">
        <f t="shared" si="0"/>
        <v>28</v>
      </c>
      <c r="C21" s="175">
        <f t="shared" si="1"/>
        <v>166670000</v>
      </c>
      <c r="D21" s="175">
        <v>3333000</v>
      </c>
      <c r="E21" s="84"/>
      <c r="F21" s="175"/>
      <c r="G21" s="185"/>
      <c r="H21" s="185"/>
      <c r="I21" s="186"/>
    </row>
    <row r="22" spans="1:9" ht="12.75">
      <c r="A22" s="121">
        <v>36981</v>
      </c>
      <c r="B22" s="281">
        <f t="shared" si="0"/>
        <v>3</v>
      </c>
      <c r="C22" s="191">
        <f t="shared" si="1"/>
        <v>166670000</v>
      </c>
      <c r="D22" s="191"/>
      <c r="E22" s="84">
        <f>F22/(((C19+D19)*B19)+((C20+D20)*B20)+((C21+D21)*B21)+(C22*B22))*365</f>
        <v>0.12369512617326484</v>
      </c>
      <c r="F22" s="175">
        <v>5280000</v>
      </c>
      <c r="G22" s="192"/>
      <c r="H22" s="192"/>
      <c r="I22" s="193"/>
    </row>
    <row r="23" spans="1:9" ht="12.75">
      <c r="A23" s="121">
        <v>37009</v>
      </c>
      <c r="B23" s="281">
        <f t="shared" si="0"/>
        <v>28</v>
      </c>
      <c r="C23" s="191">
        <f t="shared" si="1"/>
        <v>163337000</v>
      </c>
      <c r="D23" s="191">
        <v>3333000</v>
      </c>
      <c r="E23" s="84"/>
      <c r="F23" s="191"/>
      <c r="G23" s="192"/>
      <c r="H23" s="192"/>
      <c r="I23" s="193"/>
    </row>
    <row r="24" spans="1:9" ht="12.75">
      <c r="A24" s="115">
        <v>37039</v>
      </c>
      <c r="B24" s="174">
        <f t="shared" si="0"/>
        <v>30</v>
      </c>
      <c r="C24" s="175">
        <f t="shared" si="1"/>
        <v>160004000</v>
      </c>
      <c r="D24" s="175">
        <v>3333000</v>
      </c>
      <c r="E24" s="84"/>
      <c r="F24" s="175"/>
      <c r="G24" s="185"/>
      <c r="H24" s="185"/>
      <c r="I24" s="186"/>
    </row>
    <row r="25" spans="1:9" ht="12.75">
      <c r="A25" s="115">
        <v>37070</v>
      </c>
      <c r="B25" s="174">
        <f t="shared" si="0"/>
        <v>31</v>
      </c>
      <c r="C25" s="175">
        <f t="shared" si="1"/>
        <v>156671000</v>
      </c>
      <c r="D25" s="175">
        <v>3333000</v>
      </c>
      <c r="E25" s="84"/>
      <c r="F25" s="175"/>
      <c r="G25" s="185"/>
      <c r="H25" s="185"/>
      <c r="I25" s="186"/>
    </row>
    <row r="26" spans="1:9" ht="12.75">
      <c r="A26" s="121">
        <v>37072</v>
      </c>
      <c r="B26" s="281">
        <f t="shared" si="0"/>
        <v>2</v>
      </c>
      <c r="C26" s="191">
        <f t="shared" si="1"/>
        <v>156671000</v>
      </c>
      <c r="D26" s="191"/>
      <c r="E26" s="84">
        <f>F26/(((C23+D23)*B23)+((C24+D24)*B24)+((C25+D25)*B25)+(C26*B26))*365</f>
        <v>0.11492800264091056</v>
      </c>
      <c r="F26" s="175">
        <v>4672795</v>
      </c>
      <c r="G26" s="192"/>
      <c r="H26" s="192"/>
      <c r="I26" s="193"/>
    </row>
    <row r="27" spans="1:9" ht="12.75">
      <c r="A27" s="121">
        <v>37100</v>
      </c>
      <c r="B27" s="281">
        <f t="shared" si="0"/>
        <v>28</v>
      </c>
      <c r="C27" s="191">
        <f t="shared" si="1"/>
        <v>153338000</v>
      </c>
      <c r="D27" s="191">
        <v>3333000</v>
      </c>
      <c r="E27" s="282"/>
      <c r="F27" s="191"/>
      <c r="G27" s="192"/>
      <c r="H27" s="192"/>
      <c r="I27" s="193"/>
    </row>
    <row r="28" spans="1:9" ht="12.75">
      <c r="A28" s="115">
        <v>37131</v>
      </c>
      <c r="B28" s="174">
        <f t="shared" si="0"/>
        <v>31</v>
      </c>
      <c r="C28" s="175">
        <f t="shared" si="1"/>
        <v>150005000</v>
      </c>
      <c r="D28" s="175">
        <v>3333000</v>
      </c>
      <c r="E28" s="84"/>
      <c r="F28" s="175"/>
      <c r="G28" s="185"/>
      <c r="H28" s="185"/>
      <c r="I28" s="186"/>
    </row>
    <row r="29" spans="1:9" ht="12.75">
      <c r="A29" s="115">
        <v>37162</v>
      </c>
      <c r="B29" s="174">
        <f t="shared" si="0"/>
        <v>31</v>
      </c>
      <c r="C29" s="175">
        <f t="shared" si="1"/>
        <v>146672000</v>
      </c>
      <c r="D29" s="175">
        <v>3333000</v>
      </c>
      <c r="E29" s="84"/>
      <c r="F29" s="175"/>
      <c r="G29" s="185"/>
      <c r="H29" s="185"/>
      <c r="I29" s="186"/>
    </row>
    <row r="30" spans="1:9" ht="12.75">
      <c r="A30" s="115">
        <v>37164</v>
      </c>
      <c r="B30" s="174">
        <f t="shared" si="0"/>
        <v>2</v>
      </c>
      <c r="C30" s="175">
        <f t="shared" si="1"/>
        <v>146672000</v>
      </c>
      <c r="D30" s="175"/>
      <c r="E30" s="84">
        <f>F30/(((C27+D27)*B27)+((C28+D28)*B28)+((C29+D29)*B29)+(C30*B30))*365</f>
        <v>0.11060316896795708</v>
      </c>
      <c r="F30" s="175">
        <v>4267696</v>
      </c>
      <c r="G30" s="185"/>
      <c r="H30" s="185"/>
      <c r="I30" s="186"/>
    </row>
    <row r="31" spans="1:9" ht="12.75">
      <c r="A31" s="115">
        <v>37192</v>
      </c>
      <c r="B31" s="174">
        <f t="shared" si="0"/>
        <v>28</v>
      </c>
      <c r="C31" s="175">
        <f t="shared" si="1"/>
        <v>143339000</v>
      </c>
      <c r="D31" s="175">
        <v>3333000</v>
      </c>
      <c r="E31" s="84"/>
      <c r="F31" s="175"/>
      <c r="G31" s="185"/>
      <c r="H31" s="185"/>
      <c r="I31" s="186"/>
    </row>
    <row r="32" spans="1:9" ht="12.75">
      <c r="A32" s="115">
        <v>37223</v>
      </c>
      <c r="B32" s="174">
        <f t="shared" si="0"/>
        <v>31</v>
      </c>
      <c r="C32" s="175">
        <f t="shared" si="1"/>
        <v>140006000</v>
      </c>
      <c r="D32" s="175">
        <v>3333000</v>
      </c>
      <c r="E32" s="84"/>
      <c r="F32" s="175"/>
      <c r="G32" s="185"/>
      <c r="H32" s="185"/>
      <c r="I32" s="186"/>
    </row>
    <row r="33" spans="1:9" ht="12.75">
      <c r="A33" s="115">
        <v>37253</v>
      </c>
      <c r="B33" s="174">
        <f t="shared" si="0"/>
        <v>30</v>
      </c>
      <c r="C33" s="175">
        <f t="shared" si="1"/>
        <v>136673000</v>
      </c>
      <c r="D33" s="175">
        <v>3333000</v>
      </c>
      <c r="E33" s="84"/>
      <c r="F33" s="175"/>
      <c r="G33" s="185"/>
      <c r="H33" s="185"/>
      <c r="I33" s="186"/>
    </row>
    <row r="34" spans="1:9" ht="12.75">
      <c r="A34" s="179">
        <v>37253</v>
      </c>
      <c r="B34" s="280">
        <f t="shared" si="0"/>
        <v>0</v>
      </c>
      <c r="C34" s="180">
        <f t="shared" si="1"/>
        <v>136673000</v>
      </c>
      <c r="D34" s="180"/>
      <c r="E34" s="131">
        <f>F34/(((C31+D31)*B31)+((C32+D32)*B32)+((C33+D33)*B33)+(C34*B34))*365</f>
        <v>0.11486524455305887</v>
      </c>
      <c r="F34" s="181">
        <v>4012575</v>
      </c>
      <c r="G34" s="187">
        <f>SUM(F22:F34)</f>
        <v>18233066</v>
      </c>
      <c r="H34" s="187">
        <f>SUM(D19:D34)</f>
        <v>39996000</v>
      </c>
      <c r="I34" s="188">
        <f>SUM(G34:H34)</f>
        <v>58229066</v>
      </c>
    </row>
    <row r="35" spans="1:9" ht="12.75">
      <c r="A35" s="115">
        <v>37284</v>
      </c>
      <c r="B35" s="174">
        <f t="shared" si="0"/>
        <v>31</v>
      </c>
      <c r="C35" s="175">
        <f t="shared" si="1"/>
        <v>133340000</v>
      </c>
      <c r="D35" s="175">
        <v>3333000</v>
      </c>
      <c r="E35" s="84"/>
      <c r="F35" s="175"/>
      <c r="G35" s="185"/>
      <c r="H35" s="185"/>
      <c r="I35" s="186"/>
    </row>
    <row r="36" spans="1:9" ht="12.75">
      <c r="A36" s="115">
        <v>37315</v>
      </c>
      <c r="B36" s="174">
        <f t="shared" si="0"/>
        <v>31</v>
      </c>
      <c r="C36" s="175">
        <f t="shared" si="1"/>
        <v>130007000</v>
      </c>
      <c r="D36" s="175">
        <v>3333000</v>
      </c>
      <c r="E36" s="84"/>
      <c r="F36" s="175"/>
      <c r="G36" s="185"/>
      <c r="H36" s="185"/>
      <c r="I36" s="186"/>
    </row>
    <row r="37" spans="1:9" ht="12.75">
      <c r="A37" s="115">
        <v>37343</v>
      </c>
      <c r="B37" s="174">
        <f t="shared" si="0"/>
        <v>28</v>
      </c>
      <c r="C37" s="175">
        <f t="shared" si="1"/>
        <v>126674000</v>
      </c>
      <c r="D37" s="175">
        <v>3333000</v>
      </c>
      <c r="E37" s="84"/>
      <c r="F37" s="175"/>
      <c r="G37" s="185"/>
      <c r="H37" s="185"/>
      <c r="I37" s="186"/>
    </row>
    <row r="38" spans="1:9" ht="12.75">
      <c r="A38" s="115">
        <v>37344</v>
      </c>
      <c r="B38" s="174">
        <f t="shared" si="0"/>
        <v>1</v>
      </c>
      <c r="C38" s="175">
        <f t="shared" si="1"/>
        <v>126674000</v>
      </c>
      <c r="D38" s="175"/>
      <c r="E38" s="84">
        <f>F38/(((C35+D35)*B35)+((C36+D36)*B36)+((C37+D37)*B37)+(C38*B38))*365</f>
        <v>0.09924336380997609</v>
      </c>
      <c r="F38" s="175">
        <v>3300120</v>
      </c>
      <c r="G38" s="185"/>
      <c r="H38" s="185"/>
      <c r="I38" s="186"/>
    </row>
    <row r="39" spans="1:9" ht="12.75">
      <c r="A39" s="115">
        <v>37374</v>
      </c>
      <c r="B39" s="174">
        <f t="shared" si="0"/>
        <v>30</v>
      </c>
      <c r="C39" s="175">
        <f t="shared" si="1"/>
        <v>123341000</v>
      </c>
      <c r="D39" s="175">
        <v>3333000</v>
      </c>
      <c r="E39" s="84"/>
      <c r="F39" s="175"/>
      <c r="G39" s="185"/>
      <c r="H39" s="185"/>
      <c r="I39" s="186"/>
    </row>
    <row r="40" spans="1:9" ht="12.75">
      <c r="A40" s="115">
        <v>37404</v>
      </c>
      <c r="B40" s="174">
        <f t="shared" si="0"/>
        <v>30</v>
      </c>
      <c r="C40" s="175">
        <f t="shared" si="1"/>
        <v>120008000</v>
      </c>
      <c r="D40" s="175">
        <v>3333000</v>
      </c>
      <c r="E40" s="84"/>
      <c r="F40" s="175"/>
      <c r="G40" s="185"/>
      <c r="H40" s="185"/>
      <c r="I40" s="186"/>
    </row>
    <row r="41" spans="1:9" ht="12.75">
      <c r="A41" s="115">
        <v>37435</v>
      </c>
      <c r="B41" s="174">
        <f t="shared" si="0"/>
        <v>31</v>
      </c>
      <c r="C41" s="175">
        <f t="shared" si="1"/>
        <v>116675000</v>
      </c>
      <c r="D41" s="175">
        <v>3333000</v>
      </c>
      <c r="E41" s="84"/>
      <c r="F41" s="175"/>
      <c r="G41" s="185"/>
      <c r="H41" s="185"/>
      <c r="I41" s="186"/>
    </row>
    <row r="42" spans="1:9" ht="12.75">
      <c r="A42" s="115">
        <v>37437</v>
      </c>
      <c r="B42" s="174">
        <f t="shared" si="0"/>
        <v>2</v>
      </c>
      <c r="C42" s="175">
        <f t="shared" si="1"/>
        <v>116675000</v>
      </c>
      <c r="D42" s="175"/>
      <c r="E42" s="84">
        <v>0.0845</v>
      </c>
      <c r="F42" s="175">
        <v>2648358</v>
      </c>
      <c r="G42" s="185"/>
      <c r="H42" s="185"/>
      <c r="I42" s="186"/>
    </row>
    <row r="43" spans="1:9" ht="12.75">
      <c r="A43" s="115">
        <v>37465</v>
      </c>
      <c r="B43" s="174">
        <f t="shared" si="0"/>
        <v>28</v>
      </c>
      <c r="C43" s="175">
        <f t="shared" si="1"/>
        <v>113342000</v>
      </c>
      <c r="D43" s="175">
        <v>3333000</v>
      </c>
      <c r="E43" s="84"/>
      <c r="F43" s="175"/>
      <c r="G43" s="185"/>
      <c r="H43" s="185"/>
      <c r="I43" s="186"/>
    </row>
    <row r="44" spans="1:9" ht="12.75">
      <c r="A44" s="115">
        <v>37496</v>
      </c>
      <c r="B44" s="174">
        <f t="shared" si="0"/>
        <v>31</v>
      </c>
      <c r="C44" s="175">
        <f t="shared" si="1"/>
        <v>110009000</v>
      </c>
      <c r="D44" s="175">
        <v>3333000</v>
      </c>
      <c r="E44" s="84"/>
      <c r="F44" s="175"/>
      <c r="G44" s="185"/>
      <c r="H44" s="185"/>
      <c r="I44" s="186"/>
    </row>
    <row r="45" spans="1:9" ht="12.75">
      <c r="A45" s="115">
        <v>37527</v>
      </c>
      <c r="B45" s="174">
        <f t="shared" si="0"/>
        <v>31</v>
      </c>
      <c r="C45" s="175">
        <f t="shared" si="1"/>
        <v>106676000</v>
      </c>
      <c r="D45" s="175">
        <v>3333000</v>
      </c>
      <c r="E45" s="84"/>
      <c r="F45" s="175"/>
      <c r="G45" s="185"/>
      <c r="H45" s="185"/>
      <c r="I45" s="186"/>
    </row>
    <row r="46" spans="1:9" ht="12.75">
      <c r="A46" s="115">
        <v>37529</v>
      </c>
      <c r="B46" s="174">
        <f t="shared" si="0"/>
        <v>2</v>
      </c>
      <c r="C46" s="175">
        <f t="shared" si="1"/>
        <v>106676000</v>
      </c>
      <c r="D46" s="175"/>
      <c r="E46" s="84">
        <v>0.0926</v>
      </c>
      <c r="F46" s="175">
        <v>2730893</v>
      </c>
      <c r="G46" s="185"/>
      <c r="H46" s="185"/>
      <c r="I46" s="186"/>
    </row>
    <row r="47" spans="1:9" ht="12.75">
      <c r="A47" s="115">
        <v>37557</v>
      </c>
      <c r="B47" s="174">
        <f t="shared" si="0"/>
        <v>28</v>
      </c>
      <c r="C47" s="175">
        <f t="shared" si="1"/>
        <v>103343000</v>
      </c>
      <c r="D47" s="175">
        <v>3333000</v>
      </c>
      <c r="E47" s="84"/>
      <c r="F47" s="175"/>
      <c r="G47" s="185"/>
      <c r="H47" s="185"/>
      <c r="I47" s="186"/>
    </row>
    <row r="48" spans="1:9" ht="12.75">
      <c r="A48" s="115">
        <v>37588</v>
      </c>
      <c r="B48" s="174">
        <f t="shared" si="0"/>
        <v>31</v>
      </c>
      <c r="C48" s="175">
        <f t="shared" si="1"/>
        <v>100010000</v>
      </c>
      <c r="D48" s="175">
        <v>3333000</v>
      </c>
      <c r="E48" s="84"/>
      <c r="F48" s="175"/>
      <c r="G48" s="185"/>
      <c r="H48" s="185"/>
      <c r="I48" s="186"/>
    </row>
    <row r="49" spans="1:9" ht="12.75">
      <c r="A49" s="121">
        <v>37618</v>
      </c>
      <c r="B49" s="122">
        <f t="shared" si="0"/>
        <v>30</v>
      </c>
      <c r="C49" s="59">
        <f t="shared" si="1"/>
        <v>96677000</v>
      </c>
      <c r="D49" s="59">
        <v>3333000</v>
      </c>
      <c r="E49" s="123"/>
      <c r="F49" s="59"/>
      <c r="G49" s="124"/>
      <c r="H49" s="124"/>
      <c r="I49" s="186"/>
    </row>
    <row r="50" spans="1:9" ht="12.75">
      <c r="A50" s="128">
        <v>37621</v>
      </c>
      <c r="B50" s="129">
        <f t="shared" si="0"/>
        <v>3</v>
      </c>
      <c r="C50" s="284">
        <v>96677000</v>
      </c>
      <c r="D50" s="130"/>
      <c r="E50" s="225">
        <v>0.0975</v>
      </c>
      <c r="F50" s="130">
        <v>2566289</v>
      </c>
      <c r="G50" s="132">
        <f>SUM(F38:F50)</f>
        <v>11245660</v>
      </c>
      <c r="H50" s="132">
        <f>SUM(D35:D50)</f>
        <v>39996000</v>
      </c>
      <c r="I50" s="183">
        <f>SUM(G50:H50)</f>
        <v>51241660</v>
      </c>
    </row>
    <row r="51" spans="1:9" ht="12.75">
      <c r="A51" s="134">
        <v>37649</v>
      </c>
      <c r="B51" s="135">
        <f aca="true" t="shared" si="2" ref="B51:B114">A51-A50</f>
        <v>28</v>
      </c>
      <c r="C51" s="60">
        <f aca="true" t="shared" si="3" ref="C51:C114">C50-D51</f>
        <v>95850000</v>
      </c>
      <c r="D51" s="60">
        <v>827000</v>
      </c>
      <c r="E51" s="136"/>
      <c r="F51" s="135"/>
      <c r="G51" s="135"/>
      <c r="H51" s="135"/>
      <c r="I51" s="287"/>
    </row>
    <row r="52" spans="1:9" ht="12.75">
      <c r="A52" s="121">
        <v>37680</v>
      </c>
      <c r="B52" s="122">
        <f t="shared" si="2"/>
        <v>31</v>
      </c>
      <c r="C52" s="59">
        <f t="shared" si="3"/>
        <v>94500000</v>
      </c>
      <c r="D52" s="59">
        <v>1350000</v>
      </c>
      <c r="E52" s="126"/>
      <c r="F52" s="122"/>
      <c r="G52" s="122"/>
      <c r="H52" s="122"/>
      <c r="I52" s="276"/>
    </row>
    <row r="53" spans="1:9" ht="12.75">
      <c r="A53" s="121">
        <v>37708</v>
      </c>
      <c r="B53" s="122">
        <f t="shared" si="2"/>
        <v>28</v>
      </c>
      <c r="C53" s="59">
        <f t="shared" si="3"/>
        <v>93150000</v>
      </c>
      <c r="D53" s="59">
        <v>1350000</v>
      </c>
      <c r="E53" s="126"/>
      <c r="F53" s="122"/>
      <c r="G53" s="122"/>
      <c r="H53" s="122"/>
      <c r="I53" s="276"/>
    </row>
    <row r="54" spans="1:9" ht="12.75">
      <c r="A54" s="121">
        <v>37711</v>
      </c>
      <c r="B54" s="122">
        <f t="shared" si="2"/>
        <v>3</v>
      </c>
      <c r="C54" s="59">
        <f t="shared" si="3"/>
        <v>93150000</v>
      </c>
      <c r="D54" s="59"/>
      <c r="E54" s="123">
        <v>0.0842</v>
      </c>
      <c r="F54" s="59">
        <v>2015895</v>
      </c>
      <c r="G54" s="122"/>
      <c r="H54" s="122"/>
      <c r="I54" s="276"/>
    </row>
    <row r="55" spans="1:9" ht="12.75">
      <c r="A55" s="128">
        <v>37739</v>
      </c>
      <c r="B55" s="129">
        <f t="shared" si="2"/>
        <v>28</v>
      </c>
      <c r="C55" s="130">
        <f t="shared" si="3"/>
        <v>91800000</v>
      </c>
      <c r="D55" s="130">
        <v>1350000</v>
      </c>
      <c r="E55" s="225"/>
      <c r="F55" s="129"/>
      <c r="G55" s="129"/>
      <c r="H55" s="129"/>
      <c r="I55" s="295"/>
    </row>
    <row r="56" spans="1:9" ht="12.75">
      <c r="A56" s="134">
        <v>37769</v>
      </c>
      <c r="B56" s="135">
        <f t="shared" si="2"/>
        <v>30</v>
      </c>
      <c r="C56" s="60">
        <f t="shared" si="3"/>
        <v>90450000</v>
      </c>
      <c r="D56" s="117">
        <v>1350000</v>
      </c>
      <c r="E56" s="136"/>
      <c r="F56" s="135"/>
      <c r="G56" s="135"/>
      <c r="H56" s="135"/>
      <c r="I56" s="287"/>
    </row>
    <row r="57" spans="1:9" ht="12.75">
      <c r="A57" s="121">
        <v>37800</v>
      </c>
      <c r="B57" s="122">
        <f t="shared" si="2"/>
        <v>31</v>
      </c>
      <c r="C57" s="59">
        <f t="shared" si="3"/>
        <v>89100000</v>
      </c>
      <c r="D57" s="59">
        <v>1350000</v>
      </c>
      <c r="E57" s="126"/>
      <c r="F57" s="122"/>
      <c r="G57" s="122"/>
      <c r="H57" s="122"/>
      <c r="I57" s="276"/>
    </row>
    <row r="58" spans="1:10" ht="12.75">
      <c r="A58" s="121">
        <v>37802</v>
      </c>
      <c r="B58" s="122">
        <f t="shared" si="2"/>
        <v>2</v>
      </c>
      <c r="C58" s="59">
        <f t="shared" si="3"/>
        <v>89100000</v>
      </c>
      <c r="D58" s="59"/>
      <c r="E58" s="123">
        <v>0.066</v>
      </c>
      <c r="F58" s="59">
        <v>1535002</v>
      </c>
      <c r="G58" s="122"/>
      <c r="H58" s="122"/>
      <c r="I58" s="276"/>
      <c r="J58" s="170"/>
    </row>
    <row r="59" spans="1:9" ht="12.75">
      <c r="A59" s="121">
        <v>37830</v>
      </c>
      <c r="B59" s="122">
        <f t="shared" si="2"/>
        <v>28</v>
      </c>
      <c r="C59" s="59">
        <f t="shared" si="3"/>
        <v>87750000</v>
      </c>
      <c r="D59" s="59">
        <v>1350000</v>
      </c>
      <c r="E59" s="126"/>
      <c r="F59" s="122"/>
      <c r="G59" s="122"/>
      <c r="H59" s="122"/>
      <c r="I59" s="276"/>
    </row>
    <row r="60" spans="1:9" ht="12.75">
      <c r="A60" s="121">
        <v>37861</v>
      </c>
      <c r="B60" s="122">
        <f t="shared" si="2"/>
        <v>31</v>
      </c>
      <c r="C60" s="59">
        <f t="shared" si="3"/>
        <v>86400000</v>
      </c>
      <c r="D60" s="59">
        <v>1350000</v>
      </c>
      <c r="E60" s="126"/>
      <c r="F60" s="122"/>
      <c r="G60" s="122"/>
      <c r="H60" s="122"/>
      <c r="I60" s="276"/>
    </row>
    <row r="61" spans="1:9" ht="12.75">
      <c r="A61" s="121">
        <v>37892</v>
      </c>
      <c r="B61" s="122">
        <f t="shared" si="2"/>
        <v>31</v>
      </c>
      <c r="C61" s="59">
        <f t="shared" si="3"/>
        <v>85050000</v>
      </c>
      <c r="D61" s="59">
        <v>1350000</v>
      </c>
      <c r="E61" s="126"/>
      <c r="F61" s="122"/>
      <c r="G61" s="122"/>
      <c r="H61" s="122"/>
      <c r="I61" s="276"/>
    </row>
    <row r="62" spans="1:9" ht="12.75">
      <c r="A62" s="121">
        <v>37894</v>
      </c>
      <c r="B62" s="122">
        <f t="shared" si="2"/>
        <v>2</v>
      </c>
      <c r="C62" s="59">
        <f t="shared" si="3"/>
        <v>85050000</v>
      </c>
      <c r="D62" s="59"/>
      <c r="E62" s="123">
        <v>0.0888</v>
      </c>
      <c r="F62" s="59">
        <v>1983366</v>
      </c>
      <c r="G62" s="122"/>
      <c r="H62" s="122"/>
      <c r="I62" s="276"/>
    </row>
    <row r="63" spans="1:10" ht="12.75">
      <c r="A63" s="121">
        <v>37922</v>
      </c>
      <c r="B63" s="122">
        <f t="shared" si="2"/>
        <v>28</v>
      </c>
      <c r="C63" s="59">
        <f t="shared" si="3"/>
        <v>83700000</v>
      </c>
      <c r="D63" s="59">
        <v>1350000</v>
      </c>
      <c r="E63" s="126"/>
      <c r="F63" s="122"/>
      <c r="G63" s="122"/>
      <c r="H63" s="122"/>
      <c r="I63" s="276"/>
      <c r="J63" s="155"/>
    </row>
    <row r="64" spans="1:9" ht="12.75">
      <c r="A64" s="121">
        <v>37953</v>
      </c>
      <c r="B64" s="122">
        <f t="shared" si="2"/>
        <v>31</v>
      </c>
      <c r="C64" s="59">
        <f t="shared" si="3"/>
        <v>82350000</v>
      </c>
      <c r="D64" s="59">
        <v>1350000</v>
      </c>
      <c r="E64" s="126"/>
      <c r="F64" s="122"/>
      <c r="G64" s="122"/>
      <c r="H64" s="122"/>
      <c r="I64" s="276"/>
    </row>
    <row r="65" spans="1:9" ht="12.75">
      <c r="A65" s="121">
        <v>37983</v>
      </c>
      <c r="B65" s="122">
        <f t="shared" si="2"/>
        <v>30</v>
      </c>
      <c r="C65" s="59">
        <f t="shared" si="3"/>
        <v>81000000</v>
      </c>
      <c r="D65" s="59">
        <v>1350000</v>
      </c>
      <c r="E65" s="126"/>
      <c r="F65" s="122"/>
      <c r="G65" s="122"/>
      <c r="H65" s="122"/>
      <c r="I65" s="276"/>
    </row>
    <row r="66" spans="1:9" ht="12.75">
      <c r="A66" s="128">
        <v>37986</v>
      </c>
      <c r="B66" s="129">
        <f t="shared" si="2"/>
        <v>3</v>
      </c>
      <c r="C66" s="130">
        <f t="shared" si="3"/>
        <v>81000000</v>
      </c>
      <c r="D66" s="130"/>
      <c r="E66" s="131">
        <v>0.0956</v>
      </c>
      <c r="F66" s="130">
        <v>2040410</v>
      </c>
      <c r="G66" s="132">
        <f>SUM(F54:F66)</f>
        <v>7574673</v>
      </c>
      <c r="H66" s="132">
        <f>SUM(D51:D66)</f>
        <v>15677000</v>
      </c>
      <c r="I66" s="133">
        <f>SUM(G66:H66)</f>
        <v>23251673</v>
      </c>
    </row>
    <row r="67" spans="1:9" ht="12.75">
      <c r="A67" s="115">
        <v>38014</v>
      </c>
      <c r="B67" s="116">
        <f t="shared" si="2"/>
        <v>28</v>
      </c>
      <c r="C67" s="117">
        <f t="shared" si="3"/>
        <v>79650000</v>
      </c>
      <c r="D67" s="59">
        <v>1350000</v>
      </c>
      <c r="E67" s="141"/>
      <c r="F67" s="116"/>
      <c r="G67" s="116"/>
      <c r="H67" s="116"/>
      <c r="I67" s="285"/>
    </row>
    <row r="68" spans="1:9" ht="12.75">
      <c r="A68" s="121">
        <v>38045</v>
      </c>
      <c r="B68" s="122">
        <f t="shared" si="2"/>
        <v>31</v>
      </c>
      <c r="C68" s="59">
        <f t="shared" si="3"/>
        <v>78300000</v>
      </c>
      <c r="D68" s="59">
        <v>1350000</v>
      </c>
      <c r="E68" s="126"/>
      <c r="F68" s="122"/>
      <c r="G68" s="122"/>
      <c r="H68" s="122"/>
      <c r="I68" s="276"/>
    </row>
    <row r="69" spans="1:10" ht="12.75">
      <c r="A69" s="121">
        <v>38074</v>
      </c>
      <c r="B69" s="122">
        <f t="shared" si="2"/>
        <v>29</v>
      </c>
      <c r="C69" s="59">
        <f t="shared" si="3"/>
        <v>76950000</v>
      </c>
      <c r="D69" s="59">
        <v>1350000</v>
      </c>
      <c r="E69" s="126"/>
      <c r="F69" s="122"/>
      <c r="G69" s="122"/>
      <c r="H69" s="122"/>
      <c r="I69" s="276"/>
      <c r="J69" s="155"/>
    </row>
    <row r="70" spans="1:9" ht="12.75">
      <c r="A70" s="121">
        <v>38077</v>
      </c>
      <c r="B70" s="122">
        <f t="shared" si="2"/>
        <v>3</v>
      </c>
      <c r="C70" s="59">
        <f t="shared" si="3"/>
        <v>76950000</v>
      </c>
      <c r="D70" s="59"/>
      <c r="E70" s="123">
        <v>0.125</v>
      </c>
      <c r="F70" s="59">
        <f>((C67+D67)*E70/360*B67)+((C68+D68)*E70/360*B68)+((C69+D69)*E70/360*B69)+C70*E70/360*B70</f>
        <v>2513437.5</v>
      </c>
      <c r="G70" s="122"/>
      <c r="H70" s="122"/>
      <c r="I70" s="276"/>
    </row>
    <row r="71" spans="1:9" ht="12.75">
      <c r="A71" s="121">
        <v>38105</v>
      </c>
      <c r="B71" s="122">
        <f t="shared" si="2"/>
        <v>28</v>
      </c>
      <c r="C71" s="59">
        <f t="shared" si="3"/>
        <v>75600000</v>
      </c>
      <c r="D71" s="59">
        <v>1350000</v>
      </c>
      <c r="E71" s="126"/>
      <c r="F71" s="122"/>
      <c r="G71" s="122"/>
      <c r="H71" s="122"/>
      <c r="I71" s="276"/>
    </row>
    <row r="72" spans="1:9" ht="12.75">
      <c r="A72" s="121">
        <v>38135</v>
      </c>
      <c r="B72" s="122">
        <f t="shared" si="2"/>
        <v>30</v>
      </c>
      <c r="C72" s="59">
        <f t="shared" si="3"/>
        <v>74250000</v>
      </c>
      <c r="D72" s="59">
        <v>1350000</v>
      </c>
      <c r="E72" s="126"/>
      <c r="F72" s="122"/>
      <c r="G72" s="122"/>
      <c r="H72" s="122"/>
      <c r="I72" s="276"/>
    </row>
    <row r="73" spans="1:9" ht="12.75">
      <c r="A73" s="121">
        <v>38166</v>
      </c>
      <c r="B73" s="122">
        <f t="shared" si="2"/>
        <v>31</v>
      </c>
      <c r="C73" s="59">
        <f t="shared" si="3"/>
        <v>72900000</v>
      </c>
      <c r="D73" s="59">
        <v>1350000</v>
      </c>
      <c r="E73" s="126"/>
      <c r="F73" s="122"/>
      <c r="G73" s="122"/>
      <c r="H73" s="122"/>
      <c r="I73" s="276"/>
    </row>
    <row r="74" spans="1:9" ht="12.75">
      <c r="A74" s="121">
        <v>38168</v>
      </c>
      <c r="B74" s="122">
        <f t="shared" si="2"/>
        <v>2</v>
      </c>
      <c r="C74" s="59">
        <f t="shared" si="3"/>
        <v>72900000</v>
      </c>
      <c r="D74" s="59"/>
      <c r="E74" s="123">
        <v>0.1192</v>
      </c>
      <c r="F74" s="59">
        <v>2276023</v>
      </c>
      <c r="G74" s="122"/>
      <c r="H74" s="122"/>
      <c r="I74" s="276"/>
    </row>
    <row r="75" spans="1:9" ht="12.75">
      <c r="A75" s="121">
        <v>38196</v>
      </c>
      <c r="B75" s="122">
        <f t="shared" si="2"/>
        <v>28</v>
      </c>
      <c r="C75" s="59">
        <f t="shared" si="3"/>
        <v>71550000</v>
      </c>
      <c r="D75" s="59">
        <v>1350000</v>
      </c>
      <c r="E75" s="126"/>
      <c r="F75" s="122"/>
      <c r="G75" s="122"/>
      <c r="H75" s="122"/>
      <c r="I75" s="276"/>
    </row>
    <row r="76" spans="1:9" ht="12.75">
      <c r="A76" s="121">
        <v>38227</v>
      </c>
      <c r="B76" s="122">
        <f t="shared" si="2"/>
        <v>31</v>
      </c>
      <c r="C76" s="59">
        <f t="shared" si="3"/>
        <v>70200000</v>
      </c>
      <c r="D76" s="59">
        <v>1350000</v>
      </c>
      <c r="E76" s="126"/>
      <c r="F76" s="122"/>
      <c r="G76" s="122"/>
      <c r="H76" s="122"/>
      <c r="I76" s="276"/>
    </row>
    <row r="77" spans="1:9" ht="12.75">
      <c r="A77" s="121">
        <v>38258</v>
      </c>
      <c r="B77" s="122">
        <f t="shared" si="2"/>
        <v>31</v>
      </c>
      <c r="C77" s="59">
        <f t="shared" si="3"/>
        <v>68850000</v>
      </c>
      <c r="D77" s="59">
        <v>1350000</v>
      </c>
      <c r="E77" s="126"/>
      <c r="F77" s="122"/>
      <c r="G77" s="122"/>
      <c r="H77" s="122"/>
      <c r="I77" s="276"/>
    </row>
    <row r="78" spans="1:9" ht="12.75">
      <c r="A78" s="121">
        <v>38260</v>
      </c>
      <c r="B78" s="122">
        <f t="shared" si="2"/>
        <v>2</v>
      </c>
      <c r="C78" s="59">
        <f t="shared" si="3"/>
        <v>68850000</v>
      </c>
      <c r="D78" s="59"/>
      <c r="E78" s="123">
        <v>0.1162</v>
      </c>
      <c r="F78" s="59">
        <v>2123146</v>
      </c>
      <c r="G78" s="122"/>
      <c r="H78" s="122"/>
      <c r="I78" s="276"/>
    </row>
    <row r="79" spans="1:9" ht="12.75">
      <c r="A79" s="121">
        <v>38288</v>
      </c>
      <c r="B79" s="122">
        <f t="shared" si="2"/>
        <v>28</v>
      </c>
      <c r="C79" s="59">
        <f t="shared" si="3"/>
        <v>67500000</v>
      </c>
      <c r="D79" s="59">
        <v>1350000</v>
      </c>
      <c r="E79" s="126"/>
      <c r="F79" s="122"/>
      <c r="G79" s="122"/>
      <c r="H79" s="122"/>
      <c r="I79" s="276"/>
    </row>
    <row r="80" spans="1:9" ht="12.75">
      <c r="A80" s="121">
        <v>38319</v>
      </c>
      <c r="B80" s="122">
        <f t="shared" si="2"/>
        <v>31</v>
      </c>
      <c r="C80" s="59">
        <f t="shared" si="3"/>
        <v>66150000</v>
      </c>
      <c r="D80" s="59">
        <v>1350000</v>
      </c>
      <c r="E80" s="126"/>
      <c r="F80" s="122"/>
      <c r="G80" s="122"/>
      <c r="H80" s="122"/>
      <c r="I80" s="276"/>
    </row>
    <row r="81" spans="1:9" ht="12.75">
      <c r="A81" s="121">
        <v>38349</v>
      </c>
      <c r="B81" s="122">
        <f t="shared" si="2"/>
        <v>30</v>
      </c>
      <c r="C81" s="59">
        <f t="shared" si="3"/>
        <v>64800000</v>
      </c>
      <c r="D81" s="59">
        <v>1350000</v>
      </c>
      <c r="E81" s="126"/>
      <c r="F81" s="122"/>
      <c r="G81" s="122"/>
      <c r="H81" s="122"/>
      <c r="I81" s="276"/>
    </row>
    <row r="82" spans="1:9" ht="12.75">
      <c r="A82" s="128">
        <v>38352</v>
      </c>
      <c r="B82" s="129">
        <f t="shared" si="2"/>
        <v>3</v>
      </c>
      <c r="C82" s="130">
        <f t="shared" si="3"/>
        <v>64800000</v>
      </c>
      <c r="D82" s="130"/>
      <c r="E82" s="131">
        <v>0.1105</v>
      </c>
      <c r="F82" s="130">
        <f>((C79+D79)*E82/360*B79)+((C80+D80)*E82/360*B80)+((C81+D81)*E82/360*B81)+C82*E82/360*B82</f>
        <v>1902810</v>
      </c>
      <c r="G82" s="132">
        <f>SUM(F70:F82)</f>
        <v>8815416.5</v>
      </c>
      <c r="H82" s="132">
        <f>SUM(D67:D82)</f>
        <v>16200000</v>
      </c>
      <c r="I82" s="133">
        <f>SUM(G82:H82)</f>
        <v>25015416.5</v>
      </c>
    </row>
    <row r="83" spans="1:9" ht="12.75">
      <c r="A83" s="115">
        <v>38380</v>
      </c>
      <c r="B83" s="116">
        <f t="shared" si="2"/>
        <v>28</v>
      </c>
      <c r="C83" s="117">
        <f t="shared" si="3"/>
        <v>63450000</v>
      </c>
      <c r="D83" s="59">
        <v>1350000</v>
      </c>
      <c r="E83" s="141"/>
      <c r="F83" s="116"/>
      <c r="G83" s="116"/>
      <c r="H83" s="116"/>
      <c r="I83" s="285"/>
    </row>
    <row r="84" spans="1:9" ht="12.75">
      <c r="A84" s="121">
        <v>38411</v>
      </c>
      <c r="B84" s="122">
        <f t="shared" si="2"/>
        <v>31</v>
      </c>
      <c r="C84" s="59">
        <f t="shared" si="3"/>
        <v>62100000</v>
      </c>
      <c r="D84" s="59">
        <v>1350000</v>
      </c>
      <c r="E84" s="126"/>
      <c r="F84" s="122"/>
      <c r="G84" s="122"/>
      <c r="H84" s="122"/>
      <c r="I84" s="276"/>
    </row>
    <row r="85" spans="1:9" ht="12.75">
      <c r="A85" s="121">
        <v>38439</v>
      </c>
      <c r="B85" s="122">
        <f t="shared" si="2"/>
        <v>28</v>
      </c>
      <c r="C85" s="59">
        <f t="shared" si="3"/>
        <v>60750000</v>
      </c>
      <c r="D85" s="59">
        <v>1350000</v>
      </c>
      <c r="E85" s="126"/>
      <c r="F85" s="122"/>
      <c r="G85" s="122"/>
      <c r="H85" s="122"/>
      <c r="I85" s="276"/>
    </row>
    <row r="86" spans="1:9" ht="12.75">
      <c r="A86" s="121">
        <v>38442</v>
      </c>
      <c r="B86" s="122">
        <f t="shared" si="2"/>
        <v>3</v>
      </c>
      <c r="C86" s="59">
        <f t="shared" si="3"/>
        <v>60750000</v>
      </c>
      <c r="D86" s="59"/>
      <c r="E86" s="123">
        <f>E82</f>
        <v>0.1105</v>
      </c>
      <c r="F86" s="59">
        <f>((C83+D83)*E86/360*B83)+((C84+D84)*E86/360*B84)+((C85+D85)*E86/360*B85)+C86*E86/360*B86</f>
        <v>1750320</v>
      </c>
      <c r="G86" s="122"/>
      <c r="H86" s="122"/>
      <c r="I86" s="276"/>
    </row>
    <row r="87" spans="1:9" ht="12.75">
      <c r="A87" s="121">
        <v>38470</v>
      </c>
      <c r="B87" s="122">
        <f t="shared" si="2"/>
        <v>28</v>
      </c>
      <c r="C87" s="59">
        <f t="shared" si="3"/>
        <v>59400000</v>
      </c>
      <c r="D87" s="59">
        <v>1350000</v>
      </c>
      <c r="E87" s="126"/>
      <c r="F87" s="122"/>
      <c r="G87" s="122"/>
      <c r="H87" s="122"/>
      <c r="I87" s="276"/>
    </row>
    <row r="88" spans="1:9" ht="12.75">
      <c r="A88" s="121">
        <v>38500</v>
      </c>
      <c r="B88" s="122">
        <f t="shared" si="2"/>
        <v>30</v>
      </c>
      <c r="C88" s="59">
        <f t="shared" si="3"/>
        <v>58050000</v>
      </c>
      <c r="D88" s="59">
        <v>1350000</v>
      </c>
      <c r="E88" s="126"/>
      <c r="F88" s="122"/>
      <c r="G88" s="122"/>
      <c r="H88" s="122"/>
      <c r="I88" s="276"/>
    </row>
    <row r="89" spans="1:9" ht="12.75">
      <c r="A89" s="121">
        <v>38531</v>
      </c>
      <c r="B89" s="122">
        <f t="shared" si="2"/>
        <v>31</v>
      </c>
      <c r="C89" s="59">
        <f t="shared" si="3"/>
        <v>56700000</v>
      </c>
      <c r="D89" s="59">
        <v>1350000</v>
      </c>
      <c r="E89" s="126"/>
      <c r="F89" s="122"/>
      <c r="G89" s="122"/>
      <c r="H89" s="122"/>
      <c r="I89" s="276"/>
    </row>
    <row r="90" spans="1:9" ht="12.75">
      <c r="A90" s="121">
        <v>38533</v>
      </c>
      <c r="B90" s="122">
        <f t="shared" si="2"/>
        <v>2</v>
      </c>
      <c r="C90" s="59">
        <f t="shared" si="3"/>
        <v>56700000</v>
      </c>
      <c r="D90" s="59"/>
      <c r="E90" s="123">
        <f>E86</f>
        <v>0.1105</v>
      </c>
      <c r="F90" s="59">
        <f>((C87+D87)*E90/360*B87)+((C88+D88)*E90/360*B88)+((C89+D89)*E90/360*B89)+C90*E90/360*B90</f>
        <v>1656256.875</v>
      </c>
      <c r="G90" s="122"/>
      <c r="H90" s="122"/>
      <c r="I90" s="276"/>
    </row>
    <row r="91" spans="1:9" ht="12.75">
      <c r="A91" s="121">
        <v>38561</v>
      </c>
      <c r="B91" s="122">
        <f t="shared" si="2"/>
        <v>28</v>
      </c>
      <c r="C91" s="59">
        <f t="shared" si="3"/>
        <v>55350000</v>
      </c>
      <c r="D91" s="59">
        <v>1350000</v>
      </c>
      <c r="E91" s="126"/>
      <c r="F91" s="122"/>
      <c r="G91" s="122"/>
      <c r="H91" s="122"/>
      <c r="I91" s="276"/>
    </row>
    <row r="92" spans="1:9" ht="12.75">
      <c r="A92" s="121">
        <v>38592</v>
      </c>
      <c r="B92" s="122">
        <f t="shared" si="2"/>
        <v>31</v>
      </c>
      <c r="C92" s="59">
        <f t="shared" si="3"/>
        <v>54000000</v>
      </c>
      <c r="D92" s="59">
        <v>1350000</v>
      </c>
      <c r="E92" s="126"/>
      <c r="F92" s="122"/>
      <c r="G92" s="122"/>
      <c r="H92" s="122"/>
      <c r="I92" s="276"/>
    </row>
    <row r="93" spans="1:9" ht="12.75">
      <c r="A93" s="121">
        <v>38623</v>
      </c>
      <c r="B93" s="122">
        <f t="shared" si="2"/>
        <v>31</v>
      </c>
      <c r="C93" s="59">
        <f t="shared" si="3"/>
        <v>52650000</v>
      </c>
      <c r="D93" s="59">
        <v>1350000</v>
      </c>
      <c r="E93" s="126"/>
      <c r="F93" s="122"/>
      <c r="G93" s="122"/>
      <c r="H93" s="122"/>
      <c r="I93" s="276"/>
    </row>
    <row r="94" spans="1:9" ht="12.75">
      <c r="A94" s="121">
        <v>38625</v>
      </c>
      <c r="B94" s="122">
        <f t="shared" si="2"/>
        <v>2</v>
      </c>
      <c r="C94" s="59">
        <f t="shared" si="3"/>
        <v>52650000</v>
      </c>
      <c r="D94" s="59"/>
      <c r="E94" s="123">
        <f>E90</f>
        <v>0.1105</v>
      </c>
      <c r="F94" s="59">
        <f>((C91+D91)*E94/360*B91)+((C92+D92)*E94/360*B92)+((C93+D93)*E94/360*B93)+C94*E94/360*B94</f>
        <v>1560121.875</v>
      </c>
      <c r="G94" s="122"/>
      <c r="H94" s="122"/>
      <c r="I94" s="276"/>
    </row>
    <row r="95" spans="1:9" ht="12.75">
      <c r="A95" s="121">
        <v>38653</v>
      </c>
      <c r="B95" s="122">
        <f t="shared" si="2"/>
        <v>28</v>
      </c>
      <c r="C95" s="59">
        <f t="shared" si="3"/>
        <v>51300000</v>
      </c>
      <c r="D95" s="59">
        <v>1350000</v>
      </c>
      <c r="E95" s="126"/>
      <c r="F95" s="122"/>
      <c r="G95" s="122"/>
      <c r="H95" s="122"/>
      <c r="I95" s="276"/>
    </row>
    <row r="96" spans="1:9" ht="12.75">
      <c r="A96" s="121">
        <v>38684</v>
      </c>
      <c r="B96" s="122">
        <f t="shared" si="2"/>
        <v>31</v>
      </c>
      <c r="C96" s="59">
        <f t="shared" si="3"/>
        <v>49950000</v>
      </c>
      <c r="D96" s="59">
        <v>1350000</v>
      </c>
      <c r="E96" s="126"/>
      <c r="F96" s="122"/>
      <c r="G96" s="122"/>
      <c r="H96" s="122"/>
      <c r="I96" s="276"/>
    </row>
    <row r="97" spans="1:9" ht="12.75">
      <c r="A97" s="121">
        <v>38714</v>
      </c>
      <c r="B97" s="122">
        <f t="shared" si="2"/>
        <v>30</v>
      </c>
      <c r="C97" s="59">
        <f t="shared" si="3"/>
        <v>48600000</v>
      </c>
      <c r="D97" s="59">
        <v>1350000</v>
      </c>
      <c r="E97" s="126"/>
      <c r="F97" s="122"/>
      <c r="G97" s="122"/>
      <c r="H97" s="122"/>
      <c r="I97" s="276"/>
    </row>
    <row r="98" spans="1:9" ht="12.75">
      <c r="A98" s="128">
        <v>38717</v>
      </c>
      <c r="B98" s="129">
        <f t="shared" si="2"/>
        <v>3</v>
      </c>
      <c r="C98" s="130">
        <f t="shared" si="3"/>
        <v>48600000</v>
      </c>
      <c r="D98" s="130"/>
      <c r="E98" s="131">
        <f>E94</f>
        <v>0.1105</v>
      </c>
      <c r="F98" s="130">
        <f>((C95+D95)*E98/360*B95)+((C96+D96)*E98/360*B96)+((C97+D97)*E98/360*B97)+C98*E98/360*B98</f>
        <v>1445340</v>
      </c>
      <c r="G98" s="132">
        <f>SUM(F86:F98)</f>
        <v>6412038.75</v>
      </c>
      <c r="H98" s="132">
        <f>SUM(D83:D98)</f>
        <v>16200000</v>
      </c>
      <c r="I98" s="133">
        <f>SUM(G98:H98)</f>
        <v>22612038.75</v>
      </c>
    </row>
    <row r="99" spans="1:9" ht="12.75">
      <c r="A99" s="115">
        <v>38745</v>
      </c>
      <c r="B99" s="116">
        <f t="shared" si="2"/>
        <v>28</v>
      </c>
      <c r="C99" s="117">
        <f t="shared" si="3"/>
        <v>47250000</v>
      </c>
      <c r="D99" s="59">
        <v>1350000</v>
      </c>
      <c r="E99" s="141"/>
      <c r="F99" s="116"/>
      <c r="G99" s="116"/>
      <c r="H99" s="116"/>
      <c r="I99" s="285"/>
    </row>
    <row r="100" spans="1:9" ht="12.75">
      <c r="A100" s="121">
        <v>38776</v>
      </c>
      <c r="B100" s="122">
        <f t="shared" si="2"/>
        <v>31</v>
      </c>
      <c r="C100" s="59">
        <f t="shared" si="3"/>
        <v>45900000</v>
      </c>
      <c r="D100" s="59">
        <v>1350000</v>
      </c>
      <c r="E100" s="126"/>
      <c r="F100" s="122"/>
      <c r="G100" s="122"/>
      <c r="H100" s="122"/>
      <c r="I100" s="276"/>
    </row>
    <row r="101" spans="1:9" ht="12.75">
      <c r="A101" s="121">
        <v>38804</v>
      </c>
      <c r="B101" s="122">
        <f t="shared" si="2"/>
        <v>28</v>
      </c>
      <c r="C101" s="59">
        <f t="shared" si="3"/>
        <v>44550000</v>
      </c>
      <c r="D101" s="59">
        <v>1350000</v>
      </c>
      <c r="E101" s="126"/>
      <c r="F101" s="122"/>
      <c r="G101" s="122"/>
      <c r="H101" s="122"/>
      <c r="I101" s="276"/>
    </row>
    <row r="102" spans="1:9" ht="12.75">
      <c r="A102" s="121">
        <v>38807</v>
      </c>
      <c r="B102" s="122">
        <f t="shared" si="2"/>
        <v>3</v>
      </c>
      <c r="C102" s="59">
        <f t="shared" si="3"/>
        <v>44550000</v>
      </c>
      <c r="D102" s="59"/>
      <c r="E102" s="123">
        <f>E98</f>
        <v>0.1105</v>
      </c>
      <c r="F102" s="59">
        <f>((C99+D99)*E102/360*B99)+((C100+D100)*E102/360*B100)+((C101+D101)*E102/360*B101)+C102*E102/360*B102</f>
        <v>1302795</v>
      </c>
      <c r="G102" s="122"/>
      <c r="H102" s="122"/>
      <c r="I102" s="276"/>
    </row>
    <row r="103" spans="1:9" ht="12.75">
      <c r="A103" s="121">
        <v>38835</v>
      </c>
      <c r="B103" s="122">
        <f t="shared" si="2"/>
        <v>28</v>
      </c>
      <c r="C103" s="59">
        <f t="shared" si="3"/>
        <v>43200000</v>
      </c>
      <c r="D103" s="59">
        <v>1350000</v>
      </c>
      <c r="E103" s="126"/>
      <c r="F103" s="122"/>
      <c r="G103" s="122"/>
      <c r="H103" s="122"/>
      <c r="I103" s="276"/>
    </row>
    <row r="104" spans="1:9" ht="12.75">
      <c r="A104" s="128">
        <v>38865</v>
      </c>
      <c r="B104" s="129">
        <f t="shared" si="2"/>
        <v>30</v>
      </c>
      <c r="C104" s="130">
        <f t="shared" si="3"/>
        <v>41850000</v>
      </c>
      <c r="D104" s="130">
        <v>1350000</v>
      </c>
      <c r="E104" s="225"/>
      <c r="F104" s="129"/>
      <c r="G104" s="129"/>
      <c r="H104" s="129"/>
      <c r="I104" s="295"/>
    </row>
    <row r="105" spans="1:9" ht="12.75">
      <c r="A105" s="134">
        <v>38896</v>
      </c>
      <c r="B105" s="135">
        <f t="shared" si="2"/>
        <v>31</v>
      </c>
      <c r="C105" s="60">
        <f t="shared" si="3"/>
        <v>40500000</v>
      </c>
      <c r="D105" s="117">
        <v>1350000</v>
      </c>
      <c r="E105" s="136"/>
      <c r="F105" s="135"/>
      <c r="G105" s="135"/>
      <c r="H105" s="135"/>
      <c r="I105" s="287"/>
    </row>
    <row r="106" spans="1:9" ht="12.75">
      <c r="A106" s="121">
        <v>38898</v>
      </c>
      <c r="B106" s="122">
        <f t="shared" si="2"/>
        <v>2</v>
      </c>
      <c r="C106" s="59">
        <f t="shared" si="3"/>
        <v>40500000</v>
      </c>
      <c r="D106" s="59"/>
      <c r="E106" s="123">
        <f>E102</f>
        <v>0.1105</v>
      </c>
      <c r="F106" s="59">
        <f>((C103+D103)*E106/360*B103)+((C104+D104)*E106/360*B104)+((C105+D105)*E106/360*B105)+C106*E106/360*B106</f>
        <v>1203759.375</v>
      </c>
      <c r="G106" s="122"/>
      <c r="H106" s="122"/>
      <c r="I106" s="276"/>
    </row>
    <row r="107" spans="1:9" ht="12.75">
      <c r="A107" s="121">
        <v>38926</v>
      </c>
      <c r="B107" s="122">
        <f t="shared" si="2"/>
        <v>28</v>
      </c>
      <c r="C107" s="59">
        <f t="shared" si="3"/>
        <v>39150000</v>
      </c>
      <c r="D107" s="59">
        <v>1350000</v>
      </c>
      <c r="E107" s="126"/>
      <c r="F107" s="122"/>
      <c r="G107" s="122"/>
      <c r="H107" s="122"/>
      <c r="I107" s="276"/>
    </row>
    <row r="108" spans="1:9" ht="12.75">
      <c r="A108" s="121">
        <v>38957</v>
      </c>
      <c r="B108" s="122">
        <f t="shared" si="2"/>
        <v>31</v>
      </c>
      <c r="C108" s="59">
        <f t="shared" si="3"/>
        <v>37800000</v>
      </c>
      <c r="D108" s="59">
        <v>1350000</v>
      </c>
      <c r="E108" s="126"/>
      <c r="F108" s="122"/>
      <c r="G108" s="122"/>
      <c r="H108" s="122"/>
      <c r="I108" s="276"/>
    </row>
    <row r="109" spans="1:9" ht="12.75">
      <c r="A109" s="121">
        <v>38988</v>
      </c>
      <c r="B109" s="122">
        <f t="shared" si="2"/>
        <v>31</v>
      </c>
      <c r="C109" s="59">
        <f t="shared" si="3"/>
        <v>36450000</v>
      </c>
      <c r="D109" s="59">
        <v>1350000</v>
      </c>
      <c r="E109" s="126"/>
      <c r="F109" s="122"/>
      <c r="G109" s="122"/>
      <c r="H109" s="122"/>
      <c r="I109" s="276"/>
    </row>
    <row r="110" spans="1:9" ht="12.75">
      <c r="A110" s="121">
        <v>38990</v>
      </c>
      <c r="B110" s="122">
        <f t="shared" si="2"/>
        <v>2</v>
      </c>
      <c r="C110" s="59">
        <f t="shared" si="3"/>
        <v>36450000</v>
      </c>
      <c r="D110" s="59"/>
      <c r="E110" s="123">
        <f>E106</f>
        <v>0.1105</v>
      </c>
      <c r="F110" s="59">
        <f>((C107+D107)*E110/360*B107)+((C108+D108)*E110/360*B108)+((C109+D109)*E110/360*B109)+C110*E110/360*B110</f>
        <v>1102651.875</v>
      </c>
      <c r="G110" s="122"/>
      <c r="H110" s="122"/>
      <c r="I110" s="276"/>
    </row>
    <row r="111" spans="1:9" ht="12.75">
      <c r="A111" s="121">
        <v>39018</v>
      </c>
      <c r="B111" s="122">
        <f t="shared" si="2"/>
        <v>28</v>
      </c>
      <c r="C111" s="59">
        <f t="shared" si="3"/>
        <v>35100000</v>
      </c>
      <c r="D111" s="59">
        <v>1350000</v>
      </c>
      <c r="E111" s="126"/>
      <c r="F111" s="122"/>
      <c r="G111" s="122"/>
      <c r="H111" s="122"/>
      <c r="I111" s="276"/>
    </row>
    <row r="112" spans="1:9" ht="12.75">
      <c r="A112" s="121">
        <v>39049</v>
      </c>
      <c r="B112" s="122">
        <f t="shared" si="2"/>
        <v>31</v>
      </c>
      <c r="C112" s="59">
        <f t="shared" si="3"/>
        <v>33750000</v>
      </c>
      <c r="D112" s="59">
        <v>1350000</v>
      </c>
      <c r="E112" s="126"/>
      <c r="F112" s="122"/>
      <c r="G112" s="122"/>
      <c r="H112" s="122"/>
      <c r="I112" s="276"/>
    </row>
    <row r="113" spans="1:9" ht="12.75">
      <c r="A113" s="121">
        <v>39079</v>
      </c>
      <c r="B113" s="122">
        <f t="shared" si="2"/>
        <v>30</v>
      </c>
      <c r="C113" s="59">
        <f t="shared" si="3"/>
        <v>32400000</v>
      </c>
      <c r="D113" s="59">
        <v>1350000</v>
      </c>
      <c r="E113" s="126"/>
      <c r="F113" s="122"/>
      <c r="G113" s="122"/>
      <c r="H113" s="122"/>
      <c r="I113" s="276"/>
    </row>
    <row r="114" spans="1:9" ht="12.75">
      <c r="A114" s="128">
        <v>39082</v>
      </c>
      <c r="B114" s="129">
        <f t="shared" si="2"/>
        <v>3</v>
      </c>
      <c r="C114" s="130">
        <f t="shared" si="3"/>
        <v>32400000</v>
      </c>
      <c r="D114" s="130"/>
      <c r="E114" s="131">
        <f>E110</f>
        <v>0.1105</v>
      </c>
      <c r="F114" s="130">
        <f>((C111+D111)*E114/360*B111)+((C112+D112)*E114/360*B112)+((C113+D113)*E114/360*B113)+C114*E114/360*B114</f>
        <v>987870</v>
      </c>
      <c r="G114" s="132">
        <f>SUM(F102:F114)</f>
        <v>4597076.25</v>
      </c>
      <c r="H114" s="132">
        <f>SUM(D99:D114)</f>
        <v>16200000</v>
      </c>
      <c r="I114" s="133">
        <f>SUM(G114:H114)</f>
        <v>20797076.25</v>
      </c>
    </row>
    <row r="115" spans="1:9" ht="12.75">
      <c r="A115" s="115">
        <v>39110</v>
      </c>
      <c r="B115" s="116">
        <f aca="true" t="shared" si="4" ref="B115:B145">A115-A114</f>
        <v>28</v>
      </c>
      <c r="C115" s="117">
        <f aca="true" t="shared" si="5" ref="C115:C145">C114-D115</f>
        <v>31050000</v>
      </c>
      <c r="D115" s="59">
        <v>1350000</v>
      </c>
      <c r="E115" s="141"/>
      <c r="F115" s="116"/>
      <c r="G115" s="116"/>
      <c r="H115" s="116"/>
      <c r="I115" s="285"/>
    </row>
    <row r="116" spans="1:9" ht="12.75">
      <c r="A116" s="121">
        <v>39141</v>
      </c>
      <c r="B116" s="122">
        <f t="shared" si="4"/>
        <v>31</v>
      </c>
      <c r="C116" s="59">
        <f t="shared" si="5"/>
        <v>29700000</v>
      </c>
      <c r="D116" s="59">
        <v>1350000</v>
      </c>
      <c r="E116" s="126"/>
      <c r="F116" s="122"/>
      <c r="G116" s="122"/>
      <c r="H116" s="122"/>
      <c r="I116" s="276"/>
    </row>
    <row r="117" spans="1:9" ht="12.75">
      <c r="A117" s="121">
        <v>39169</v>
      </c>
      <c r="B117" s="122">
        <f t="shared" si="4"/>
        <v>28</v>
      </c>
      <c r="C117" s="59">
        <f t="shared" si="5"/>
        <v>28350000</v>
      </c>
      <c r="D117" s="59">
        <v>1350000</v>
      </c>
      <c r="E117" s="126"/>
      <c r="F117" s="122"/>
      <c r="G117" s="122"/>
      <c r="H117" s="122"/>
      <c r="I117" s="276"/>
    </row>
    <row r="118" spans="1:9" ht="12.75">
      <c r="A118" s="121">
        <v>39172</v>
      </c>
      <c r="B118" s="122">
        <f t="shared" si="4"/>
        <v>3</v>
      </c>
      <c r="C118" s="59">
        <f t="shared" si="5"/>
        <v>28350000</v>
      </c>
      <c r="D118" s="59"/>
      <c r="E118" s="123">
        <f>E114</f>
        <v>0.1105</v>
      </c>
      <c r="F118" s="59">
        <f>((C115+D115)*E118/360*B115)+((C116+D116)*E118/360*B116)+((C117+D117)*E118/360*B117)+C118*E118/360*B118</f>
        <v>855270</v>
      </c>
      <c r="G118" s="122"/>
      <c r="H118" s="122"/>
      <c r="I118" s="276"/>
    </row>
    <row r="119" spans="1:9" ht="12.75">
      <c r="A119" s="121">
        <v>39200</v>
      </c>
      <c r="B119" s="122">
        <f t="shared" si="4"/>
        <v>28</v>
      </c>
      <c r="C119" s="59">
        <f t="shared" si="5"/>
        <v>27000000</v>
      </c>
      <c r="D119" s="59">
        <v>1350000</v>
      </c>
      <c r="E119" s="126"/>
      <c r="F119" s="122"/>
      <c r="G119" s="122"/>
      <c r="H119" s="122"/>
      <c r="I119" s="276"/>
    </row>
    <row r="120" spans="1:9" ht="12.75">
      <c r="A120" s="121">
        <v>39230</v>
      </c>
      <c r="B120" s="122">
        <f t="shared" si="4"/>
        <v>30</v>
      </c>
      <c r="C120" s="59">
        <f t="shared" si="5"/>
        <v>25650000</v>
      </c>
      <c r="D120" s="59">
        <v>1350000</v>
      </c>
      <c r="E120" s="126"/>
      <c r="F120" s="122"/>
      <c r="G120" s="122"/>
      <c r="H120" s="122"/>
      <c r="I120" s="276"/>
    </row>
    <row r="121" spans="1:9" ht="12.75">
      <c r="A121" s="121">
        <v>39261</v>
      </c>
      <c r="B121" s="122">
        <f t="shared" si="4"/>
        <v>31</v>
      </c>
      <c r="C121" s="59">
        <f t="shared" si="5"/>
        <v>24300000</v>
      </c>
      <c r="D121" s="59">
        <v>1350000</v>
      </c>
      <c r="E121" s="126"/>
      <c r="F121" s="122"/>
      <c r="G121" s="122"/>
      <c r="H121" s="122"/>
      <c r="I121" s="276"/>
    </row>
    <row r="122" spans="1:9" ht="12.75">
      <c r="A122" s="121">
        <v>39263</v>
      </c>
      <c r="B122" s="122">
        <f t="shared" si="4"/>
        <v>2</v>
      </c>
      <c r="C122" s="59">
        <f t="shared" si="5"/>
        <v>24300000</v>
      </c>
      <c r="D122" s="59"/>
      <c r="E122" s="123">
        <f>E118</f>
        <v>0.1105</v>
      </c>
      <c r="F122" s="59">
        <f>((C119+D119)*E122/360*B119)+((C120+D120)*E122/360*B120)+((C121+D121)*E122/360*B121)+C122*E122/360*B122</f>
        <v>751261.875</v>
      </c>
      <c r="G122" s="122"/>
      <c r="H122" s="122"/>
      <c r="I122" s="276"/>
    </row>
    <row r="123" spans="1:9" ht="12.75">
      <c r="A123" s="121">
        <v>39291</v>
      </c>
      <c r="B123" s="122">
        <f t="shared" si="4"/>
        <v>28</v>
      </c>
      <c r="C123" s="59">
        <f t="shared" si="5"/>
        <v>22950000</v>
      </c>
      <c r="D123" s="59">
        <v>1350000</v>
      </c>
      <c r="E123" s="126"/>
      <c r="F123" s="122"/>
      <c r="G123" s="122"/>
      <c r="H123" s="122"/>
      <c r="I123" s="276"/>
    </row>
    <row r="124" spans="1:9" ht="12.75">
      <c r="A124" s="121">
        <v>39322</v>
      </c>
      <c r="B124" s="122">
        <f t="shared" si="4"/>
        <v>31</v>
      </c>
      <c r="C124" s="59">
        <f t="shared" si="5"/>
        <v>21600000</v>
      </c>
      <c r="D124" s="59">
        <v>1350000</v>
      </c>
      <c r="E124" s="126"/>
      <c r="F124" s="122"/>
      <c r="G124" s="122"/>
      <c r="H124" s="122"/>
      <c r="I124" s="276"/>
    </row>
    <row r="125" spans="1:9" ht="12.75">
      <c r="A125" s="121">
        <v>39353</v>
      </c>
      <c r="B125" s="122">
        <f t="shared" si="4"/>
        <v>31</v>
      </c>
      <c r="C125" s="59">
        <f t="shared" si="5"/>
        <v>20250000</v>
      </c>
      <c r="D125" s="59">
        <v>1350000</v>
      </c>
      <c r="E125" s="126"/>
      <c r="F125" s="122"/>
      <c r="G125" s="122"/>
      <c r="H125" s="122"/>
      <c r="I125" s="276"/>
    </row>
    <row r="126" spans="1:9" ht="12.75">
      <c r="A126" s="121">
        <v>39355</v>
      </c>
      <c r="B126" s="122">
        <f t="shared" si="4"/>
        <v>2</v>
      </c>
      <c r="C126" s="59">
        <f t="shared" si="5"/>
        <v>20250000</v>
      </c>
      <c r="D126" s="59"/>
      <c r="E126" s="123">
        <f>E122</f>
        <v>0.1105</v>
      </c>
      <c r="F126" s="59">
        <f>((C123+D123)*E126/360*B123)+((C124+D124)*E126/360*B124)+((C125+D125)*E126/360*B125)+C126*E126/360*B126</f>
        <v>645181.875</v>
      </c>
      <c r="G126" s="122"/>
      <c r="H126" s="122"/>
      <c r="I126" s="276"/>
    </row>
    <row r="127" spans="1:9" ht="12.75">
      <c r="A127" s="121">
        <v>39383</v>
      </c>
      <c r="B127" s="122">
        <f t="shared" si="4"/>
        <v>28</v>
      </c>
      <c r="C127" s="59">
        <f t="shared" si="5"/>
        <v>18900000</v>
      </c>
      <c r="D127" s="59">
        <v>1350000</v>
      </c>
      <c r="E127" s="126"/>
      <c r="F127" s="122"/>
      <c r="G127" s="122"/>
      <c r="H127" s="122"/>
      <c r="I127" s="276"/>
    </row>
    <row r="128" spans="1:9" ht="12.75">
      <c r="A128" s="121">
        <v>39414</v>
      </c>
      <c r="B128" s="122">
        <f t="shared" si="4"/>
        <v>31</v>
      </c>
      <c r="C128" s="59">
        <f t="shared" si="5"/>
        <v>17550000</v>
      </c>
      <c r="D128" s="59">
        <v>1350000</v>
      </c>
      <c r="E128" s="126"/>
      <c r="F128" s="122"/>
      <c r="G128" s="122"/>
      <c r="H128" s="122"/>
      <c r="I128" s="276"/>
    </row>
    <row r="129" spans="1:9" ht="12.75">
      <c r="A129" s="121">
        <v>39444</v>
      </c>
      <c r="B129" s="122">
        <f t="shared" si="4"/>
        <v>30</v>
      </c>
      <c r="C129" s="59">
        <f t="shared" si="5"/>
        <v>16200000</v>
      </c>
      <c r="D129" s="59">
        <v>1350000</v>
      </c>
      <c r="E129" s="126"/>
      <c r="F129" s="122"/>
      <c r="G129" s="122"/>
      <c r="H129" s="122"/>
      <c r="I129" s="276"/>
    </row>
    <row r="130" spans="1:9" ht="12.75">
      <c r="A130" s="128">
        <v>39447</v>
      </c>
      <c r="B130" s="129">
        <f t="shared" si="4"/>
        <v>3</v>
      </c>
      <c r="C130" s="130">
        <f t="shared" si="5"/>
        <v>16200000</v>
      </c>
      <c r="D130" s="130"/>
      <c r="E130" s="131">
        <f>E126</f>
        <v>0.1105</v>
      </c>
      <c r="F130" s="130">
        <f>((C127+D127)*E130/360*B127)+((C128+D128)*E130/360*B128)+((C129+D129)*E130/360*B129)+C130*E130/360*B130</f>
        <v>530400</v>
      </c>
      <c r="G130" s="132">
        <f>SUM(F118:F130)</f>
        <v>2782113.75</v>
      </c>
      <c r="H130" s="132">
        <f>SUM(D115:D130)</f>
        <v>16200000</v>
      </c>
      <c r="I130" s="133">
        <f>SUM(G130:H130)</f>
        <v>18982113.75</v>
      </c>
    </row>
    <row r="131" spans="1:9" ht="12.75">
      <c r="A131" s="115">
        <v>39475</v>
      </c>
      <c r="B131" s="116">
        <f t="shared" si="4"/>
        <v>28</v>
      </c>
      <c r="C131" s="117">
        <f t="shared" si="5"/>
        <v>14850000</v>
      </c>
      <c r="D131" s="59">
        <v>1350000</v>
      </c>
      <c r="E131" s="141"/>
      <c r="F131" s="116"/>
      <c r="G131" s="116"/>
      <c r="H131" s="116"/>
      <c r="I131" s="285"/>
    </row>
    <row r="132" spans="1:9" ht="12.75">
      <c r="A132" s="121">
        <v>39506</v>
      </c>
      <c r="B132" s="122">
        <f t="shared" si="4"/>
        <v>31</v>
      </c>
      <c r="C132" s="59">
        <f t="shared" si="5"/>
        <v>13500000</v>
      </c>
      <c r="D132" s="59">
        <v>1350000</v>
      </c>
      <c r="E132" s="126"/>
      <c r="F132" s="122"/>
      <c r="G132" s="122"/>
      <c r="H132" s="122"/>
      <c r="I132" s="276"/>
    </row>
    <row r="133" spans="1:9" ht="12.75">
      <c r="A133" s="121">
        <v>39535</v>
      </c>
      <c r="B133" s="122">
        <f t="shared" si="4"/>
        <v>29</v>
      </c>
      <c r="C133" s="59">
        <f t="shared" si="5"/>
        <v>12150000</v>
      </c>
      <c r="D133" s="59">
        <v>1350000</v>
      </c>
      <c r="E133" s="126"/>
      <c r="F133" s="122"/>
      <c r="G133" s="122"/>
      <c r="H133" s="122"/>
      <c r="I133" s="276"/>
    </row>
    <row r="134" spans="1:9" ht="12.75">
      <c r="A134" s="121">
        <v>39538</v>
      </c>
      <c r="B134" s="122">
        <f t="shared" si="4"/>
        <v>3</v>
      </c>
      <c r="C134" s="59">
        <f t="shared" si="5"/>
        <v>12150000</v>
      </c>
      <c r="D134" s="59"/>
      <c r="E134" s="123">
        <f>E130</f>
        <v>0.1105</v>
      </c>
      <c r="F134" s="59">
        <f>((C131+D131)*E134/360*B131)+((C132+D132)*E134/360*B132)+((C133+D133)*E134/360*B133)+C134*E134/360*B134</f>
        <v>411888.75</v>
      </c>
      <c r="G134" s="122"/>
      <c r="H134" s="122"/>
      <c r="I134" s="276"/>
    </row>
    <row r="135" spans="1:9" ht="12.75">
      <c r="A135" s="121">
        <v>39566</v>
      </c>
      <c r="B135" s="122">
        <f t="shared" si="4"/>
        <v>28</v>
      </c>
      <c r="C135" s="59">
        <f t="shared" si="5"/>
        <v>10800000</v>
      </c>
      <c r="D135" s="59">
        <v>1350000</v>
      </c>
      <c r="E135" s="126"/>
      <c r="F135" s="122"/>
      <c r="G135" s="122"/>
      <c r="H135" s="122"/>
      <c r="I135" s="276"/>
    </row>
    <row r="136" spans="1:9" ht="12.75">
      <c r="A136" s="121">
        <v>39596</v>
      </c>
      <c r="B136" s="122">
        <f t="shared" si="4"/>
        <v>30</v>
      </c>
      <c r="C136" s="59">
        <f t="shared" si="5"/>
        <v>9450000</v>
      </c>
      <c r="D136" s="59">
        <v>1350000</v>
      </c>
      <c r="F136" s="122"/>
      <c r="G136" s="122"/>
      <c r="H136" s="122"/>
      <c r="I136" s="296"/>
    </row>
    <row r="137" spans="1:9" ht="12.75">
      <c r="A137" s="121">
        <v>39627</v>
      </c>
      <c r="B137" s="122">
        <f t="shared" si="4"/>
        <v>31</v>
      </c>
      <c r="C137" s="59">
        <f t="shared" si="5"/>
        <v>8100000</v>
      </c>
      <c r="D137" s="59">
        <v>1350000</v>
      </c>
      <c r="E137" s="126"/>
      <c r="F137" s="122"/>
      <c r="G137" s="122"/>
      <c r="H137" s="122"/>
      <c r="I137" s="276"/>
    </row>
    <row r="138" spans="1:9" ht="12.75">
      <c r="A138" s="121">
        <v>39629</v>
      </c>
      <c r="B138" s="122">
        <f t="shared" si="4"/>
        <v>2</v>
      </c>
      <c r="C138" s="59">
        <f t="shared" si="5"/>
        <v>8100000</v>
      </c>
      <c r="D138" s="138"/>
      <c r="E138" s="123">
        <f>E134</f>
        <v>0.1105</v>
      </c>
      <c r="F138" s="59">
        <f>((C135+D135)*E138/360*B135)+((C136+D136)*E138/360*B136)+((C137+D137)*E138/360*B137)+C138*E138/360*B138</f>
        <v>298764.375</v>
      </c>
      <c r="G138" s="139"/>
      <c r="H138" s="139"/>
      <c r="I138" s="297"/>
    </row>
    <row r="139" spans="1:9" ht="12.75">
      <c r="A139" s="121">
        <v>39657</v>
      </c>
      <c r="B139" s="122">
        <f t="shared" si="4"/>
        <v>28</v>
      </c>
      <c r="C139" s="59">
        <f t="shared" si="5"/>
        <v>6750000</v>
      </c>
      <c r="D139" s="59">
        <v>1350000</v>
      </c>
      <c r="E139" s="268"/>
      <c r="F139" s="139"/>
      <c r="G139" s="139"/>
      <c r="H139" s="139"/>
      <c r="I139" s="297"/>
    </row>
    <row r="140" spans="1:9" ht="12.75">
      <c r="A140" s="121">
        <v>39688</v>
      </c>
      <c r="B140" s="122">
        <f t="shared" si="4"/>
        <v>31</v>
      </c>
      <c r="C140" s="59">
        <f t="shared" si="5"/>
        <v>5400000</v>
      </c>
      <c r="D140" s="59">
        <v>1350000</v>
      </c>
      <c r="E140" s="268"/>
      <c r="F140" s="139"/>
      <c r="G140" s="139"/>
      <c r="H140" s="139"/>
      <c r="I140" s="297"/>
    </row>
    <row r="141" spans="1:9" ht="12.75">
      <c r="A141" s="121">
        <v>39719</v>
      </c>
      <c r="B141" s="122">
        <f t="shared" si="4"/>
        <v>31</v>
      </c>
      <c r="C141" s="59">
        <f t="shared" si="5"/>
        <v>4050000</v>
      </c>
      <c r="D141" s="59">
        <v>1350000</v>
      </c>
      <c r="E141" s="268"/>
      <c r="F141" s="139"/>
      <c r="G141" s="139"/>
      <c r="H141" s="139"/>
      <c r="I141" s="297"/>
    </row>
    <row r="142" spans="1:9" ht="12.75">
      <c r="A142" s="121">
        <v>39721</v>
      </c>
      <c r="B142" s="122">
        <f t="shared" si="4"/>
        <v>2</v>
      </c>
      <c r="C142" s="59">
        <f t="shared" si="5"/>
        <v>4050000</v>
      </c>
      <c r="D142" s="138"/>
      <c r="E142" s="123">
        <f>E138</f>
        <v>0.1105</v>
      </c>
      <c r="F142" s="59">
        <f>((C139+D139)*E142/360*B139)+((C140+D140)*E142/360*B140)+((C141+D141)*E142/360*B141)+C142*E142/360*B142</f>
        <v>187711.875</v>
      </c>
      <c r="G142" s="139"/>
      <c r="H142" s="139"/>
      <c r="I142" s="297"/>
    </row>
    <row r="143" spans="1:9" ht="12.75">
      <c r="A143" s="121">
        <v>39749</v>
      </c>
      <c r="B143" s="122">
        <f t="shared" si="4"/>
        <v>28</v>
      </c>
      <c r="C143" s="59">
        <f t="shared" si="5"/>
        <v>2700000</v>
      </c>
      <c r="D143" s="59">
        <v>1350000</v>
      </c>
      <c r="E143" s="268"/>
      <c r="F143" s="139"/>
      <c r="G143" s="139"/>
      <c r="H143" s="139"/>
      <c r="I143" s="297"/>
    </row>
    <row r="144" spans="1:9" ht="12.75">
      <c r="A144" s="121">
        <v>39780</v>
      </c>
      <c r="B144" s="122">
        <f t="shared" si="4"/>
        <v>31</v>
      </c>
      <c r="C144" s="59">
        <f t="shared" si="5"/>
        <v>1350000</v>
      </c>
      <c r="D144" s="59">
        <v>1350000</v>
      </c>
      <c r="E144" s="268"/>
      <c r="F144" s="139"/>
      <c r="G144" s="139"/>
      <c r="H144" s="139"/>
      <c r="I144" s="297"/>
    </row>
    <row r="145" spans="1:9" ht="13.5" thickBot="1">
      <c r="A145" s="121">
        <v>39810</v>
      </c>
      <c r="B145" s="122">
        <f t="shared" si="4"/>
        <v>30</v>
      </c>
      <c r="C145" s="59">
        <f t="shared" si="5"/>
        <v>0</v>
      </c>
      <c r="D145" s="59">
        <v>1350000</v>
      </c>
      <c r="E145" s="123">
        <f>E142</f>
        <v>0.1105</v>
      </c>
      <c r="F145" s="59">
        <f>((C143+D143)*E145/360*B143)+((C144+D144)*E145/360*B144)+D145*E145/360*B145</f>
        <v>72930</v>
      </c>
      <c r="G145" s="124">
        <f>SUM(F131:F145)</f>
        <v>971295</v>
      </c>
      <c r="H145" s="124">
        <f>SUM(D131:D145)</f>
        <v>16200000</v>
      </c>
      <c r="I145" s="125">
        <f>SUM(G145:H145)</f>
        <v>17171295</v>
      </c>
    </row>
    <row r="146" spans="1:9" ht="13.5" thickTop="1">
      <c r="A146" s="350" t="s">
        <v>14</v>
      </c>
      <c r="B146" s="351"/>
      <c r="C146" s="351"/>
      <c r="D146" s="151">
        <f>SUM(D7:D145)</f>
        <v>200000000</v>
      </c>
      <c r="E146" s="298"/>
      <c r="F146" s="151">
        <f>SUM(F8:F145)</f>
        <v>83565388.96041095</v>
      </c>
      <c r="G146" s="151">
        <f>SUM(G18:G145)</f>
        <v>83565388.96041095</v>
      </c>
      <c r="H146" s="151">
        <f>SUM(H17:H145)</f>
        <v>200000000</v>
      </c>
      <c r="I146" s="294">
        <f>SUM(I16:I145)</f>
        <v>283565388.96041095</v>
      </c>
    </row>
    <row r="147" spans="1:8" ht="12.75">
      <c r="A147" s="154"/>
      <c r="B147" s="87"/>
      <c r="C147" s="299"/>
      <c r="D147" s="299"/>
      <c r="E147" s="300"/>
      <c r="F147" s="299"/>
      <c r="G147" s="87"/>
      <c r="H147" s="87"/>
    </row>
    <row r="148" spans="1:8" ht="12.75">
      <c r="A148" s="154"/>
      <c r="B148" s="87"/>
      <c r="C148" s="299"/>
      <c r="D148" s="299"/>
      <c r="E148" s="301"/>
      <c r="F148" s="87"/>
      <c r="G148" s="87"/>
      <c r="H148" s="87"/>
    </row>
    <row r="149" spans="1:8" ht="12.75">
      <c r="A149" s="154"/>
      <c r="B149" s="87"/>
      <c r="C149" s="299"/>
      <c r="D149" s="299"/>
      <c r="E149" s="301"/>
      <c r="F149" s="87"/>
      <c r="G149" s="87"/>
      <c r="H149" s="87"/>
    </row>
    <row r="150" spans="1:8" ht="12.75">
      <c r="A150" s="154"/>
      <c r="B150" s="87"/>
      <c r="C150" s="299"/>
      <c r="D150" s="299"/>
      <c r="E150" s="301"/>
      <c r="F150" s="87"/>
      <c r="G150" s="87"/>
      <c r="H150" s="87"/>
    </row>
    <row r="151" spans="1:8" ht="12.75">
      <c r="A151" s="154"/>
      <c r="B151" s="87"/>
      <c r="C151" s="299"/>
      <c r="D151" s="299"/>
      <c r="E151" s="300"/>
      <c r="F151" s="299"/>
      <c r="G151" s="87"/>
      <c r="H151" s="87"/>
    </row>
    <row r="152" spans="1:8" ht="12.75">
      <c r="A152" s="154"/>
      <c r="B152" s="87"/>
      <c r="C152" s="299"/>
      <c r="D152" s="299"/>
      <c r="E152" s="301"/>
      <c r="F152" s="87"/>
      <c r="G152" s="87"/>
      <c r="H152" s="87"/>
    </row>
    <row r="153" spans="1:8" ht="12.75">
      <c r="A153" s="154"/>
      <c r="B153" s="87"/>
      <c r="C153" s="299"/>
      <c r="D153" s="299"/>
      <c r="E153" s="301"/>
      <c r="F153" s="87"/>
      <c r="G153" s="87"/>
      <c r="H153" s="87"/>
    </row>
    <row r="154" spans="1:8" ht="12.75">
      <c r="A154" s="154"/>
      <c r="B154" s="87"/>
      <c r="C154" s="299"/>
      <c r="D154" s="299"/>
      <c r="E154" s="300"/>
      <c r="F154" s="299"/>
      <c r="G154" s="87"/>
      <c r="H154" s="87"/>
    </row>
    <row r="155" spans="1:3" ht="12.75">
      <c r="A155" s="154"/>
      <c r="B155" s="87"/>
      <c r="C155" s="299"/>
    </row>
    <row r="156" spans="1:4" ht="12.75">
      <c r="A156" s="87"/>
      <c r="B156" s="87"/>
      <c r="C156" s="299"/>
      <c r="D156" s="299"/>
    </row>
    <row r="157" spans="1:4" ht="12.75">
      <c r="A157" s="87"/>
      <c r="B157" s="87"/>
      <c r="C157" s="299"/>
      <c r="D157" s="299"/>
    </row>
  </sheetData>
  <mergeCells count="1">
    <mergeCell ref="A146:C146"/>
  </mergeCells>
  <printOptions horizontalCentered="1"/>
  <pageMargins left="0.5905511811023623" right="0.5905511811023623" top="0.7874015748031497" bottom="0.5905511811023623" header="0.1968503937007874" footer="0.1968503937007874"/>
  <pageSetup blackAndWhite="1" horizontalDpi="300" verticalDpi="300" orientation="portrait" paperSize="9" r:id="rId1"/>
  <headerFooter alignWithMargins="0">
    <oddHeader>&amp;C&amp;"Times New Roman CE,Félkövér"&amp;12Adósságszolgálat számítása az OTP tájékoztatása alapján&amp;"Times New Roman CE,Félkövér dőlt"
1999. évben felvett 200 MFt hitel</oddHeader>
    <oddFooter>&amp;L&amp;9Nyomtatás dátuma: &amp;D
C:\Andi\adósságszolgálat\&amp;F\&amp;A&amp;R&amp;P/&amp;N</oddFooter>
  </headerFooter>
  <rowBreaks count="2" manualBreakCount="2">
    <brk id="55" max="255" man="1"/>
    <brk id="10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9"/>
  <sheetViews>
    <sheetView zoomScaleSheetLayoutView="100"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11.00390625" style="89" customWidth="1"/>
    <col min="2" max="2" width="5.625" style="89" customWidth="1"/>
    <col min="3" max="3" width="12.50390625" style="155" customWidth="1"/>
    <col min="4" max="4" width="12.625" style="155" bestFit="1" customWidth="1"/>
    <col min="5" max="5" width="8.50390625" style="89" customWidth="1"/>
    <col min="6" max="7" width="12.625" style="89" customWidth="1"/>
    <col min="8" max="8" width="12.50390625" style="89" customWidth="1"/>
    <col min="9" max="9" width="12.625" style="89" customWidth="1"/>
    <col min="10" max="10" width="9.375" style="89" customWidth="1"/>
    <col min="11" max="11" width="11.125" style="89" bestFit="1" customWidth="1"/>
    <col min="12" max="16384" width="9.375" style="89" customWidth="1"/>
  </cols>
  <sheetData>
    <row r="1" spans="1:9" ht="12.75">
      <c r="A1" s="200" t="s">
        <v>112</v>
      </c>
      <c r="B1" s="199"/>
      <c r="C1" s="200"/>
      <c r="D1" s="200"/>
      <c r="E1" s="200"/>
      <c r="G1" s="200"/>
      <c r="H1" s="200"/>
      <c r="I1" s="200"/>
    </row>
    <row r="2" spans="1:9" ht="12.75">
      <c r="A2" s="172" t="s">
        <v>15</v>
      </c>
      <c r="B2" s="170"/>
      <c r="C2" s="169"/>
      <c r="D2" s="169"/>
      <c r="E2" s="169"/>
      <c r="F2" s="169"/>
      <c r="G2" s="169"/>
      <c r="H2" s="169"/>
      <c r="I2" s="169"/>
    </row>
    <row r="3" spans="1:9" ht="12.75">
      <c r="A3" s="171" t="s">
        <v>74</v>
      </c>
      <c r="B3" s="170"/>
      <c r="C3" s="169"/>
      <c r="D3" s="169"/>
      <c r="E3" s="169"/>
      <c r="F3" s="169"/>
      <c r="G3" s="169"/>
      <c r="H3" s="169"/>
      <c r="I3" s="170" t="s">
        <v>2</v>
      </c>
    </row>
    <row r="4" spans="1:9" ht="12.75">
      <c r="A4" s="97" t="s">
        <v>3</v>
      </c>
      <c r="B4" s="98" t="s">
        <v>4</v>
      </c>
      <c r="C4" s="99" t="s">
        <v>5</v>
      </c>
      <c r="D4" s="99" t="s">
        <v>21</v>
      </c>
      <c r="E4" s="99" t="s">
        <v>18</v>
      </c>
      <c r="F4" s="100" t="s">
        <v>20</v>
      </c>
      <c r="G4" s="101" t="s">
        <v>6</v>
      </c>
      <c r="H4" s="101" t="s">
        <v>6</v>
      </c>
      <c r="I4" s="102" t="s">
        <v>6</v>
      </c>
    </row>
    <row r="5" spans="1:9" ht="12.75">
      <c r="A5" s="103"/>
      <c r="B5" s="104" t="s">
        <v>7</v>
      </c>
      <c r="C5" s="105" t="s">
        <v>8</v>
      </c>
      <c r="D5" s="105" t="s">
        <v>13</v>
      </c>
      <c r="E5" s="105" t="s">
        <v>19</v>
      </c>
      <c r="F5" s="106" t="s">
        <v>13</v>
      </c>
      <c r="G5" s="107" t="s">
        <v>9</v>
      </c>
      <c r="H5" s="107" t="s">
        <v>11</v>
      </c>
      <c r="I5" s="108" t="s">
        <v>10</v>
      </c>
    </row>
    <row r="6" spans="1:9" ht="12.75">
      <c r="A6" s="109"/>
      <c r="B6" s="110"/>
      <c r="C6" s="111"/>
      <c r="D6" s="111"/>
      <c r="E6" s="111"/>
      <c r="F6" s="112"/>
      <c r="G6" s="112"/>
      <c r="H6" s="113" t="s">
        <v>13</v>
      </c>
      <c r="I6" s="114" t="s">
        <v>12</v>
      </c>
    </row>
    <row r="7" spans="1:9" ht="12.75">
      <c r="A7" s="115">
        <v>36861</v>
      </c>
      <c r="B7" s="135"/>
      <c r="C7" s="175">
        <v>250000000</v>
      </c>
      <c r="D7" s="175"/>
      <c r="E7" s="175"/>
      <c r="F7" s="175"/>
      <c r="G7" s="185"/>
      <c r="H7" s="185"/>
      <c r="I7" s="186"/>
    </row>
    <row r="8" spans="1:9" ht="12.75">
      <c r="A8" s="128">
        <v>36891</v>
      </c>
      <c r="B8" s="129">
        <f aca="true" t="shared" si="0" ref="B8:B21">A8-A7</f>
        <v>30</v>
      </c>
      <c r="C8" s="181">
        <f aca="true" t="shared" si="1" ref="C8:C20">C7-D8</f>
        <v>250000000</v>
      </c>
      <c r="D8" s="181"/>
      <c r="E8" s="302">
        <v>0.1116</v>
      </c>
      <c r="F8" s="181">
        <f>(C8+D8)*E8/365*B8</f>
        <v>2293150.684931507</v>
      </c>
      <c r="G8" s="187">
        <f>SUM(F7:F8)</f>
        <v>2293150.684931507</v>
      </c>
      <c r="H8" s="187">
        <f>SUM(D7:D8)</f>
        <v>0</v>
      </c>
      <c r="I8" s="188">
        <f>SUM(G8:H8)</f>
        <v>2293150.684931507</v>
      </c>
    </row>
    <row r="9" spans="1:9" ht="12.75">
      <c r="A9" s="134">
        <v>36981</v>
      </c>
      <c r="B9" s="279">
        <f t="shared" si="0"/>
        <v>90</v>
      </c>
      <c r="C9" s="176">
        <f t="shared" si="1"/>
        <v>250000000</v>
      </c>
      <c r="D9" s="176"/>
      <c r="E9" s="84">
        <f>F9/(C9*B9)*365</f>
        <v>0.1241101388888889</v>
      </c>
      <c r="F9" s="175">
        <v>7650625</v>
      </c>
      <c r="G9" s="177"/>
      <c r="H9" s="177"/>
      <c r="I9" s="178"/>
    </row>
    <row r="10" spans="1:9" ht="12.75">
      <c r="A10" s="121">
        <v>37072</v>
      </c>
      <c r="B10" s="281">
        <f t="shared" si="0"/>
        <v>91</v>
      </c>
      <c r="C10" s="191">
        <f t="shared" si="1"/>
        <v>250000000</v>
      </c>
      <c r="D10" s="191"/>
      <c r="E10" s="84">
        <f>F10/(C10*B10)*365</f>
        <v>0.11535381384615385</v>
      </c>
      <c r="F10" s="175">
        <v>7189861</v>
      </c>
      <c r="G10" s="192"/>
      <c r="H10" s="192"/>
      <c r="I10" s="193"/>
    </row>
    <row r="11" spans="1:9" ht="12.75">
      <c r="A11" s="121">
        <v>37164</v>
      </c>
      <c r="B11" s="281">
        <f t="shared" si="0"/>
        <v>92</v>
      </c>
      <c r="C11" s="191">
        <f t="shared" si="1"/>
        <v>250000000</v>
      </c>
      <c r="D11" s="191"/>
      <c r="E11" s="84">
        <f>F11/(C11*B11)*365</f>
        <v>0.11091943739130435</v>
      </c>
      <c r="F11" s="175">
        <v>6989444</v>
      </c>
      <c r="G11" s="192"/>
      <c r="H11" s="192"/>
      <c r="I11" s="193"/>
    </row>
    <row r="12" spans="1:9" ht="12.75">
      <c r="A12" s="121">
        <v>37253</v>
      </c>
      <c r="B12" s="281">
        <f t="shared" si="0"/>
        <v>89</v>
      </c>
      <c r="C12" s="191">
        <f t="shared" si="1"/>
        <v>237500000</v>
      </c>
      <c r="D12" s="191">
        <v>12500000</v>
      </c>
      <c r="E12" s="282"/>
      <c r="F12" s="191"/>
      <c r="G12" s="192"/>
      <c r="H12" s="192"/>
      <c r="I12" s="193"/>
    </row>
    <row r="13" spans="1:9" ht="12.75">
      <c r="A13" s="128">
        <v>37253</v>
      </c>
      <c r="B13" s="283">
        <f t="shared" si="0"/>
        <v>0</v>
      </c>
      <c r="C13" s="181">
        <f t="shared" si="1"/>
        <v>237500000</v>
      </c>
      <c r="D13" s="181"/>
      <c r="E13" s="131">
        <f>F13/(((C12+D12)*B12)+(C13*B13))*365</f>
        <v>0.11529396898876404</v>
      </c>
      <c r="F13" s="181">
        <v>7028194</v>
      </c>
      <c r="G13" s="182">
        <f>SUM(F9:F13)</f>
        <v>28858124</v>
      </c>
      <c r="H13" s="182">
        <f>SUM(D9:D13)</f>
        <v>12500000</v>
      </c>
      <c r="I13" s="183">
        <f>SUM(G13:H13)</f>
        <v>41358124</v>
      </c>
    </row>
    <row r="14" spans="1:9" ht="12.75">
      <c r="A14" s="134">
        <v>37343</v>
      </c>
      <c r="B14" s="279">
        <f t="shared" si="0"/>
        <v>90</v>
      </c>
      <c r="C14" s="176">
        <f t="shared" si="1"/>
        <v>225000000</v>
      </c>
      <c r="D14" s="176">
        <v>12500000</v>
      </c>
      <c r="E14" s="303"/>
      <c r="F14" s="176"/>
      <c r="G14" s="177"/>
      <c r="H14" s="177"/>
      <c r="I14" s="178"/>
    </row>
    <row r="15" spans="1:9" ht="12.75">
      <c r="A15" s="121">
        <v>37344</v>
      </c>
      <c r="B15" s="281">
        <f t="shared" si="0"/>
        <v>1</v>
      </c>
      <c r="C15" s="191">
        <f t="shared" si="1"/>
        <v>225000000</v>
      </c>
      <c r="D15" s="191"/>
      <c r="E15" s="123">
        <f>F15/(((C14+D14)*B14)+(C15*B15))*365</f>
        <v>0.09974010277777777</v>
      </c>
      <c r="F15" s="175">
        <v>5902428</v>
      </c>
      <c r="G15" s="192"/>
      <c r="H15" s="192"/>
      <c r="I15" s="193"/>
    </row>
    <row r="16" spans="1:9" ht="12.75">
      <c r="A16" s="121">
        <v>37435</v>
      </c>
      <c r="B16" s="281">
        <f t="shared" si="0"/>
        <v>91</v>
      </c>
      <c r="C16" s="191">
        <f t="shared" si="1"/>
        <v>212500000</v>
      </c>
      <c r="D16" s="191">
        <v>12500000</v>
      </c>
      <c r="E16" s="84"/>
      <c r="F16" s="191"/>
      <c r="G16" s="192"/>
      <c r="H16" s="192"/>
      <c r="I16" s="193"/>
    </row>
    <row r="17" spans="1:9" ht="12.75">
      <c r="A17" s="121">
        <v>37437</v>
      </c>
      <c r="B17" s="281">
        <f t="shared" si="0"/>
        <v>2</v>
      </c>
      <c r="C17" s="191">
        <f t="shared" si="1"/>
        <v>212500000</v>
      </c>
      <c r="D17" s="191"/>
      <c r="E17" s="123">
        <v>0.085</v>
      </c>
      <c r="F17" s="191">
        <v>4858938</v>
      </c>
      <c r="G17" s="192"/>
      <c r="H17" s="192"/>
      <c r="I17" s="193"/>
    </row>
    <row r="18" spans="1:9" ht="12.75">
      <c r="A18" s="121">
        <v>37527</v>
      </c>
      <c r="B18" s="281">
        <f t="shared" si="0"/>
        <v>90</v>
      </c>
      <c r="C18" s="191">
        <f t="shared" si="1"/>
        <v>200000000</v>
      </c>
      <c r="D18" s="191">
        <v>12500000</v>
      </c>
      <c r="E18" s="282"/>
      <c r="F18" s="191"/>
      <c r="G18" s="192"/>
      <c r="H18" s="192"/>
      <c r="I18" s="193"/>
    </row>
    <row r="19" spans="1:9" ht="12.75">
      <c r="A19" s="121">
        <v>37529</v>
      </c>
      <c r="B19" s="281">
        <f t="shared" si="0"/>
        <v>2</v>
      </c>
      <c r="C19" s="191">
        <f t="shared" si="1"/>
        <v>200000000</v>
      </c>
      <c r="D19" s="191"/>
      <c r="E19" s="282">
        <v>0.0931</v>
      </c>
      <c r="F19" s="191">
        <v>5151413</v>
      </c>
      <c r="G19" s="192"/>
      <c r="H19" s="192"/>
      <c r="I19" s="193"/>
    </row>
    <row r="20" spans="1:9" ht="12.75">
      <c r="A20" s="121">
        <v>37618</v>
      </c>
      <c r="B20" s="281">
        <f t="shared" si="0"/>
        <v>89</v>
      </c>
      <c r="C20" s="191">
        <f t="shared" si="1"/>
        <v>187500000</v>
      </c>
      <c r="D20" s="191">
        <v>12500000</v>
      </c>
      <c r="E20" s="282"/>
      <c r="F20" s="191"/>
      <c r="G20" s="192"/>
      <c r="H20" s="192"/>
      <c r="I20" s="193"/>
    </row>
    <row r="21" spans="1:9" ht="12.75">
      <c r="A21" s="179">
        <v>37621</v>
      </c>
      <c r="B21" s="129">
        <f t="shared" si="0"/>
        <v>3</v>
      </c>
      <c r="C21" s="284">
        <v>187500000</v>
      </c>
      <c r="D21" s="130"/>
      <c r="E21" s="225">
        <v>0.098</v>
      </c>
      <c r="F21" s="130">
        <v>4995958</v>
      </c>
      <c r="G21" s="132">
        <f>SUM(F15:F21)</f>
        <v>20908737</v>
      </c>
      <c r="H21" s="132">
        <f>SUM(D14:D21)</f>
        <v>50000000</v>
      </c>
      <c r="I21" s="133">
        <f>SUM(G21:H21)</f>
        <v>70908737</v>
      </c>
    </row>
    <row r="22" spans="1:9" ht="12.75">
      <c r="A22" s="134">
        <v>37708</v>
      </c>
      <c r="B22" s="135">
        <f aca="true" t="shared" si="2" ref="B22:B76">A22-A21</f>
        <v>87</v>
      </c>
      <c r="C22" s="60">
        <f aca="true" t="shared" si="3" ref="C22:C76">C21-D22</f>
        <v>180900000</v>
      </c>
      <c r="D22" s="60">
        <v>6600000</v>
      </c>
      <c r="E22" s="135"/>
      <c r="F22" s="135"/>
      <c r="G22" s="135"/>
      <c r="H22" s="135"/>
      <c r="I22" s="287"/>
    </row>
    <row r="23" spans="1:9" ht="12.75">
      <c r="A23" s="121">
        <v>37711</v>
      </c>
      <c r="B23" s="122">
        <f t="shared" si="2"/>
        <v>3</v>
      </c>
      <c r="C23" s="59">
        <f t="shared" si="3"/>
        <v>180900000</v>
      </c>
      <c r="D23" s="59"/>
      <c r="E23" s="123">
        <v>0.0847</v>
      </c>
      <c r="F23" s="59">
        <v>3972581</v>
      </c>
      <c r="G23" s="122"/>
      <c r="H23" s="122"/>
      <c r="I23" s="276"/>
    </row>
    <row r="24" spans="1:9" ht="12.75">
      <c r="A24" s="121">
        <v>37800</v>
      </c>
      <c r="B24" s="122">
        <f t="shared" si="2"/>
        <v>89</v>
      </c>
      <c r="C24" s="59">
        <f t="shared" si="3"/>
        <v>174200000</v>
      </c>
      <c r="D24" s="59">
        <v>6700000</v>
      </c>
      <c r="E24" s="122"/>
      <c r="F24" s="122"/>
      <c r="G24" s="122"/>
      <c r="H24" s="122"/>
      <c r="I24" s="276"/>
    </row>
    <row r="25" spans="1:9" ht="12.75">
      <c r="A25" s="121">
        <v>37802</v>
      </c>
      <c r="B25" s="122">
        <f t="shared" si="2"/>
        <v>2</v>
      </c>
      <c r="C25" s="59">
        <f t="shared" si="3"/>
        <v>174200000</v>
      </c>
      <c r="D25" s="59"/>
      <c r="E25" s="123">
        <v>0.0665</v>
      </c>
      <c r="F25" s="59">
        <v>3050024</v>
      </c>
      <c r="G25" s="122"/>
      <c r="H25" s="122"/>
      <c r="I25" s="276"/>
    </row>
    <row r="26" spans="1:11" ht="12.75">
      <c r="A26" s="121">
        <v>37892</v>
      </c>
      <c r="B26" s="122">
        <f t="shared" si="2"/>
        <v>90</v>
      </c>
      <c r="C26" s="59">
        <f t="shared" si="3"/>
        <v>167500000</v>
      </c>
      <c r="D26" s="59">
        <v>6700000</v>
      </c>
      <c r="E26" s="122"/>
      <c r="F26" s="122"/>
      <c r="G26" s="122"/>
      <c r="H26" s="122"/>
      <c r="I26" s="276"/>
      <c r="K26" s="155"/>
    </row>
    <row r="27" spans="1:9" ht="12.75">
      <c r="A27" s="121">
        <v>37894</v>
      </c>
      <c r="B27" s="122">
        <f t="shared" si="2"/>
        <v>2</v>
      </c>
      <c r="C27" s="59">
        <f t="shared" si="3"/>
        <v>167500000</v>
      </c>
      <c r="D27" s="59"/>
      <c r="E27" s="123">
        <v>0.0893</v>
      </c>
      <c r="F27" s="59">
        <v>3961081</v>
      </c>
      <c r="G27" s="122"/>
      <c r="H27" s="122"/>
      <c r="I27" s="276"/>
    </row>
    <row r="28" spans="1:9" ht="12.75">
      <c r="A28" s="121">
        <v>37983</v>
      </c>
      <c r="B28" s="122">
        <f t="shared" si="2"/>
        <v>89</v>
      </c>
      <c r="C28" s="59">
        <f t="shared" si="3"/>
        <v>160800000</v>
      </c>
      <c r="D28" s="59">
        <v>6700000</v>
      </c>
      <c r="E28" s="122"/>
      <c r="F28" s="122"/>
      <c r="G28" s="122"/>
      <c r="H28" s="122"/>
      <c r="I28" s="276"/>
    </row>
    <row r="29" spans="1:11" ht="12.75">
      <c r="A29" s="128">
        <v>37986</v>
      </c>
      <c r="B29" s="129">
        <f t="shared" si="2"/>
        <v>3</v>
      </c>
      <c r="C29" s="130">
        <f t="shared" si="3"/>
        <v>160800000</v>
      </c>
      <c r="D29" s="130"/>
      <c r="E29" s="131">
        <v>0.0961</v>
      </c>
      <c r="F29" s="59">
        <v>4105084</v>
      </c>
      <c r="G29" s="132">
        <f>SUM(F23:F29)</f>
        <v>15088770</v>
      </c>
      <c r="H29" s="132">
        <f>SUM(D22:D29)</f>
        <v>26700000</v>
      </c>
      <c r="I29" s="133">
        <f>SUM(G29:H29)</f>
        <v>41788770</v>
      </c>
      <c r="K29" s="155"/>
    </row>
    <row r="30" spans="1:9" ht="12.75">
      <c r="A30" s="134">
        <v>38074</v>
      </c>
      <c r="B30" s="135">
        <f t="shared" si="2"/>
        <v>88</v>
      </c>
      <c r="C30" s="60">
        <f t="shared" si="3"/>
        <v>154100000</v>
      </c>
      <c r="D30" s="59">
        <v>6700000</v>
      </c>
      <c r="E30" s="135"/>
      <c r="F30" s="135"/>
      <c r="G30" s="135"/>
      <c r="H30" s="135"/>
      <c r="I30" s="287"/>
    </row>
    <row r="31" spans="1:9" ht="12.75">
      <c r="A31" s="121">
        <v>38077</v>
      </c>
      <c r="B31" s="122">
        <f t="shared" si="2"/>
        <v>3</v>
      </c>
      <c r="C31" s="59">
        <f t="shared" si="3"/>
        <v>154100000</v>
      </c>
      <c r="D31" s="59"/>
      <c r="E31" s="123">
        <v>0.1255</v>
      </c>
      <c r="F31" s="59">
        <f>((C30+D30)*E31/360*B30)+((C31+D31)*E31/360*B31)</f>
        <v>5094149.583333333</v>
      </c>
      <c r="G31" s="122"/>
      <c r="H31" s="122"/>
      <c r="I31" s="276"/>
    </row>
    <row r="32" spans="1:9" ht="12.75">
      <c r="A32" s="121">
        <v>38166</v>
      </c>
      <c r="B32" s="122">
        <f t="shared" si="2"/>
        <v>89</v>
      </c>
      <c r="C32" s="59">
        <f t="shared" si="3"/>
        <v>147400000</v>
      </c>
      <c r="D32" s="59">
        <v>6700000</v>
      </c>
      <c r="E32" s="122"/>
      <c r="F32" s="122"/>
      <c r="G32" s="122"/>
      <c r="H32" s="122"/>
      <c r="I32" s="276"/>
    </row>
    <row r="33" spans="1:9" ht="12.75">
      <c r="A33" s="121">
        <v>38168</v>
      </c>
      <c r="B33" s="122">
        <f t="shared" si="2"/>
        <v>2</v>
      </c>
      <c r="C33" s="59">
        <f t="shared" si="3"/>
        <v>147400000</v>
      </c>
      <c r="D33" s="59"/>
      <c r="E33" s="123">
        <v>0.1197</v>
      </c>
      <c r="F33" s="59">
        <v>4660708</v>
      </c>
      <c r="G33" s="122"/>
      <c r="H33" s="122"/>
      <c r="I33" s="276"/>
    </row>
    <row r="34" spans="1:9" ht="12.75">
      <c r="A34" s="121">
        <v>38258</v>
      </c>
      <c r="B34" s="122">
        <f t="shared" si="2"/>
        <v>90</v>
      </c>
      <c r="C34" s="59">
        <f t="shared" si="3"/>
        <v>140700000</v>
      </c>
      <c r="D34" s="59">
        <v>6700000</v>
      </c>
      <c r="E34" s="122"/>
      <c r="F34" s="122"/>
      <c r="G34" s="122"/>
      <c r="H34" s="122"/>
      <c r="I34" s="276"/>
    </row>
    <row r="35" spans="1:9" ht="12.75">
      <c r="A35" s="121">
        <v>38260</v>
      </c>
      <c r="B35" s="122">
        <f t="shared" si="2"/>
        <v>2</v>
      </c>
      <c r="C35" s="59">
        <f t="shared" si="3"/>
        <v>140700000</v>
      </c>
      <c r="D35" s="59"/>
      <c r="E35" s="123">
        <v>0.1167</v>
      </c>
      <c r="F35" s="59">
        <v>4392844</v>
      </c>
      <c r="G35" s="122"/>
      <c r="H35" s="122"/>
      <c r="I35" s="276"/>
    </row>
    <row r="36" spans="1:9" ht="12.75">
      <c r="A36" s="121">
        <v>38349</v>
      </c>
      <c r="B36" s="122">
        <f t="shared" si="2"/>
        <v>89</v>
      </c>
      <c r="C36" s="59">
        <f t="shared" si="3"/>
        <v>134000000</v>
      </c>
      <c r="D36" s="59">
        <v>6700000</v>
      </c>
      <c r="E36" s="122"/>
      <c r="F36" s="122"/>
      <c r="G36" s="122"/>
      <c r="H36" s="122"/>
      <c r="I36" s="276"/>
    </row>
    <row r="37" spans="1:9" ht="12.75">
      <c r="A37" s="128">
        <v>38352</v>
      </c>
      <c r="B37" s="129">
        <f t="shared" si="2"/>
        <v>3</v>
      </c>
      <c r="C37" s="130">
        <f t="shared" si="3"/>
        <v>134000000</v>
      </c>
      <c r="D37" s="130"/>
      <c r="E37" s="131">
        <v>0.111</v>
      </c>
      <c r="F37" s="59">
        <f>((C36+D36)*E37/360*B36)+((C37+D37)*E37/360*B37)</f>
        <v>3984992.5</v>
      </c>
      <c r="G37" s="132">
        <f>SUM(F31:F37)</f>
        <v>18132694.083333332</v>
      </c>
      <c r="H37" s="132">
        <f>SUM(D30:D37)</f>
        <v>26800000</v>
      </c>
      <c r="I37" s="133">
        <f>SUM(G37:H37)</f>
        <v>44932694.08333333</v>
      </c>
    </row>
    <row r="38" spans="1:9" ht="12.75">
      <c r="A38" s="134">
        <v>38439</v>
      </c>
      <c r="B38" s="135">
        <f t="shared" si="2"/>
        <v>87</v>
      </c>
      <c r="C38" s="60">
        <f t="shared" si="3"/>
        <v>127300000</v>
      </c>
      <c r="D38" s="59">
        <v>6700000</v>
      </c>
      <c r="E38" s="135"/>
      <c r="F38" s="135"/>
      <c r="G38" s="135"/>
      <c r="H38" s="135"/>
      <c r="I38" s="287"/>
    </row>
    <row r="39" spans="1:9" ht="12.75">
      <c r="A39" s="121">
        <v>38442</v>
      </c>
      <c r="B39" s="122">
        <f t="shared" si="2"/>
        <v>3</v>
      </c>
      <c r="C39" s="59">
        <f t="shared" si="3"/>
        <v>127300000</v>
      </c>
      <c r="D39" s="59"/>
      <c r="E39" s="123">
        <f>E37</f>
        <v>0.111</v>
      </c>
      <c r="F39" s="59">
        <f>((C38+D38)*E39/360*B38)+((C39+D39)*E39/360*B39)</f>
        <v>3712302.5</v>
      </c>
      <c r="G39" s="122"/>
      <c r="H39" s="122"/>
      <c r="I39" s="276"/>
    </row>
    <row r="40" spans="1:9" ht="12.75">
      <c r="A40" s="121">
        <v>38531</v>
      </c>
      <c r="B40" s="122">
        <f t="shared" si="2"/>
        <v>89</v>
      </c>
      <c r="C40" s="59">
        <f t="shared" si="3"/>
        <v>120600000</v>
      </c>
      <c r="D40" s="59">
        <v>6700000</v>
      </c>
      <c r="E40" s="122"/>
      <c r="F40" s="122"/>
      <c r="G40" s="122"/>
      <c r="H40" s="122"/>
      <c r="I40" s="276"/>
    </row>
    <row r="41" spans="1:9" ht="12.75">
      <c r="A41" s="121">
        <v>38533</v>
      </c>
      <c r="B41" s="122">
        <f t="shared" si="2"/>
        <v>2</v>
      </c>
      <c r="C41" s="59">
        <f t="shared" si="3"/>
        <v>120600000</v>
      </c>
      <c r="D41" s="59"/>
      <c r="E41" s="123">
        <f>E39</f>
        <v>0.111</v>
      </c>
      <c r="F41" s="59">
        <f>((C40+D40)*E41/360*B40)+((C41+D41)*E41/360*B41)</f>
        <v>3567694.166666667</v>
      </c>
      <c r="G41" s="122"/>
      <c r="H41" s="122"/>
      <c r="I41" s="276"/>
    </row>
    <row r="42" spans="1:9" ht="12.75">
      <c r="A42" s="121">
        <v>38623</v>
      </c>
      <c r="B42" s="122">
        <f t="shared" si="2"/>
        <v>90</v>
      </c>
      <c r="C42" s="59">
        <f t="shared" si="3"/>
        <v>113900000</v>
      </c>
      <c r="D42" s="59">
        <v>6700000</v>
      </c>
      <c r="E42" s="122"/>
      <c r="F42" s="122"/>
      <c r="G42" s="122"/>
      <c r="H42" s="122"/>
      <c r="I42" s="276"/>
    </row>
    <row r="43" spans="1:9" ht="12.75">
      <c r="A43" s="121">
        <v>38625</v>
      </c>
      <c r="B43" s="122">
        <f t="shared" si="2"/>
        <v>2</v>
      </c>
      <c r="C43" s="59">
        <f t="shared" si="3"/>
        <v>113900000</v>
      </c>
      <c r="D43" s="59"/>
      <c r="E43" s="123">
        <f>E41</f>
        <v>0.111</v>
      </c>
      <c r="F43" s="59">
        <f>((C42+D42)*E43/360*B42)+((C43+D43)*E43/360*B43)</f>
        <v>3416888.3333333335</v>
      </c>
      <c r="G43" s="122"/>
      <c r="H43" s="122"/>
      <c r="I43" s="276"/>
    </row>
    <row r="44" spans="1:9" ht="12.75">
      <c r="A44" s="121">
        <v>38714</v>
      </c>
      <c r="B44" s="122">
        <f t="shared" si="2"/>
        <v>89</v>
      </c>
      <c r="C44" s="59">
        <f t="shared" si="3"/>
        <v>107200000</v>
      </c>
      <c r="D44" s="59">
        <v>6700000</v>
      </c>
      <c r="E44" s="122"/>
      <c r="F44" s="122"/>
      <c r="G44" s="122"/>
      <c r="H44" s="122"/>
      <c r="I44" s="276"/>
    </row>
    <row r="45" spans="1:9" ht="12.75">
      <c r="A45" s="128">
        <v>38717</v>
      </c>
      <c r="B45" s="129">
        <f t="shared" si="2"/>
        <v>3</v>
      </c>
      <c r="C45" s="130">
        <f t="shared" si="3"/>
        <v>107200000</v>
      </c>
      <c r="D45" s="130"/>
      <c r="E45" s="131">
        <f>E43</f>
        <v>0.111</v>
      </c>
      <c r="F45" s="59">
        <f>((C44+D44)*E45/360*B44)+((C45+D45)*E45/360*B45)</f>
        <v>3224765.833333333</v>
      </c>
      <c r="G45" s="132">
        <f>SUM(F39:F45)</f>
        <v>13921650.833333332</v>
      </c>
      <c r="H45" s="132">
        <f>SUM(D38:D45)</f>
        <v>26800000</v>
      </c>
      <c r="I45" s="133">
        <f>SUM(G45:H45)</f>
        <v>40721650.83333333</v>
      </c>
    </row>
    <row r="46" spans="1:9" ht="12.75">
      <c r="A46" s="134">
        <v>38804</v>
      </c>
      <c r="B46" s="135">
        <f t="shared" si="2"/>
        <v>87</v>
      </c>
      <c r="C46" s="60">
        <f t="shared" si="3"/>
        <v>100500000</v>
      </c>
      <c r="D46" s="59">
        <v>6700000</v>
      </c>
      <c r="E46" s="135"/>
      <c r="F46" s="135"/>
      <c r="G46" s="135"/>
      <c r="H46" s="135"/>
      <c r="I46" s="287"/>
    </row>
    <row r="47" spans="1:9" ht="12.75">
      <c r="A47" s="121">
        <v>38807</v>
      </c>
      <c r="B47" s="122">
        <f t="shared" si="2"/>
        <v>3</v>
      </c>
      <c r="C47" s="59">
        <f t="shared" si="3"/>
        <v>100500000</v>
      </c>
      <c r="D47" s="59"/>
      <c r="E47" s="123">
        <f>E45</f>
        <v>0.111</v>
      </c>
      <c r="F47" s="59">
        <f>((C46+D46)*E47/360*B46)+((C47+D47)*E47/360*B47)</f>
        <v>2968602.5</v>
      </c>
      <c r="G47" s="122"/>
      <c r="H47" s="122"/>
      <c r="I47" s="276"/>
    </row>
    <row r="48" spans="1:9" ht="12.75">
      <c r="A48" s="121">
        <v>38896</v>
      </c>
      <c r="B48" s="122">
        <f t="shared" si="2"/>
        <v>89</v>
      </c>
      <c r="C48" s="59">
        <f t="shared" si="3"/>
        <v>93800000</v>
      </c>
      <c r="D48" s="59">
        <v>6700000</v>
      </c>
      <c r="E48" s="122"/>
      <c r="F48" s="122"/>
      <c r="G48" s="122"/>
      <c r="H48" s="122"/>
      <c r="I48" s="276"/>
    </row>
    <row r="49" spans="1:9" ht="12.75">
      <c r="A49" s="121">
        <v>38898</v>
      </c>
      <c r="B49" s="122">
        <f t="shared" si="2"/>
        <v>2</v>
      </c>
      <c r="C49" s="59">
        <f t="shared" si="3"/>
        <v>93800000</v>
      </c>
      <c r="D49" s="59"/>
      <c r="E49" s="123">
        <f>E47</f>
        <v>0.111</v>
      </c>
      <c r="F49" s="59">
        <f>((C48+D48)*E49/360*B48)+((C49+D49)*E49/360*B49)</f>
        <v>2815730.8333333335</v>
      </c>
      <c r="G49" s="122"/>
      <c r="H49" s="122"/>
      <c r="I49" s="276"/>
    </row>
    <row r="50" spans="1:9" ht="12.75">
      <c r="A50" s="121">
        <v>38988</v>
      </c>
      <c r="B50" s="122">
        <f t="shared" si="2"/>
        <v>90</v>
      </c>
      <c r="C50" s="59">
        <f t="shared" si="3"/>
        <v>87100000</v>
      </c>
      <c r="D50" s="59">
        <v>6700000</v>
      </c>
      <c r="E50" s="122"/>
      <c r="F50" s="122"/>
      <c r="G50" s="122"/>
      <c r="H50" s="122"/>
      <c r="I50" s="276"/>
    </row>
    <row r="51" spans="1:9" ht="12.75">
      <c r="A51" s="121">
        <v>38990</v>
      </c>
      <c r="B51" s="122">
        <f t="shared" si="2"/>
        <v>2</v>
      </c>
      <c r="C51" s="59">
        <f t="shared" si="3"/>
        <v>87100000</v>
      </c>
      <c r="D51" s="59"/>
      <c r="E51" s="123">
        <f>E49</f>
        <v>0.111</v>
      </c>
      <c r="F51" s="59">
        <f>((C50+D50)*E51/360*B50)+((C51+D51)*E51/360*B51)</f>
        <v>2656661.6666666665</v>
      </c>
      <c r="G51" s="122"/>
      <c r="H51" s="122"/>
      <c r="I51" s="276"/>
    </row>
    <row r="52" spans="1:9" ht="12.75">
      <c r="A52" s="121">
        <v>39079</v>
      </c>
      <c r="B52" s="122">
        <f t="shared" si="2"/>
        <v>89</v>
      </c>
      <c r="C52" s="59">
        <f t="shared" si="3"/>
        <v>80400000</v>
      </c>
      <c r="D52" s="59">
        <v>6700000</v>
      </c>
      <c r="E52" s="122"/>
      <c r="F52" s="122"/>
      <c r="G52" s="122"/>
      <c r="H52" s="122"/>
      <c r="I52" s="276"/>
    </row>
    <row r="53" spans="1:9" ht="12.75">
      <c r="A53" s="128">
        <v>39082</v>
      </c>
      <c r="B53" s="129">
        <f t="shared" si="2"/>
        <v>3</v>
      </c>
      <c r="C53" s="130">
        <f t="shared" si="3"/>
        <v>80400000</v>
      </c>
      <c r="D53" s="130"/>
      <c r="E53" s="131">
        <f>E51</f>
        <v>0.111</v>
      </c>
      <c r="F53" s="59">
        <f>((C52+D52)*E53/360*B52)+((C53+D53)*E53/360*B53)</f>
        <v>2464539.1666666665</v>
      </c>
      <c r="G53" s="132">
        <f>SUM(F47:F53)</f>
        <v>10905534.166666666</v>
      </c>
      <c r="H53" s="132">
        <f>SUM(D46:D53)</f>
        <v>26800000</v>
      </c>
      <c r="I53" s="133">
        <f>SUM(G53:H53)</f>
        <v>37705534.166666664</v>
      </c>
    </row>
    <row r="54" spans="1:9" ht="12.75">
      <c r="A54" s="134">
        <v>39169</v>
      </c>
      <c r="B54" s="135">
        <f t="shared" si="2"/>
        <v>87</v>
      </c>
      <c r="C54" s="60">
        <f t="shared" si="3"/>
        <v>73700000</v>
      </c>
      <c r="D54" s="59">
        <v>6700000</v>
      </c>
      <c r="E54" s="135"/>
      <c r="F54" s="135"/>
      <c r="G54" s="135"/>
      <c r="H54" s="135"/>
      <c r="I54" s="287"/>
    </row>
    <row r="55" spans="1:9" ht="12.75">
      <c r="A55" s="121">
        <v>39172</v>
      </c>
      <c r="B55" s="122">
        <f t="shared" si="2"/>
        <v>3</v>
      </c>
      <c r="C55" s="59">
        <f t="shared" si="3"/>
        <v>73700000</v>
      </c>
      <c r="D55" s="59"/>
      <c r="E55" s="123">
        <f>E53</f>
        <v>0.111</v>
      </c>
      <c r="F55" s="59">
        <f>((C54+D54)*E55/360*B54)+((C55+D55)*E55/360*B55)</f>
        <v>2224902.5</v>
      </c>
      <c r="G55" s="122"/>
      <c r="H55" s="122"/>
      <c r="I55" s="276"/>
    </row>
    <row r="56" spans="1:9" ht="12.75">
      <c r="A56" s="121">
        <v>39261</v>
      </c>
      <c r="B56" s="122">
        <f t="shared" si="2"/>
        <v>89</v>
      </c>
      <c r="C56" s="59">
        <f t="shared" si="3"/>
        <v>67000000</v>
      </c>
      <c r="D56" s="59">
        <v>6700000</v>
      </c>
      <c r="E56" s="122"/>
      <c r="F56" s="122"/>
      <c r="G56" s="122"/>
      <c r="H56" s="122"/>
      <c r="I56" s="276"/>
    </row>
    <row r="57" spans="1:9" ht="12.75">
      <c r="A57" s="121">
        <v>39263</v>
      </c>
      <c r="B57" s="122">
        <f t="shared" si="2"/>
        <v>2</v>
      </c>
      <c r="C57" s="59">
        <f t="shared" si="3"/>
        <v>67000000</v>
      </c>
      <c r="D57" s="59"/>
      <c r="E57" s="123">
        <f>E55</f>
        <v>0.111</v>
      </c>
      <c r="F57" s="59">
        <f>((C56+D56)*E57/360*B56)+((C57+D57)*E57/360*B57)</f>
        <v>2063767.5000000002</v>
      </c>
      <c r="G57" s="122"/>
      <c r="H57" s="122"/>
      <c r="I57" s="276"/>
    </row>
    <row r="58" spans="1:9" ht="12.75">
      <c r="A58" s="121">
        <v>39353</v>
      </c>
      <c r="B58" s="122">
        <f t="shared" si="2"/>
        <v>90</v>
      </c>
      <c r="C58" s="59">
        <f t="shared" si="3"/>
        <v>60300000</v>
      </c>
      <c r="D58" s="59">
        <v>6700000</v>
      </c>
      <c r="E58" s="122"/>
      <c r="F58" s="122"/>
      <c r="G58" s="122"/>
      <c r="H58" s="122"/>
      <c r="I58" s="276"/>
    </row>
    <row r="59" spans="1:9" ht="12.75">
      <c r="A59" s="121">
        <v>39355</v>
      </c>
      <c r="B59" s="122">
        <f t="shared" si="2"/>
        <v>2</v>
      </c>
      <c r="C59" s="59">
        <f t="shared" si="3"/>
        <v>60300000</v>
      </c>
      <c r="D59" s="59"/>
      <c r="E59" s="123">
        <f>E57</f>
        <v>0.111</v>
      </c>
      <c r="F59" s="59">
        <f>((C58+D58)*E59/360*B58)+((C59+D59)*E59/360*B59)</f>
        <v>1896435</v>
      </c>
      <c r="G59" s="122"/>
      <c r="H59" s="122"/>
      <c r="I59" s="276"/>
    </row>
    <row r="60" spans="1:9" ht="12.75">
      <c r="A60" s="121">
        <v>39444</v>
      </c>
      <c r="B60" s="122">
        <f t="shared" si="2"/>
        <v>89</v>
      </c>
      <c r="C60" s="59">
        <f t="shared" si="3"/>
        <v>53600000</v>
      </c>
      <c r="D60" s="59">
        <v>6700000</v>
      </c>
      <c r="E60" s="122"/>
      <c r="F60" s="122"/>
      <c r="G60" s="122"/>
      <c r="H60" s="122"/>
      <c r="I60" s="276"/>
    </row>
    <row r="61" spans="1:9" ht="12.75">
      <c r="A61" s="128">
        <v>39447</v>
      </c>
      <c r="B61" s="129">
        <f t="shared" si="2"/>
        <v>3</v>
      </c>
      <c r="C61" s="130">
        <f t="shared" si="3"/>
        <v>53600000</v>
      </c>
      <c r="D61" s="130"/>
      <c r="E61" s="131">
        <f>E59</f>
        <v>0.111</v>
      </c>
      <c r="F61" s="59">
        <f>((C60+D60)*E61/360*B60)+((C61+D61)*E61/360*B61)</f>
        <v>1704312.5</v>
      </c>
      <c r="G61" s="132">
        <f>SUM(F55:F61)</f>
        <v>7889417.5</v>
      </c>
      <c r="H61" s="132">
        <f>SUM(D54:D61)</f>
        <v>26800000</v>
      </c>
      <c r="I61" s="133">
        <f>SUM(G61:H61)</f>
        <v>34689417.5</v>
      </c>
    </row>
    <row r="62" spans="1:9" ht="12.75">
      <c r="A62" s="134">
        <v>39535</v>
      </c>
      <c r="B62" s="135">
        <f t="shared" si="2"/>
        <v>88</v>
      </c>
      <c r="C62" s="60">
        <f t="shared" si="3"/>
        <v>46900000</v>
      </c>
      <c r="D62" s="59">
        <v>6700000</v>
      </c>
      <c r="E62" s="135"/>
      <c r="F62" s="135"/>
      <c r="G62" s="135"/>
      <c r="H62" s="135"/>
      <c r="I62" s="287"/>
    </row>
    <row r="63" spans="1:9" ht="12.75">
      <c r="A63" s="121">
        <v>39538</v>
      </c>
      <c r="B63" s="122">
        <f t="shared" si="2"/>
        <v>3</v>
      </c>
      <c r="C63" s="59">
        <f t="shared" si="3"/>
        <v>46900000</v>
      </c>
      <c r="D63" s="59"/>
      <c r="E63" s="123">
        <f>E61</f>
        <v>0.111</v>
      </c>
      <c r="F63" s="59">
        <f>((C62+D62)*E63/360*B62)+((C63+D63)*E63/360*B63)</f>
        <v>1497729.1666666667</v>
      </c>
      <c r="G63" s="122"/>
      <c r="H63" s="122"/>
      <c r="I63" s="276"/>
    </row>
    <row r="64" spans="1:9" ht="12.75">
      <c r="A64" s="121">
        <v>39627</v>
      </c>
      <c r="B64" s="122">
        <f t="shared" si="2"/>
        <v>89</v>
      </c>
      <c r="C64" s="59">
        <f t="shared" si="3"/>
        <v>40200000</v>
      </c>
      <c r="D64" s="59">
        <v>6700000</v>
      </c>
      <c r="E64" s="126"/>
      <c r="F64" s="122"/>
      <c r="G64" s="122"/>
      <c r="H64" s="122"/>
      <c r="I64" s="276"/>
    </row>
    <row r="65" spans="1:9" ht="12.75">
      <c r="A65" s="121">
        <v>39629</v>
      </c>
      <c r="B65" s="122">
        <f t="shared" si="2"/>
        <v>2</v>
      </c>
      <c r="C65" s="59">
        <f t="shared" si="3"/>
        <v>40200000</v>
      </c>
      <c r="D65" s="59"/>
      <c r="E65" s="123">
        <f>E63</f>
        <v>0.111</v>
      </c>
      <c r="F65" s="59">
        <f>((C64+D64)*E65/360*B64)+((C65+D65)*E65/360*B65)</f>
        <v>1311804.1666666667</v>
      </c>
      <c r="G65" s="122"/>
      <c r="H65" s="122"/>
      <c r="I65" s="276"/>
    </row>
    <row r="66" spans="1:9" ht="12.75">
      <c r="A66" s="121">
        <v>39719</v>
      </c>
      <c r="B66" s="122">
        <f t="shared" si="2"/>
        <v>90</v>
      </c>
      <c r="C66" s="59">
        <f t="shared" si="3"/>
        <v>33500000</v>
      </c>
      <c r="D66" s="59">
        <v>6700000</v>
      </c>
      <c r="E66" s="122"/>
      <c r="F66" s="122"/>
      <c r="G66" s="122"/>
      <c r="H66" s="122"/>
      <c r="I66" s="276"/>
    </row>
    <row r="67" spans="1:9" ht="12.75">
      <c r="A67" s="121">
        <v>39721</v>
      </c>
      <c r="B67" s="122">
        <f t="shared" si="2"/>
        <v>2</v>
      </c>
      <c r="C67" s="59">
        <f t="shared" si="3"/>
        <v>33500000</v>
      </c>
      <c r="D67" s="59"/>
      <c r="E67" s="123">
        <f>E65</f>
        <v>0.111</v>
      </c>
      <c r="F67" s="59">
        <f>((C66+D66)*E67/360*B66)+((C67+D67)*E67/360*B67)</f>
        <v>1136208.3333333333</v>
      </c>
      <c r="G67" s="122"/>
      <c r="H67" s="122"/>
      <c r="I67" s="276"/>
    </row>
    <row r="68" spans="1:9" ht="12.75">
      <c r="A68" s="121">
        <v>39810</v>
      </c>
      <c r="B68" s="122">
        <f t="shared" si="2"/>
        <v>89</v>
      </c>
      <c r="C68" s="59">
        <f t="shared" si="3"/>
        <v>26800000</v>
      </c>
      <c r="D68" s="59">
        <v>6700000</v>
      </c>
      <c r="E68" s="122"/>
      <c r="F68" s="122"/>
      <c r="G68" s="122"/>
      <c r="H68" s="122"/>
      <c r="I68" s="276"/>
    </row>
    <row r="69" spans="1:9" ht="12.75">
      <c r="A69" s="128">
        <v>39813</v>
      </c>
      <c r="B69" s="129">
        <f t="shared" si="2"/>
        <v>3</v>
      </c>
      <c r="C69" s="130">
        <f t="shared" si="3"/>
        <v>26800000</v>
      </c>
      <c r="D69" s="130"/>
      <c r="E69" s="131">
        <f>E67</f>
        <v>0.111</v>
      </c>
      <c r="F69" s="59">
        <f>((C68+D68)*E69/360*B68)+((C69+D69)*E69/360*B69)</f>
        <v>944085.8333333333</v>
      </c>
      <c r="G69" s="132">
        <f>SUM(F63:F69)</f>
        <v>4889827.5</v>
      </c>
      <c r="H69" s="132">
        <f>SUM(D62:D69)</f>
        <v>26800000</v>
      </c>
      <c r="I69" s="133">
        <f>SUM(G69:H69)</f>
        <v>31689827.5</v>
      </c>
    </row>
    <row r="70" spans="1:9" ht="12.75">
      <c r="A70" s="134">
        <v>39900</v>
      </c>
      <c r="B70" s="135">
        <f t="shared" si="2"/>
        <v>87</v>
      </c>
      <c r="C70" s="60">
        <f t="shared" si="3"/>
        <v>20100000</v>
      </c>
      <c r="D70" s="59">
        <v>6700000</v>
      </c>
      <c r="E70" s="135"/>
      <c r="F70" s="135"/>
      <c r="G70" s="135"/>
      <c r="H70" s="135"/>
      <c r="I70" s="287"/>
    </row>
    <row r="71" spans="1:9" ht="12.75">
      <c r="A71" s="121">
        <v>39903</v>
      </c>
      <c r="B71" s="122">
        <f t="shared" si="2"/>
        <v>3</v>
      </c>
      <c r="C71" s="59">
        <f t="shared" si="3"/>
        <v>20100000</v>
      </c>
      <c r="D71" s="59"/>
      <c r="E71" s="123">
        <f>E69</f>
        <v>0.111</v>
      </c>
      <c r="F71" s="59">
        <f>((C70+D70)*E71/360*B70)+((C71+D71)*E71/360*B71)</f>
        <v>737502.5</v>
      </c>
      <c r="G71" s="122"/>
      <c r="H71" s="122"/>
      <c r="I71" s="276"/>
    </row>
    <row r="72" spans="1:9" ht="12.75">
      <c r="A72" s="121">
        <v>39992</v>
      </c>
      <c r="B72" s="122">
        <f t="shared" si="2"/>
        <v>89</v>
      </c>
      <c r="C72" s="59">
        <f t="shared" si="3"/>
        <v>13400000</v>
      </c>
      <c r="D72" s="59">
        <v>6700000</v>
      </c>
      <c r="E72" s="122"/>
      <c r="F72" s="122"/>
      <c r="G72" s="122"/>
      <c r="H72" s="122"/>
      <c r="I72" s="276"/>
    </row>
    <row r="73" spans="1:9" ht="12.75">
      <c r="A73" s="121">
        <v>39994</v>
      </c>
      <c r="B73" s="122">
        <f t="shared" si="2"/>
        <v>2</v>
      </c>
      <c r="C73" s="59">
        <f t="shared" si="3"/>
        <v>13400000</v>
      </c>
      <c r="D73" s="59"/>
      <c r="E73" s="123">
        <f>E71</f>
        <v>0.111</v>
      </c>
      <c r="F73" s="59">
        <f>((C72+D72)*E73/360*B72)+((C73+D73)*E73/360*B73)</f>
        <v>559840.8333333334</v>
      </c>
      <c r="G73" s="122"/>
      <c r="H73" s="122"/>
      <c r="I73" s="276"/>
    </row>
    <row r="74" spans="1:9" ht="12.75">
      <c r="A74" s="121">
        <v>40084</v>
      </c>
      <c r="B74" s="122">
        <f t="shared" si="2"/>
        <v>90</v>
      </c>
      <c r="C74" s="59">
        <f t="shared" si="3"/>
        <v>6700000</v>
      </c>
      <c r="D74" s="59">
        <v>6700000</v>
      </c>
      <c r="E74" s="123"/>
      <c r="F74" s="59"/>
      <c r="G74" s="139"/>
      <c r="H74" s="139"/>
      <c r="I74" s="297"/>
    </row>
    <row r="75" spans="1:9" ht="12.75">
      <c r="A75" s="121">
        <v>40086</v>
      </c>
      <c r="B75" s="122">
        <f t="shared" si="2"/>
        <v>2</v>
      </c>
      <c r="C75" s="59">
        <f t="shared" si="3"/>
        <v>6700000</v>
      </c>
      <c r="D75" s="59"/>
      <c r="E75" s="123">
        <f>E73</f>
        <v>0.111</v>
      </c>
      <c r="F75" s="59">
        <f>((C74+D74)*E75/360*B74)+((C75+D75)*E75/360*B75)</f>
        <v>375981.6666666667</v>
      </c>
      <c r="G75" s="139"/>
      <c r="H75" s="139"/>
      <c r="I75" s="297"/>
    </row>
    <row r="76" spans="1:9" ht="13.5" thickBot="1">
      <c r="A76" s="121">
        <v>40175</v>
      </c>
      <c r="B76" s="122">
        <f t="shared" si="2"/>
        <v>89</v>
      </c>
      <c r="C76" s="59">
        <f t="shared" si="3"/>
        <v>0</v>
      </c>
      <c r="D76" s="59">
        <v>6700000</v>
      </c>
      <c r="E76" s="123">
        <f>E75</f>
        <v>0.111</v>
      </c>
      <c r="F76" s="59">
        <f>((C76+D76)*E76/360*B76)</f>
        <v>183859.1666666667</v>
      </c>
      <c r="G76" s="304">
        <f>SUM(F71:F76)</f>
        <v>1857184.166666667</v>
      </c>
      <c r="H76" s="304">
        <f>SUM(D70:D76)</f>
        <v>26800000</v>
      </c>
      <c r="I76" s="305">
        <f>SUM(G76:H76)</f>
        <v>28657184.166666668</v>
      </c>
    </row>
    <row r="77" spans="1:10" ht="13.5" thickTop="1">
      <c r="A77" s="353" t="s">
        <v>14</v>
      </c>
      <c r="B77" s="354"/>
      <c r="C77" s="355"/>
      <c r="D77" s="151">
        <f>SUM(D12:D76)</f>
        <v>250000000</v>
      </c>
      <c r="E77" s="306"/>
      <c r="F77" s="151">
        <f>SUM(F8:F76)</f>
        <v>124745089.93493152</v>
      </c>
      <c r="G77" s="151">
        <f>SUM(G8:G76)</f>
        <v>124745089.9349315</v>
      </c>
      <c r="H77" s="151">
        <f>SUM(H8:H76)</f>
        <v>250000000</v>
      </c>
      <c r="I77" s="153">
        <f>SUM(I8:I76)</f>
        <v>374745089.9349315</v>
      </c>
      <c r="J77" s="155"/>
    </row>
    <row r="78" spans="1:2" ht="12.75">
      <c r="A78" s="154"/>
      <c r="B78" s="87"/>
    </row>
    <row r="79" spans="1:2" ht="12.75">
      <c r="A79" s="154"/>
      <c r="B79" s="87"/>
    </row>
  </sheetData>
  <mergeCells count="1">
    <mergeCell ref="A77:C77"/>
  </mergeCells>
  <printOptions horizontalCentered="1"/>
  <pageMargins left="0.5905511811023623" right="0.5905511811023623" top="0.7874015748031497" bottom="0.5905511811023623" header="0.1968503937007874" footer="0.1968503937007874"/>
  <pageSetup blackAndWhite="1" horizontalDpi="300" verticalDpi="300" orientation="portrait" paperSize="9" r:id="rId1"/>
  <headerFooter alignWithMargins="0">
    <oddHeader>&amp;C&amp;"Times New Roman CE,Félkövér"&amp;12Adósságszolgálat számítása az OTP tájékoztatása alapján&amp;"Times New Roman CE,Félkövér dőlt"
2000. decemberben felvett 250 MFt hitel</oddHeader>
    <oddFooter>&amp;L&amp;9Nyomtatás dátuma: &amp;D
C:\Andi\adósságszolgálat\&amp;F\&amp;A&amp;R&amp;P/&amp;N</oddFooter>
  </headerFooter>
  <rowBreaks count="1" manualBreakCount="1"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11.375" style="89" customWidth="1"/>
    <col min="2" max="2" width="6.50390625" style="155" customWidth="1"/>
    <col min="3" max="3" width="12.125" style="155" customWidth="1"/>
    <col min="4" max="4" width="12.625" style="155" bestFit="1" customWidth="1"/>
    <col min="5" max="5" width="8.50390625" style="156" customWidth="1"/>
    <col min="6" max="6" width="11.50390625" style="89" customWidth="1"/>
    <col min="7" max="7" width="12.375" style="155" customWidth="1"/>
    <col min="8" max="8" width="12.875" style="89" customWidth="1"/>
    <col min="9" max="9" width="12.375" style="155" customWidth="1"/>
    <col min="10" max="10" width="9.375" style="89" customWidth="1"/>
    <col min="11" max="11" width="10.125" style="89" bestFit="1" customWidth="1"/>
    <col min="12" max="16384" width="9.375" style="89" customWidth="1"/>
  </cols>
  <sheetData>
    <row r="1" spans="1:9" ht="12.75">
      <c r="A1" s="200" t="s">
        <v>111</v>
      </c>
      <c r="B1" s="200"/>
      <c r="C1" s="200"/>
      <c r="D1" s="200"/>
      <c r="E1" s="201"/>
      <c r="G1" s="200"/>
      <c r="H1" s="200"/>
      <c r="I1" s="200"/>
    </row>
    <row r="2" spans="1:9" ht="12.75">
      <c r="A2" s="172" t="s">
        <v>15</v>
      </c>
      <c r="B2" s="169"/>
      <c r="C2" s="169"/>
      <c r="D2" s="169"/>
      <c r="E2" s="202"/>
      <c r="F2" s="169"/>
      <c r="G2" s="169"/>
      <c r="H2" s="169"/>
      <c r="I2" s="169"/>
    </row>
    <row r="3" spans="1:9" ht="12.75">
      <c r="A3" s="171" t="s">
        <v>73</v>
      </c>
      <c r="B3" s="200"/>
      <c r="C3" s="200"/>
      <c r="D3" s="169"/>
      <c r="E3" s="202"/>
      <c r="F3" s="169"/>
      <c r="G3" s="169"/>
      <c r="H3" s="169"/>
      <c r="I3" s="169" t="s">
        <v>2</v>
      </c>
    </row>
    <row r="4" spans="1:9" ht="12.75">
      <c r="A4" s="97" t="s">
        <v>3</v>
      </c>
      <c r="B4" s="98" t="s">
        <v>4</v>
      </c>
      <c r="C4" s="99" t="s">
        <v>5</v>
      </c>
      <c r="D4" s="99" t="s">
        <v>21</v>
      </c>
      <c r="E4" s="99" t="s">
        <v>18</v>
      </c>
      <c r="F4" s="100" t="s">
        <v>20</v>
      </c>
      <c r="G4" s="101" t="s">
        <v>6</v>
      </c>
      <c r="H4" s="101" t="s">
        <v>6</v>
      </c>
      <c r="I4" s="102" t="s">
        <v>6</v>
      </c>
    </row>
    <row r="5" spans="1:9" ht="12.75">
      <c r="A5" s="103"/>
      <c r="B5" s="104" t="s">
        <v>7</v>
      </c>
      <c r="C5" s="105" t="s">
        <v>8</v>
      </c>
      <c r="D5" s="105" t="s">
        <v>13</v>
      </c>
      <c r="E5" s="105" t="s">
        <v>19</v>
      </c>
      <c r="F5" s="106" t="s">
        <v>13</v>
      </c>
      <c r="G5" s="107" t="s">
        <v>9</v>
      </c>
      <c r="H5" s="107" t="s">
        <v>11</v>
      </c>
      <c r="I5" s="108" t="s">
        <v>10</v>
      </c>
    </row>
    <row r="6" spans="1:9" ht="12.75">
      <c r="A6" s="109"/>
      <c r="B6" s="110"/>
      <c r="C6" s="111"/>
      <c r="D6" s="111"/>
      <c r="E6" s="111"/>
      <c r="F6" s="112"/>
      <c r="G6" s="112"/>
      <c r="H6" s="113" t="s">
        <v>13</v>
      </c>
      <c r="I6" s="114" t="s">
        <v>12</v>
      </c>
    </row>
    <row r="7" spans="1:9" ht="12.75">
      <c r="A7" s="115">
        <v>36708</v>
      </c>
      <c r="B7" s="174"/>
      <c r="C7" s="175">
        <v>200000000</v>
      </c>
      <c r="D7" s="175"/>
      <c r="E7" s="175"/>
      <c r="F7" s="175"/>
      <c r="G7" s="185"/>
      <c r="H7" s="185"/>
      <c r="I7" s="186"/>
    </row>
    <row r="8" spans="1:9" ht="12.75">
      <c r="A8" s="115">
        <v>36799</v>
      </c>
      <c r="B8" s="174">
        <f aca="true" t="shared" si="0" ref="B8:B24">A8-A7</f>
        <v>91</v>
      </c>
      <c r="C8" s="175">
        <f aca="true" t="shared" si="1" ref="C8:C22">C7-D8</f>
        <v>200000000</v>
      </c>
      <c r="D8" s="175"/>
      <c r="E8" s="84">
        <v>0.1116</v>
      </c>
      <c r="F8" s="175">
        <f>(C8+D8)*E8/365*B8</f>
        <v>5564712.328767123</v>
      </c>
      <c r="G8" s="185"/>
      <c r="H8" s="185"/>
      <c r="I8" s="186"/>
    </row>
    <row r="9" spans="1:9" ht="12.75">
      <c r="A9" s="179">
        <v>36891</v>
      </c>
      <c r="B9" s="280">
        <f t="shared" si="0"/>
        <v>92</v>
      </c>
      <c r="C9" s="180">
        <f t="shared" si="1"/>
        <v>200000000</v>
      </c>
      <c r="D9" s="130"/>
      <c r="E9" s="302">
        <f>E8</f>
        <v>0.1116</v>
      </c>
      <c r="F9" s="181">
        <f>(C9+D9)*E9/365*B9</f>
        <v>5625863.01369863</v>
      </c>
      <c r="G9" s="187">
        <f>SUM(F7:F9)</f>
        <v>11190575.342465753</v>
      </c>
      <c r="H9" s="187">
        <f>SUM(D7:D9)</f>
        <v>0</v>
      </c>
      <c r="I9" s="188">
        <f>SUM(G9:H9)</f>
        <v>11190575.342465753</v>
      </c>
    </row>
    <row r="10" spans="1:9" ht="12.75">
      <c r="A10" s="134">
        <v>36981</v>
      </c>
      <c r="B10" s="279">
        <f t="shared" si="0"/>
        <v>90</v>
      </c>
      <c r="C10" s="176">
        <f t="shared" si="1"/>
        <v>200000000</v>
      </c>
      <c r="D10" s="175"/>
      <c r="E10" s="84">
        <f>F10/(C10*B10)*365</f>
        <v>0.1241101388888889</v>
      </c>
      <c r="F10" s="175">
        <v>6120500</v>
      </c>
      <c r="G10" s="177"/>
      <c r="H10" s="177"/>
      <c r="I10" s="178"/>
    </row>
    <row r="11" spans="1:9" ht="12.75">
      <c r="A11" s="121">
        <v>37072</v>
      </c>
      <c r="B11" s="281">
        <f t="shared" si="0"/>
        <v>91</v>
      </c>
      <c r="C11" s="191">
        <f t="shared" si="1"/>
        <v>200000000</v>
      </c>
      <c r="D11" s="191"/>
      <c r="E11" s="84">
        <f>F11/(C11*B11)*365</f>
        <v>0.11535381785714285</v>
      </c>
      <c r="F11" s="175">
        <v>5751889</v>
      </c>
      <c r="G11" s="192"/>
      <c r="H11" s="192"/>
      <c r="I11" s="193"/>
    </row>
    <row r="12" spans="1:9" ht="12.75">
      <c r="A12" s="121">
        <v>37162</v>
      </c>
      <c r="B12" s="281">
        <f t="shared" si="0"/>
        <v>90</v>
      </c>
      <c r="C12" s="191">
        <f t="shared" si="1"/>
        <v>183334000</v>
      </c>
      <c r="D12" s="191">
        <v>16666000</v>
      </c>
      <c r="E12" s="282"/>
      <c r="F12" s="191"/>
      <c r="G12" s="192"/>
      <c r="H12" s="192"/>
      <c r="I12" s="193"/>
    </row>
    <row r="13" spans="1:9" ht="12.75">
      <c r="A13" s="115">
        <v>37164</v>
      </c>
      <c r="B13" s="174">
        <f t="shared" si="0"/>
        <v>2</v>
      </c>
      <c r="C13" s="175">
        <f t="shared" si="1"/>
        <v>183334000</v>
      </c>
      <c r="D13" s="175"/>
      <c r="E13" s="84">
        <f>F13/(((C12+D12)*B12)+(C13*B13))*365</f>
        <v>0.11112075091682388</v>
      </c>
      <c r="F13" s="175">
        <v>5591556</v>
      </c>
      <c r="G13" s="185"/>
      <c r="H13" s="185"/>
      <c r="I13" s="186"/>
    </row>
    <row r="14" spans="1:9" ht="12.75">
      <c r="A14" s="115">
        <v>37253</v>
      </c>
      <c r="B14" s="174">
        <f t="shared" si="0"/>
        <v>89</v>
      </c>
      <c r="C14" s="175">
        <f t="shared" si="1"/>
        <v>166668000</v>
      </c>
      <c r="D14" s="175">
        <v>16666000</v>
      </c>
      <c r="E14" s="84"/>
      <c r="F14" s="175"/>
      <c r="G14" s="185"/>
      <c r="H14" s="185"/>
      <c r="I14" s="186"/>
    </row>
    <row r="15" spans="1:9" ht="12.75">
      <c r="A15" s="179">
        <v>37253</v>
      </c>
      <c r="B15" s="280">
        <f t="shared" si="0"/>
        <v>0</v>
      </c>
      <c r="C15" s="180">
        <f t="shared" si="1"/>
        <v>166668000</v>
      </c>
      <c r="D15" s="130"/>
      <c r="E15" s="131">
        <f>F15/(((C14+D14)*B14)+(C15*B15))*365</f>
        <v>0.11524272730938792</v>
      </c>
      <c r="F15" s="181">
        <v>5151737</v>
      </c>
      <c r="G15" s="187">
        <f>SUM(F10:F15)</f>
        <v>22615682</v>
      </c>
      <c r="H15" s="187">
        <f>SUM(D10:D15)</f>
        <v>33332000</v>
      </c>
      <c r="I15" s="188">
        <f>SUM(G15:H15)</f>
        <v>55947682</v>
      </c>
    </row>
    <row r="16" spans="1:9" ht="12.75">
      <c r="A16" s="134">
        <v>37343</v>
      </c>
      <c r="B16" s="307">
        <f t="shared" si="0"/>
        <v>90</v>
      </c>
      <c r="C16" s="176">
        <f t="shared" si="1"/>
        <v>150002000</v>
      </c>
      <c r="D16" s="175">
        <v>16666000</v>
      </c>
      <c r="E16" s="84"/>
      <c r="F16" s="175"/>
      <c r="G16" s="177"/>
      <c r="H16" s="177"/>
      <c r="I16" s="178"/>
    </row>
    <row r="17" spans="1:9" ht="12.75">
      <c r="A17" s="115">
        <v>37344</v>
      </c>
      <c r="B17" s="122">
        <f t="shared" si="0"/>
        <v>1</v>
      </c>
      <c r="C17" s="175">
        <f t="shared" si="1"/>
        <v>150002000</v>
      </c>
      <c r="D17" s="175"/>
      <c r="E17" s="84">
        <f>F17/(((C16+D16)*B16)+(C17*B17))*365</f>
        <v>0.0997402291545903</v>
      </c>
      <c r="F17" s="175">
        <v>4139936</v>
      </c>
      <c r="G17" s="185"/>
      <c r="H17" s="185"/>
      <c r="I17" s="186"/>
    </row>
    <row r="18" spans="1:9" ht="12.75">
      <c r="A18" s="115">
        <v>37435</v>
      </c>
      <c r="B18" s="174">
        <f t="shared" si="0"/>
        <v>91</v>
      </c>
      <c r="C18" s="175">
        <f t="shared" si="1"/>
        <v>133336000</v>
      </c>
      <c r="D18" s="175">
        <v>16666000</v>
      </c>
      <c r="E18" s="84"/>
      <c r="F18" s="175"/>
      <c r="G18" s="185"/>
      <c r="H18" s="185"/>
      <c r="I18" s="186"/>
    </row>
    <row r="19" spans="1:9" ht="12.75">
      <c r="A19" s="115">
        <v>37437</v>
      </c>
      <c r="B19" s="174">
        <f t="shared" si="0"/>
        <v>2</v>
      </c>
      <c r="C19" s="175">
        <f t="shared" si="1"/>
        <v>133336000</v>
      </c>
      <c r="D19" s="175"/>
      <c r="E19" s="84">
        <v>0.085</v>
      </c>
      <c r="F19" s="175">
        <v>3239335</v>
      </c>
      <c r="G19" s="185"/>
      <c r="H19" s="185"/>
      <c r="I19" s="186"/>
    </row>
    <row r="20" spans="1:9" ht="12.75">
      <c r="A20" s="115">
        <v>37527</v>
      </c>
      <c r="B20" s="174">
        <f t="shared" si="0"/>
        <v>90</v>
      </c>
      <c r="C20" s="175">
        <f t="shared" si="1"/>
        <v>116670000</v>
      </c>
      <c r="D20" s="175">
        <v>16666000</v>
      </c>
      <c r="E20" s="84"/>
      <c r="F20" s="175"/>
      <c r="G20" s="185"/>
      <c r="H20" s="185"/>
      <c r="I20" s="186"/>
    </row>
    <row r="21" spans="1:9" ht="12.75">
      <c r="A21" s="115">
        <v>37529</v>
      </c>
      <c r="B21" s="174">
        <f t="shared" si="0"/>
        <v>2</v>
      </c>
      <c r="C21" s="175">
        <f t="shared" si="1"/>
        <v>116670000</v>
      </c>
      <c r="D21" s="175"/>
      <c r="E21" s="84">
        <v>0.0931</v>
      </c>
      <c r="F21" s="175">
        <v>3232324</v>
      </c>
      <c r="G21" s="185"/>
      <c r="H21" s="185"/>
      <c r="I21" s="186"/>
    </row>
    <row r="22" spans="1:9" ht="12.75">
      <c r="A22" s="115">
        <v>37618</v>
      </c>
      <c r="B22" s="174">
        <f t="shared" si="0"/>
        <v>89</v>
      </c>
      <c r="C22" s="175">
        <f t="shared" si="1"/>
        <v>100004000</v>
      </c>
      <c r="D22" s="175">
        <v>16666000</v>
      </c>
      <c r="E22" s="84"/>
      <c r="F22" s="175"/>
      <c r="G22" s="185"/>
      <c r="H22" s="185"/>
      <c r="I22" s="186"/>
    </row>
    <row r="23" spans="1:9" ht="12.75">
      <c r="A23" s="308">
        <v>37621</v>
      </c>
      <c r="B23" s="129">
        <f t="shared" si="0"/>
        <v>3</v>
      </c>
      <c r="C23" s="309">
        <v>100004000</v>
      </c>
      <c r="D23" s="130"/>
      <c r="E23" s="225">
        <v>0.098</v>
      </c>
      <c r="F23" s="130">
        <v>2906737</v>
      </c>
      <c r="G23" s="187">
        <f>SUM(F17:F23)</f>
        <v>13518332</v>
      </c>
      <c r="H23" s="187">
        <f>SUM(D16:D23)</f>
        <v>66664000</v>
      </c>
      <c r="I23" s="188">
        <f>SUM(G23:H23)</f>
        <v>80182332</v>
      </c>
    </row>
    <row r="24" spans="1:9" ht="12.75">
      <c r="A24" s="115">
        <v>37708</v>
      </c>
      <c r="B24" s="135">
        <f t="shared" si="0"/>
        <v>87</v>
      </c>
      <c r="C24" s="60">
        <f aca="true" t="shared" si="2" ref="C24:C62">C23-D24</f>
        <v>95000000</v>
      </c>
      <c r="D24" s="60">
        <v>5004000</v>
      </c>
      <c r="E24" s="136"/>
      <c r="F24" s="135"/>
      <c r="G24" s="60"/>
      <c r="H24" s="135"/>
      <c r="I24" s="137"/>
    </row>
    <row r="25" spans="1:9" ht="12.75">
      <c r="A25" s="115">
        <v>37711</v>
      </c>
      <c r="B25" s="122">
        <f aca="true" t="shared" si="3" ref="B25:B62">A25-A24</f>
        <v>3</v>
      </c>
      <c r="C25" s="59">
        <f t="shared" si="2"/>
        <v>95000000</v>
      </c>
      <c r="D25" s="59"/>
      <c r="E25" s="123">
        <v>0.0847</v>
      </c>
      <c r="F25" s="59">
        <v>2117747</v>
      </c>
      <c r="G25" s="59"/>
      <c r="H25" s="122"/>
      <c r="I25" s="127"/>
    </row>
    <row r="26" spans="1:9" ht="12.75">
      <c r="A26" s="115">
        <v>37800</v>
      </c>
      <c r="B26" s="122">
        <f t="shared" si="3"/>
        <v>89</v>
      </c>
      <c r="C26" s="59">
        <f t="shared" si="2"/>
        <v>90000000</v>
      </c>
      <c r="D26" s="59">
        <v>5000000</v>
      </c>
      <c r="E26" s="126"/>
      <c r="F26" s="122"/>
      <c r="G26" s="59"/>
      <c r="H26" s="122"/>
      <c r="I26" s="127"/>
    </row>
    <row r="27" spans="1:9" ht="12.75">
      <c r="A27" s="115">
        <v>37802</v>
      </c>
      <c r="B27" s="122">
        <f t="shared" si="3"/>
        <v>2</v>
      </c>
      <c r="C27" s="59">
        <f t="shared" si="2"/>
        <v>90000000</v>
      </c>
      <c r="D27" s="59"/>
      <c r="E27" s="123">
        <v>0.0665</v>
      </c>
      <c r="F27" s="59">
        <v>1601726</v>
      </c>
      <c r="G27" s="59"/>
      <c r="H27" s="122"/>
      <c r="I27" s="127"/>
    </row>
    <row r="28" spans="1:9" ht="12.75">
      <c r="A28" s="115">
        <v>37892</v>
      </c>
      <c r="B28" s="122">
        <f t="shared" si="3"/>
        <v>90</v>
      </c>
      <c r="C28" s="59">
        <f t="shared" si="2"/>
        <v>85000000</v>
      </c>
      <c r="D28" s="59">
        <v>5000000</v>
      </c>
      <c r="E28" s="126"/>
      <c r="F28" s="122"/>
      <c r="G28" s="59"/>
      <c r="H28" s="122"/>
      <c r="I28" s="127"/>
    </row>
    <row r="29" spans="1:9" ht="12.75">
      <c r="A29" s="115">
        <v>37894</v>
      </c>
      <c r="B29" s="122">
        <f t="shared" si="3"/>
        <v>2</v>
      </c>
      <c r="C29" s="59">
        <f t="shared" si="2"/>
        <v>85000000</v>
      </c>
      <c r="D29" s="59"/>
      <c r="E29" s="123">
        <v>0.0893</v>
      </c>
      <c r="F29" s="59">
        <v>2045719</v>
      </c>
      <c r="G29" s="59"/>
      <c r="H29" s="122"/>
      <c r="I29" s="127"/>
    </row>
    <row r="30" spans="1:11" ht="12.75">
      <c r="A30" s="115">
        <v>37983</v>
      </c>
      <c r="B30" s="122">
        <f t="shared" si="3"/>
        <v>89</v>
      </c>
      <c r="C30" s="59">
        <f t="shared" si="2"/>
        <v>80000000</v>
      </c>
      <c r="D30" s="59">
        <v>5000000</v>
      </c>
      <c r="E30" s="126"/>
      <c r="F30" s="122"/>
      <c r="G30" s="59"/>
      <c r="H30" s="122"/>
      <c r="I30" s="127"/>
      <c r="K30" s="155"/>
    </row>
    <row r="31" spans="1:9" ht="12.75">
      <c r="A31" s="179">
        <v>37986</v>
      </c>
      <c r="B31" s="129">
        <f t="shared" si="3"/>
        <v>3</v>
      </c>
      <c r="C31" s="130">
        <f t="shared" si="2"/>
        <v>80000000</v>
      </c>
      <c r="D31" s="130"/>
      <c r="E31" s="131">
        <v>0.0961</v>
      </c>
      <c r="F31" s="59">
        <v>2081896</v>
      </c>
      <c r="G31" s="132">
        <f>SUM(F25:F31)</f>
        <v>7847088</v>
      </c>
      <c r="H31" s="132">
        <f>SUM(D24:D31)</f>
        <v>20004000</v>
      </c>
      <c r="I31" s="133">
        <f>SUM(G31:H31)</f>
        <v>27851088</v>
      </c>
    </row>
    <row r="32" spans="1:9" ht="12.75">
      <c r="A32" s="134">
        <v>38074</v>
      </c>
      <c r="B32" s="135">
        <f t="shared" si="3"/>
        <v>88</v>
      </c>
      <c r="C32" s="60">
        <f t="shared" si="2"/>
        <v>75000000</v>
      </c>
      <c r="D32" s="59">
        <v>5000000</v>
      </c>
      <c r="E32" s="136"/>
      <c r="F32" s="135"/>
      <c r="G32" s="60"/>
      <c r="H32" s="135"/>
      <c r="I32" s="137"/>
    </row>
    <row r="33" spans="1:9" ht="12.75">
      <c r="A33" s="121">
        <v>38077</v>
      </c>
      <c r="B33" s="122">
        <f t="shared" si="3"/>
        <v>3</v>
      </c>
      <c r="C33" s="59">
        <f t="shared" si="2"/>
        <v>75000000</v>
      </c>
      <c r="D33" s="59"/>
      <c r="E33" s="123">
        <v>0.1255</v>
      </c>
      <c r="F33" s="59">
        <f>((C32+D32)*E33/360*B32)+((C33+D33)*E33/360*B33)</f>
        <v>2532659.7222222225</v>
      </c>
      <c r="G33" s="59"/>
      <c r="H33" s="122"/>
      <c r="I33" s="127"/>
    </row>
    <row r="34" spans="1:9" ht="12.75">
      <c r="A34" s="121">
        <v>38166</v>
      </c>
      <c r="B34" s="122">
        <f t="shared" si="3"/>
        <v>89</v>
      </c>
      <c r="C34" s="59">
        <f t="shared" si="2"/>
        <v>70000000</v>
      </c>
      <c r="D34" s="59">
        <v>5000000</v>
      </c>
      <c r="E34" s="126"/>
      <c r="F34" s="122"/>
      <c r="G34" s="59"/>
      <c r="H34" s="122"/>
      <c r="I34" s="127"/>
    </row>
    <row r="35" spans="1:9" ht="12.75">
      <c r="A35" s="121">
        <v>38168</v>
      </c>
      <c r="B35" s="122">
        <f t="shared" si="3"/>
        <v>2</v>
      </c>
      <c r="C35" s="59">
        <f t="shared" si="2"/>
        <v>70000000</v>
      </c>
      <c r="D35" s="59"/>
      <c r="E35" s="123">
        <v>0.1197</v>
      </c>
      <c r="F35" s="59">
        <v>2267196</v>
      </c>
      <c r="G35" s="59"/>
      <c r="H35" s="122"/>
      <c r="I35" s="127"/>
    </row>
    <row r="36" spans="1:9" ht="12.75">
      <c r="A36" s="121">
        <v>38258</v>
      </c>
      <c r="B36" s="122">
        <f t="shared" si="3"/>
        <v>90</v>
      </c>
      <c r="C36" s="59">
        <f t="shared" si="2"/>
        <v>65000000</v>
      </c>
      <c r="D36" s="59">
        <v>5000000</v>
      </c>
      <c r="E36" s="126"/>
      <c r="F36" s="122"/>
      <c r="G36" s="59"/>
      <c r="H36" s="122"/>
      <c r="I36" s="127"/>
    </row>
    <row r="37" spans="1:9" ht="12.75">
      <c r="A37" s="121">
        <v>38260</v>
      </c>
      <c r="B37" s="122">
        <f t="shared" si="3"/>
        <v>2</v>
      </c>
      <c r="C37" s="59">
        <f t="shared" si="2"/>
        <v>65000000</v>
      </c>
      <c r="D37" s="59"/>
      <c r="E37" s="123">
        <v>0.1167</v>
      </c>
      <c r="F37" s="59">
        <v>2084975</v>
      </c>
      <c r="G37" s="59"/>
      <c r="H37" s="122"/>
      <c r="I37" s="127"/>
    </row>
    <row r="38" spans="1:9" ht="12.75">
      <c r="A38" s="121">
        <v>38349</v>
      </c>
      <c r="B38" s="122">
        <f t="shared" si="3"/>
        <v>89</v>
      </c>
      <c r="C38" s="59">
        <f t="shared" si="2"/>
        <v>60000000</v>
      </c>
      <c r="D38" s="59">
        <v>5000000</v>
      </c>
      <c r="E38" s="126"/>
      <c r="F38" s="122"/>
      <c r="G38" s="59"/>
      <c r="H38" s="122"/>
      <c r="I38" s="127"/>
    </row>
    <row r="39" spans="1:11" ht="12.75">
      <c r="A39" s="128">
        <v>38352</v>
      </c>
      <c r="B39" s="129">
        <f t="shared" si="3"/>
        <v>3</v>
      </c>
      <c r="C39" s="130">
        <f t="shared" si="2"/>
        <v>60000000</v>
      </c>
      <c r="D39" s="130"/>
      <c r="E39" s="131">
        <v>0.111</v>
      </c>
      <c r="F39" s="59">
        <f>((C38+D38)*E39/360*B38)+((C39+D39)*E39/360*B39)</f>
        <v>1839208.3333333335</v>
      </c>
      <c r="G39" s="132">
        <f>SUM(F33:F39)</f>
        <v>8724039.055555556</v>
      </c>
      <c r="H39" s="132">
        <f>SUM(D32:D39)</f>
        <v>20000000</v>
      </c>
      <c r="I39" s="133">
        <f>SUM(G39:H39)</f>
        <v>28724039.055555556</v>
      </c>
      <c r="K39" s="155"/>
    </row>
    <row r="40" spans="1:9" ht="12.75">
      <c r="A40" s="134">
        <v>38439</v>
      </c>
      <c r="B40" s="135">
        <f t="shared" si="3"/>
        <v>87</v>
      </c>
      <c r="C40" s="60">
        <f t="shared" si="2"/>
        <v>55000000</v>
      </c>
      <c r="D40" s="59">
        <v>5000000</v>
      </c>
      <c r="E40" s="136"/>
      <c r="F40" s="135"/>
      <c r="G40" s="60"/>
      <c r="H40" s="135"/>
      <c r="I40" s="137"/>
    </row>
    <row r="41" spans="1:9" ht="12.75">
      <c r="A41" s="121">
        <v>38442</v>
      </c>
      <c r="B41" s="122">
        <f t="shared" si="3"/>
        <v>3</v>
      </c>
      <c r="C41" s="59">
        <f t="shared" si="2"/>
        <v>55000000</v>
      </c>
      <c r="D41" s="59"/>
      <c r="E41" s="123">
        <f>E39</f>
        <v>0.111</v>
      </c>
      <c r="F41" s="59">
        <f>((C40+D40)*E41/360*B40)+((C41+D41)*E41/360*B41)</f>
        <v>1660375</v>
      </c>
      <c r="G41" s="59"/>
      <c r="H41" s="122"/>
      <c r="I41" s="127"/>
    </row>
    <row r="42" spans="1:9" ht="12.75">
      <c r="A42" s="121">
        <v>38531</v>
      </c>
      <c r="B42" s="122">
        <f t="shared" si="3"/>
        <v>89</v>
      </c>
      <c r="C42" s="59">
        <f t="shared" si="2"/>
        <v>50000000</v>
      </c>
      <c r="D42" s="59">
        <v>5000000</v>
      </c>
      <c r="E42" s="126"/>
      <c r="F42" s="122"/>
      <c r="G42" s="59"/>
      <c r="H42" s="122"/>
      <c r="I42" s="127"/>
    </row>
    <row r="43" spans="1:9" ht="12.75">
      <c r="A43" s="121">
        <v>38533</v>
      </c>
      <c r="B43" s="122">
        <f t="shared" si="3"/>
        <v>2</v>
      </c>
      <c r="C43" s="59">
        <f t="shared" si="2"/>
        <v>50000000</v>
      </c>
      <c r="D43" s="59"/>
      <c r="E43" s="123">
        <f>E41</f>
        <v>0.111</v>
      </c>
      <c r="F43" s="59">
        <f>((C42+D42)*E43/360*B42)+((C43+D43)*E43/360*B43)</f>
        <v>1540124.9999999998</v>
      </c>
      <c r="G43" s="59"/>
      <c r="H43" s="122"/>
      <c r="I43" s="127"/>
    </row>
    <row r="44" spans="1:9" ht="12.75">
      <c r="A44" s="121">
        <v>38623</v>
      </c>
      <c r="B44" s="122">
        <f t="shared" si="3"/>
        <v>90</v>
      </c>
      <c r="C44" s="59">
        <f t="shared" si="2"/>
        <v>45000000</v>
      </c>
      <c r="D44" s="59">
        <v>5000000</v>
      </c>
      <c r="E44" s="126"/>
      <c r="F44" s="122"/>
      <c r="G44" s="59"/>
      <c r="H44" s="122"/>
      <c r="I44" s="127"/>
    </row>
    <row r="45" spans="1:9" ht="12.75">
      <c r="A45" s="121">
        <v>38625</v>
      </c>
      <c r="B45" s="122">
        <f t="shared" si="3"/>
        <v>2</v>
      </c>
      <c r="C45" s="59">
        <f t="shared" si="2"/>
        <v>45000000</v>
      </c>
      <c r="D45" s="59"/>
      <c r="E45" s="123">
        <f>E43</f>
        <v>0.111</v>
      </c>
      <c r="F45" s="59">
        <f>((C44+D44)*E45/360*B44)+((C45+D45)*E45/360*B45)</f>
        <v>1415250</v>
      </c>
      <c r="G45" s="59"/>
      <c r="H45" s="122"/>
      <c r="I45" s="127"/>
    </row>
    <row r="46" spans="1:9" ht="12.75">
      <c r="A46" s="121">
        <v>38714</v>
      </c>
      <c r="B46" s="122">
        <f t="shared" si="3"/>
        <v>89</v>
      </c>
      <c r="C46" s="59">
        <f t="shared" si="2"/>
        <v>40000000</v>
      </c>
      <c r="D46" s="59">
        <v>5000000</v>
      </c>
      <c r="E46" s="126"/>
      <c r="F46" s="122"/>
      <c r="G46" s="59"/>
      <c r="H46" s="122"/>
      <c r="I46" s="127"/>
    </row>
    <row r="47" spans="1:9" ht="12.75">
      <c r="A47" s="128">
        <v>38717</v>
      </c>
      <c r="B47" s="129">
        <f t="shared" si="3"/>
        <v>3</v>
      </c>
      <c r="C47" s="130">
        <f t="shared" si="2"/>
        <v>40000000</v>
      </c>
      <c r="D47" s="130"/>
      <c r="E47" s="131">
        <f>E45</f>
        <v>0.111</v>
      </c>
      <c r="F47" s="59">
        <f>((C46+D46)*E47/360*B46)+((C47+D47)*E47/360*B47)</f>
        <v>1271875</v>
      </c>
      <c r="G47" s="132">
        <f>SUM(F41:F47)</f>
        <v>5887625</v>
      </c>
      <c r="H47" s="132">
        <f>SUM(D40:D47)</f>
        <v>20000000</v>
      </c>
      <c r="I47" s="133">
        <f>SUM(G47:H47)</f>
        <v>25887625</v>
      </c>
    </row>
    <row r="48" spans="1:9" ht="12.75">
      <c r="A48" s="134">
        <v>38804</v>
      </c>
      <c r="B48" s="135">
        <f t="shared" si="3"/>
        <v>87</v>
      </c>
      <c r="C48" s="60">
        <f t="shared" si="2"/>
        <v>35000000</v>
      </c>
      <c r="D48" s="117">
        <v>5000000</v>
      </c>
      <c r="E48" s="136"/>
      <c r="F48" s="135"/>
      <c r="G48" s="60"/>
      <c r="H48" s="135"/>
      <c r="I48" s="137"/>
    </row>
    <row r="49" spans="1:9" ht="12.75">
      <c r="A49" s="121">
        <v>38807</v>
      </c>
      <c r="B49" s="122">
        <f t="shared" si="3"/>
        <v>3</v>
      </c>
      <c r="C49" s="59">
        <f t="shared" si="2"/>
        <v>35000000</v>
      </c>
      <c r="D49" s="59"/>
      <c r="E49" s="123">
        <f>E47</f>
        <v>0.111</v>
      </c>
      <c r="F49" s="59">
        <f>((C48+D48)*E49/360*B48)+((C49+D49)*E49/360*B49)</f>
        <v>1105375</v>
      </c>
      <c r="G49" s="59"/>
      <c r="H49" s="122"/>
      <c r="I49" s="127"/>
    </row>
    <row r="50" spans="1:9" ht="12.75">
      <c r="A50" s="121">
        <v>38896</v>
      </c>
      <c r="B50" s="122">
        <f t="shared" si="3"/>
        <v>89</v>
      </c>
      <c r="C50" s="59">
        <f t="shared" si="2"/>
        <v>30000000</v>
      </c>
      <c r="D50" s="59">
        <v>5000000</v>
      </c>
      <c r="E50" s="126"/>
      <c r="F50" s="122"/>
      <c r="G50" s="59"/>
      <c r="H50" s="122"/>
      <c r="I50" s="127"/>
    </row>
    <row r="51" spans="1:9" ht="12.75">
      <c r="A51" s="121">
        <v>38898</v>
      </c>
      <c r="B51" s="122">
        <f t="shared" si="3"/>
        <v>2</v>
      </c>
      <c r="C51" s="59">
        <f t="shared" si="2"/>
        <v>30000000</v>
      </c>
      <c r="D51" s="59"/>
      <c r="E51" s="123">
        <f>E49</f>
        <v>0.111</v>
      </c>
      <c r="F51" s="59">
        <f>((C50+D50)*E51/360*B50)+((C51+D51)*E51/360*B51)</f>
        <v>978958.3333333333</v>
      </c>
      <c r="G51" s="59"/>
      <c r="H51" s="122"/>
      <c r="I51" s="127"/>
    </row>
    <row r="52" spans="1:9" ht="12.75">
      <c r="A52" s="121">
        <v>38988</v>
      </c>
      <c r="B52" s="122">
        <f t="shared" si="3"/>
        <v>90</v>
      </c>
      <c r="C52" s="59">
        <f t="shared" si="2"/>
        <v>25000000</v>
      </c>
      <c r="D52" s="59">
        <v>5000000</v>
      </c>
      <c r="E52" s="126"/>
      <c r="F52" s="122"/>
      <c r="G52" s="59"/>
      <c r="H52" s="122"/>
      <c r="I52" s="127"/>
    </row>
    <row r="53" spans="1:9" ht="12.75">
      <c r="A53" s="121">
        <v>38990</v>
      </c>
      <c r="B53" s="122">
        <f t="shared" si="3"/>
        <v>2</v>
      </c>
      <c r="C53" s="59">
        <f t="shared" si="2"/>
        <v>25000000</v>
      </c>
      <c r="D53" s="59"/>
      <c r="E53" s="123">
        <f>E51</f>
        <v>0.111</v>
      </c>
      <c r="F53" s="59">
        <f>((C52+D52)*E53/360*B52)+((C53+D53)*E53/360*B53)</f>
        <v>847916.6666666666</v>
      </c>
      <c r="G53" s="59"/>
      <c r="H53" s="122"/>
      <c r="I53" s="127"/>
    </row>
    <row r="54" spans="1:9" ht="12.75">
      <c r="A54" s="121">
        <v>39079</v>
      </c>
      <c r="B54" s="122">
        <f t="shared" si="3"/>
        <v>89</v>
      </c>
      <c r="C54" s="59">
        <f t="shared" si="2"/>
        <v>20000000</v>
      </c>
      <c r="D54" s="59">
        <v>5000000</v>
      </c>
      <c r="E54" s="126"/>
      <c r="F54" s="122"/>
      <c r="G54" s="59"/>
      <c r="H54" s="122"/>
      <c r="I54" s="127"/>
    </row>
    <row r="55" spans="1:9" ht="12.75">
      <c r="A55" s="128">
        <v>39082</v>
      </c>
      <c r="B55" s="129">
        <f t="shared" si="3"/>
        <v>3</v>
      </c>
      <c r="C55" s="130">
        <f t="shared" si="2"/>
        <v>20000000</v>
      </c>
      <c r="D55" s="130"/>
      <c r="E55" s="131">
        <f>E53</f>
        <v>0.111</v>
      </c>
      <c r="F55" s="130">
        <f>((C54+D54)*E55/360*B54)+((C55+D55)*E55/360*B55)</f>
        <v>704541.6666666666</v>
      </c>
      <c r="G55" s="132">
        <f>SUM(F49:F55)</f>
        <v>3636791.6666666665</v>
      </c>
      <c r="H55" s="132">
        <f>SUM(D48:D55)</f>
        <v>20000000</v>
      </c>
      <c r="I55" s="133">
        <f>SUM(G55:H55)</f>
        <v>23636791.666666668</v>
      </c>
    </row>
    <row r="56" spans="1:9" ht="12.75">
      <c r="A56" s="134">
        <v>39169</v>
      </c>
      <c r="B56" s="135">
        <f t="shared" si="3"/>
        <v>87</v>
      </c>
      <c r="C56" s="60">
        <f t="shared" si="2"/>
        <v>15000000</v>
      </c>
      <c r="D56" s="60">
        <v>5000000</v>
      </c>
      <c r="E56" s="136"/>
      <c r="F56" s="135"/>
      <c r="G56" s="60"/>
      <c r="H56" s="135"/>
      <c r="I56" s="137"/>
    </row>
    <row r="57" spans="1:9" ht="12.75">
      <c r="A57" s="121">
        <v>39172</v>
      </c>
      <c r="B57" s="122">
        <f t="shared" si="3"/>
        <v>3</v>
      </c>
      <c r="C57" s="59">
        <f t="shared" si="2"/>
        <v>15000000</v>
      </c>
      <c r="D57" s="59"/>
      <c r="E57" s="123">
        <f>E55</f>
        <v>0.111</v>
      </c>
      <c r="F57" s="59">
        <f>((C56+D56)*E57/360*B56)+((C57+D57)*E57/360*B57)</f>
        <v>550375</v>
      </c>
      <c r="G57" s="59"/>
      <c r="H57" s="122"/>
      <c r="I57" s="127"/>
    </row>
    <row r="58" spans="1:9" ht="12.75">
      <c r="A58" s="121">
        <v>39261</v>
      </c>
      <c r="B58" s="122">
        <f t="shared" si="3"/>
        <v>89</v>
      </c>
      <c r="C58" s="59">
        <f t="shared" si="2"/>
        <v>10000000</v>
      </c>
      <c r="D58" s="59">
        <v>5000000</v>
      </c>
      <c r="E58" s="289"/>
      <c r="F58" s="138"/>
      <c r="G58" s="138"/>
      <c r="H58" s="139"/>
      <c r="I58" s="140"/>
    </row>
    <row r="59" spans="1:9" ht="12.75">
      <c r="A59" s="121">
        <v>39263</v>
      </c>
      <c r="B59" s="122">
        <f t="shared" si="3"/>
        <v>2</v>
      </c>
      <c r="C59" s="59">
        <f t="shared" si="2"/>
        <v>10000000</v>
      </c>
      <c r="D59" s="138"/>
      <c r="E59" s="123">
        <f>E57</f>
        <v>0.111</v>
      </c>
      <c r="F59" s="59">
        <f>((C58+D58)*E59/360*B58)+((C59+D59)*E59/360*B59)</f>
        <v>417791.6666666667</v>
      </c>
      <c r="G59" s="138"/>
      <c r="H59" s="139"/>
      <c r="I59" s="140"/>
    </row>
    <row r="60" spans="1:9" ht="12.75">
      <c r="A60" s="121">
        <v>39353</v>
      </c>
      <c r="B60" s="122">
        <f t="shared" si="3"/>
        <v>90</v>
      </c>
      <c r="C60" s="59">
        <f t="shared" si="2"/>
        <v>5000000</v>
      </c>
      <c r="D60" s="59">
        <v>5000000</v>
      </c>
      <c r="E60" s="289"/>
      <c r="F60" s="138"/>
      <c r="G60" s="138"/>
      <c r="H60" s="139"/>
      <c r="I60" s="140"/>
    </row>
    <row r="61" spans="1:9" ht="12.75">
      <c r="A61" s="121">
        <v>39355</v>
      </c>
      <c r="B61" s="122">
        <f t="shared" si="3"/>
        <v>2</v>
      </c>
      <c r="C61" s="59">
        <f t="shared" si="2"/>
        <v>5000000</v>
      </c>
      <c r="D61" s="138"/>
      <c r="E61" s="123">
        <f>E59</f>
        <v>0.111</v>
      </c>
      <c r="F61" s="59">
        <f>((C60+D60)*E61/360*B60)+((C61+D61)*E61/360*B61)</f>
        <v>280583.3333333333</v>
      </c>
      <c r="G61" s="138"/>
      <c r="H61" s="139"/>
      <c r="I61" s="140"/>
    </row>
    <row r="62" spans="1:9" ht="13.5" thickBot="1">
      <c r="A62" s="121">
        <v>39444</v>
      </c>
      <c r="B62" s="116">
        <f t="shared" si="3"/>
        <v>89</v>
      </c>
      <c r="C62" s="117">
        <f t="shared" si="2"/>
        <v>0</v>
      </c>
      <c r="D62" s="59">
        <v>5000000</v>
      </c>
      <c r="E62" s="123">
        <f>E61</f>
        <v>0.111</v>
      </c>
      <c r="F62" s="59">
        <f>((C62+D62)*E62/360*B62)</f>
        <v>137208.33333333334</v>
      </c>
      <c r="G62" s="132">
        <f>SUM(F56:F62)</f>
        <v>1385958.3333333333</v>
      </c>
      <c r="H62" s="132">
        <f>SUM(D55:D62)</f>
        <v>20000000</v>
      </c>
      <c r="I62" s="133">
        <f>SUM(G62:H62)</f>
        <v>21385958.333333332</v>
      </c>
    </row>
    <row r="63" spans="1:9" ht="13.5" thickTop="1">
      <c r="A63" s="353" t="s">
        <v>14</v>
      </c>
      <c r="B63" s="354"/>
      <c r="C63" s="354"/>
      <c r="D63" s="151">
        <f>SUM(D11:D62)</f>
        <v>200000000</v>
      </c>
      <c r="E63" s="152"/>
      <c r="F63" s="151">
        <f>SUM(F8:F62)</f>
        <v>74806091.39802131</v>
      </c>
      <c r="G63" s="151">
        <f>SUM(G9:G62)</f>
        <v>74806091.39802131</v>
      </c>
      <c r="H63" s="151">
        <f>SUM(H9:H62)</f>
        <v>200000000</v>
      </c>
      <c r="I63" s="294">
        <f>SUM(I9:I62)</f>
        <v>274806091.3980213</v>
      </c>
    </row>
    <row r="64" ht="12.75">
      <c r="A64" s="154"/>
    </row>
    <row r="65" ht="12.75">
      <c r="A65" s="154"/>
    </row>
    <row r="66" ht="12.75">
      <c r="A66" s="154"/>
    </row>
    <row r="67" ht="12.75">
      <c r="A67" s="154"/>
    </row>
  </sheetData>
  <mergeCells count="1">
    <mergeCell ref="A63:C63"/>
  </mergeCells>
  <printOptions horizontalCentered="1"/>
  <pageMargins left="0.5905511811023623" right="0.5905511811023623" top="0.7874015748031497" bottom="0.5905511811023623" header="0.1968503937007874" footer="0.1968503937007874"/>
  <pageSetup blackAndWhite="1" horizontalDpi="300" verticalDpi="300" orientation="portrait" paperSize="9" r:id="rId1"/>
  <headerFooter alignWithMargins="0">
    <oddHeader>&amp;C&amp;"Times New Roman CE,Félkövér dőlt"&amp;12Adósságszolgálat s&amp;"Times New Roman CE,Félkövér"zámítása az OTP tájékoztatása alapján
&amp;"Times New Roman CE,Félkövér dőlt"2000. júliusban felvett 200 MFt célhitel</oddHeader>
    <oddFooter>&amp;L&amp;9Nyomtatás dátuma: &amp;D
C:\Andi\adósságszolgálat\&amp;F\&amp;A&amp;R&amp;P/&amp;N</oddFooter>
  </headerFooter>
  <rowBreaks count="1" manualBreakCount="1">
    <brk id="5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05"/>
  <sheetViews>
    <sheetView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11.875" style="89" customWidth="1"/>
    <col min="2" max="2" width="6.125" style="89" customWidth="1"/>
    <col min="3" max="3" width="11.125" style="155" customWidth="1"/>
    <col min="4" max="4" width="12.375" style="155" customWidth="1"/>
    <col min="5" max="5" width="8.00390625" style="156" customWidth="1"/>
    <col min="6" max="6" width="14.00390625" style="89" customWidth="1"/>
    <col min="7" max="8" width="12.375" style="89" customWidth="1"/>
    <col min="9" max="9" width="12.50390625" style="89" customWidth="1"/>
    <col min="10" max="10" width="9.375" style="89" customWidth="1"/>
    <col min="11" max="11" width="11.125" style="89" bestFit="1" customWidth="1"/>
    <col min="12" max="16384" width="9.375" style="89" customWidth="1"/>
  </cols>
  <sheetData>
    <row r="1" spans="1:9" ht="12.75">
      <c r="A1" s="167" t="s">
        <v>115</v>
      </c>
      <c r="B1" s="168"/>
      <c r="C1" s="167"/>
      <c r="D1" s="167"/>
      <c r="E1" s="310"/>
      <c r="G1" s="167"/>
      <c r="H1" s="167"/>
      <c r="I1" s="167"/>
    </row>
    <row r="2" spans="1:9" s="170" customFormat="1" ht="12.75">
      <c r="A2" s="172" t="s">
        <v>15</v>
      </c>
      <c r="C2" s="169"/>
      <c r="D2" s="169"/>
      <c r="E2" s="202"/>
      <c r="G2" s="169"/>
      <c r="H2" s="169"/>
      <c r="I2" s="169"/>
    </row>
    <row r="3" spans="1:9" s="170" customFormat="1" ht="12.75">
      <c r="A3" s="169" t="s">
        <v>16</v>
      </c>
      <c r="C3" s="169"/>
      <c r="D3" s="169"/>
      <c r="E3" s="202"/>
      <c r="F3" s="311"/>
      <c r="G3" s="91"/>
      <c r="H3" s="169"/>
      <c r="I3" s="169"/>
    </row>
    <row r="4" spans="1:9" ht="12.75">
      <c r="A4" s="171" t="s">
        <v>75</v>
      </c>
      <c r="B4" s="170"/>
      <c r="C4" s="169"/>
      <c r="D4" s="169"/>
      <c r="E4" s="202"/>
      <c r="F4" s="169"/>
      <c r="G4" s="169"/>
      <c r="H4" s="169"/>
      <c r="I4" s="169" t="s">
        <v>2</v>
      </c>
    </row>
    <row r="5" spans="1:9" ht="12.75">
      <c r="A5" s="97" t="s">
        <v>3</v>
      </c>
      <c r="B5" s="98" t="s">
        <v>4</v>
      </c>
      <c r="C5" s="99" t="s">
        <v>5</v>
      </c>
      <c r="D5" s="99" t="s">
        <v>21</v>
      </c>
      <c r="E5" s="99" t="s">
        <v>18</v>
      </c>
      <c r="F5" s="100" t="s">
        <v>20</v>
      </c>
      <c r="G5" s="101" t="s">
        <v>6</v>
      </c>
      <c r="H5" s="101" t="s">
        <v>6</v>
      </c>
      <c r="I5" s="102" t="s">
        <v>6</v>
      </c>
    </row>
    <row r="6" spans="1:9" ht="12.75">
      <c r="A6" s="103"/>
      <c r="B6" s="104" t="s">
        <v>7</v>
      </c>
      <c r="C6" s="105" t="s">
        <v>8</v>
      </c>
      <c r="D6" s="105" t="s">
        <v>13</v>
      </c>
      <c r="E6" s="105" t="s">
        <v>19</v>
      </c>
      <c r="F6" s="106" t="s">
        <v>13</v>
      </c>
      <c r="G6" s="107" t="s">
        <v>9</v>
      </c>
      <c r="H6" s="107" t="s">
        <v>11</v>
      </c>
      <c r="I6" s="108" t="s">
        <v>10</v>
      </c>
    </row>
    <row r="7" spans="1:9" ht="12.75">
      <c r="A7" s="109"/>
      <c r="B7" s="110"/>
      <c r="C7" s="111"/>
      <c r="D7" s="111"/>
      <c r="E7" s="111"/>
      <c r="F7" s="112"/>
      <c r="G7" s="112"/>
      <c r="H7" s="113" t="s">
        <v>13</v>
      </c>
      <c r="I7" s="114" t="s">
        <v>12</v>
      </c>
    </row>
    <row r="8" spans="1:9" ht="12.75">
      <c r="A8" s="134">
        <v>37236</v>
      </c>
      <c r="B8" s="135"/>
      <c r="C8" s="60">
        <v>143500000</v>
      </c>
      <c r="D8" s="60"/>
      <c r="E8" s="60"/>
      <c r="F8" s="60"/>
      <c r="G8" s="189"/>
      <c r="H8" s="189"/>
      <c r="I8" s="190"/>
    </row>
    <row r="9" spans="1:9" ht="12.75">
      <c r="A9" s="128">
        <v>37253</v>
      </c>
      <c r="B9" s="129">
        <f aca="true" t="shared" si="0" ref="B9:B14">A9-A8</f>
        <v>17</v>
      </c>
      <c r="C9" s="130">
        <f aca="true" t="shared" si="1" ref="C9:C24">C8-D9</f>
        <v>143500000</v>
      </c>
      <c r="D9" s="130"/>
      <c r="E9" s="131">
        <f>F9/(C9*B9)*365</f>
        <v>0.11808823529411766</v>
      </c>
      <c r="F9" s="130">
        <v>789250</v>
      </c>
      <c r="G9" s="132">
        <f>SUM(F8:F9)</f>
        <v>789250</v>
      </c>
      <c r="H9" s="132">
        <f>SUM(D8:D9)</f>
        <v>0</v>
      </c>
      <c r="I9" s="133">
        <f>SUM(G9:H9)</f>
        <v>789250</v>
      </c>
    </row>
    <row r="10" spans="1:9" ht="12.75">
      <c r="A10" s="134">
        <v>37344</v>
      </c>
      <c r="B10" s="139">
        <f t="shared" si="0"/>
        <v>91</v>
      </c>
      <c r="C10" s="228">
        <f t="shared" si="1"/>
        <v>143500000</v>
      </c>
      <c r="D10" s="60"/>
      <c r="E10" s="184">
        <f>F10/(C10*B10)*365</f>
        <v>0.09973993605697438</v>
      </c>
      <c r="F10" s="60">
        <v>3568367</v>
      </c>
      <c r="G10" s="189"/>
      <c r="H10" s="189"/>
      <c r="I10" s="190"/>
    </row>
    <row r="11" spans="1:9" ht="12.75">
      <c r="A11" s="121">
        <v>37437</v>
      </c>
      <c r="B11" s="122">
        <f t="shared" si="0"/>
        <v>93</v>
      </c>
      <c r="C11" s="59">
        <f t="shared" si="1"/>
        <v>143500000</v>
      </c>
      <c r="D11" s="59"/>
      <c r="E11" s="123">
        <v>0.085</v>
      </c>
      <c r="F11" s="59">
        <v>3098922</v>
      </c>
      <c r="G11" s="124"/>
      <c r="H11" s="124"/>
      <c r="I11" s="125"/>
    </row>
    <row r="12" spans="1:9" ht="12.75">
      <c r="A12" s="121">
        <v>37467</v>
      </c>
      <c r="B12" s="122">
        <f t="shared" si="0"/>
        <v>30</v>
      </c>
      <c r="C12" s="59">
        <f t="shared" si="1"/>
        <v>143500000</v>
      </c>
      <c r="D12" s="59"/>
      <c r="E12" s="123"/>
      <c r="F12" s="59"/>
      <c r="G12" s="124"/>
      <c r="H12" s="124"/>
      <c r="I12" s="125"/>
    </row>
    <row r="13" spans="1:9" ht="12.75">
      <c r="A13" s="121">
        <v>37527</v>
      </c>
      <c r="B13" s="122">
        <f t="shared" si="0"/>
        <v>60</v>
      </c>
      <c r="C13" s="59">
        <f t="shared" si="1"/>
        <v>134662500</v>
      </c>
      <c r="D13" s="59">
        <v>8837500</v>
      </c>
      <c r="E13" s="123"/>
      <c r="F13" s="59"/>
      <c r="G13" s="124"/>
      <c r="H13" s="124"/>
      <c r="I13" s="125"/>
    </row>
    <row r="14" spans="1:9" ht="12.75">
      <c r="A14" s="121">
        <v>37529</v>
      </c>
      <c r="B14" s="122">
        <f t="shared" si="0"/>
        <v>2</v>
      </c>
      <c r="C14" s="59">
        <f t="shared" si="1"/>
        <v>134662500</v>
      </c>
      <c r="D14" s="59"/>
      <c r="E14" s="123">
        <v>0.0931</v>
      </c>
      <c r="F14" s="59">
        <v>3478719</v>
      </c>
      <c r="G14" s="124"/>
      <c r="H14" s="124"/>
      <c r="I14" s="125"/>
    </row>
    <row r="15" spans="1:9" ht="12.75">
      <c r="A15" s="121">
        <v>37575</v>
      </c>
      <c r="B15" s="116">
        <f aca="true" t="shared" si="2" ref="B15:B24">A15-A14</f>
        <v>46</v>
      </c>
      <c r="C15" s="117">
        <f t="shared" si="1"/>
        <v>134662500</v>
      </c>
      <c r="D15" s="59"/>
      <c r="E15" s="123"/>
      <c r="F15" s="59"/>
      <c r="G15" s="124"/>
      <c r="H15" s="124"/>
      <c r="I15" s="125"/>
    </row>
    <row r="16" spans="1:9" ht="12.75">
      <c r="A16" s="121">
        <v>37618</v>
      </c>
      <c r="B16" s="122">
        <f t="shared" si="2"/>
        <v>43</v>
      </c>
      <c r="C16" s="59">
        <f t="shared" si="1"/>
        <v>125825000</v>
      </c>
      <c r="D16" s="59">
        <f>D13</f>
        <v>8837500</v>
      </c>
      <c r="E16" s="123"/>
      <c r="F16" s="59"/>
      <c r="G16" s="124"/>
      <c r="H16" s="124"/>
      <c r="I16" s="125"/>
    </row>
    <row r="17" spans="1:9" ht="12.75">
      <c r="A17" s="128">
        <v>37621</v>
      </c>
      <c r="B17" s="129">
        <f t="shared" si="2"/>
        <v>3</v>
      </c>
      <c r="C17" s="130">
        <f>(C16-D17)+71550000</f>
        <v>197375000</v>
      </c>
      <c r="D17" s="130"/>
      <c r="E17" s="131">
        <v>0.098</v>
      </c>
      <c r="F17" s="130">
        <v>3792002</v>
      </c>
      <c r="G17" s="132">
        <f>SUM(F10:F17)</f>
        <v>13938010</v>
      </c>
      <c r="H17" s="132">
        <f>SUM(D10:D17)</f>
        <v>17675000</v>
      </c>
      <c r="I17" s="133">
        <f>SUM(G17:H17)</f>
        <v>31613010</v>
      </c>
    </row>
    <row r="18" spans="1:9" ht="12.75">
      <c r="A18" s="134">
        <v>37708</v>
      </c>
      <c r="B18" s="135">
        <f t="shared" si="2"/>
        <v>87</v>
      </c>
      <c r="C18" s="60">
        <f t="shared" si="1"/>
        <v>197375000</v>
      </c>
      <c r="D18" s="60"/>
      <c r="E18" s="136"/>
      <c r="F18" s="135"/>
      <c r="G18" s="135"/>
      <c r="H18" s="135"/>
      <c r="I18" s="287"/>
    </row>
    <row r="19" spans="1:9" ht="12.75">
      <c r="A19" s="121">
        <v>37711</v>
      </c>
      <c r="B19" s="139">
        <f t="shared" si="2"/>
        <v>3</v>
      </c>
      <c r="C19" s="59">
        <f t="shared" si="1"/>
        <v>197375000</v>
      </c>
      <c r="D19" s="59"/>
      <c r="E19" s="123">
        <v>0.0847</v>
      </c>
      <c r="F19" s="59">
        <v>4186708</v>
      </c>
      <c r="G19" s="122"/>
      <c r="H19" s="122"/>
      <c r="I19" s="276"/>
    </row>
    <row r="20" spans="1:9" ht="13.5" thickBot="1">
      <c r="A20" s="312">
        <v>37771</v>
      </c>
      <c r="B20" s="313">
        <f t="shared" si="2"/>
        <v>60</v>
      </c>
      <c r="C20" s="65">
        <f>(C19-D20)+32400000</f>
        <v>229775000</v>
      </c>
      <c r="D20" s="65"/>
      <c r="E20" s="314"/>
      <c r="F20" s="65"/>
      <c r="G20" s="313"/>
      <c r="H20" s="313"/>
      <c r="I20" s="315"/>
    </row>
    <row r="21" spans="1:11" ht="12.75">
      <c r="A21" s="115">
        <v>37800</v>
      </c>
      <c r="B21" s="143">
        <f t="shared" si="2"/>
        <v>29</v>
      </c>
      <c r="C21" s="117">
        <f>C20-D21</f>
        <v>224055000</v>
      </c>
      <c r="D21" s="117">
        <v>5720000</v>
      </c>
      <c r="E21" s="141"/>
      <c r="F21" s="116"/>
      <c r="G21" s="116"/>
      <c r="H21" s="116"/>
      <c r="I21" s="285"/>
      <c r="K21" s="155"/>
    </row>
    <row r="22" spans="1:11" ht="12.75">
      <c r="A22" s="121">
        <v>37802</v>
      </c>
      <c r="B22" s="139">
        <f t="shared" si="2"/>
        <v>2</v>
      </c>
      <c r="C22" s="59">
        <f t="shared" si="1"/>
        <v>224055000</v>
      </c>
      <c r="D22" s="59"/>
      <c r="E22" s="123">
        <v>0.0665</v>
      </c>
      <c r="F22" s="59">
        <v>3513332</v>
      </c>
      <c r="G22" s="122"/>
      <c r="H22" s="122"/>
      <c r="I22" s="276"/>
      <c r="K22" s="155"/>
    </row>
    <row r="23" spans="1:9" ht="12.75">
      <c r="A23" s="121">
        <v>37830</v>
      </c>
      <c r="B23" s="139">
        <f t="shared" si="2"/>
        <v>28</v>
      </c>
      <c r="C23" s="59">
        <f t="shared" si="1"/>
        <v>218310000</v>
      </c>
      <c r="D23" s="59">
        <v>5745000</v>
      </c>
      <c r="E23" s="123"/>
      <c r="F23" s="175"/>
      <c r="G23" s="122"/>
      <c r="H23" s="122"/>
      <c r="I23" s="276"/>
    </row>
    <row r="24" spans="1:9" ht="12.75">
      <c r="A24" s="121">
        <v>37892</v>
      </c>
      <c r="B24" s="139">
        <f t="shared" si="2"/>
        <v>62</v>
      </c>
      <c r="C24" s="59">
        <f t="shared" si="1"/>
        <v>212565000</v>
      </c>
      <c r="D24" s="59">
        <v>5745000</v>
      </c>
      <c r="E24" s="126"/>
      <c r="F24" s="122"/>
      <c r="G24" s="122"/>
      <c r="H24" s="122"/>
      <c r="I24" s="276"/>
    </row>
    <row r="25" spans="1:9" ht="12.75">
      <c r="A25" s="121">
        <v>37894</v>
      </c>
      <c r="B25" s="122">
        <f aca="true" t="shared" si="3" ref="B25:B83">A25-A24</f>
        <v>2</v>
      </c>
      <c r="C25" s="59">
        <f aca="true" t="shared" si="4" ref="C25:C83">C24-D25</f>
        <v>212565000</v>
      </c>
      <c r="D25" s="59"/>
      <c r="E25" s="123">
        <v>0.0893</v>
      </c>
      <c r="F25" s="59">
        <v>5004939</v>
      </c>
      <c r="G25" s="122"/>
      <c r="H25" s="122"/>
      <c r="I25" s="276"/>
    </row>
    <row r="26" spans="1:9" ht="12.75">
      <c r="A26" s="121">
        <v>37983</v>
      </c>
      <c r="B26" s="122">
        <f t="shared" si="3"/>
        <v>89</v>
      </c>
      <c r="C26" s="59">
        <f t="shared" si="4"/>
        <v>206820000</v>
      </c>
      <c r="D26" s="59">
        <v>5745000</v>
      </c>
      <c r="E26" s="126"/>
      <c r="F26" s="122"/>
      <c r="G26" s="122"/>
      <c r="H26" s="122"/>
      <c r="I26" s="276"/>
    </row>
    <row r="27" spans="1:9" ht="12.75">
      <c r="A27" s="128">
        <v>37986</v>
      </c>
      <c r="B27" s="129">
        <f t="shared" si="3"/>
        <v>3</v>
      </c>
      <c r="C27" s="130">
        <f t="shared" si="4"/>
        <v>206820000</v>
      </c>
      <c r="D27" s="130"/>
      <c r="E27" s="131">
        <v>0.0961</v>
      </c>
      <c r="F27" s="59">
        <v>5211744</v>
      </c>
      <c r="G27" s="132">
        <f>SUM(F19:F27)</f>
        <v>17916723</v>
      </c>
      <c r="H27" s="132">
        <f>SUM(D18:D27)</f>
        <v>22955000</v>
      </c>
      <c r="I27" s="133">
        <f>SUM(G27:H27)</f>
        <v>40871723</v>
      </c>
    </row>
    <row r="28" spans="1:9" ht="12.75">
      <c r="A28" s="134">
        <v>38074</v>
      </c>
      <c r="B28" s="135">
        <f t="shared" si="3"/>
        <v>88</v>
      </c>
      <c r="C28" s="60">
        <f t="shared" si="4"/>
        <v>201075000</v>
      </c>
      <c r="D28" s="59">
        <v>5745000</v>
      </c>
      <c r="E28" s="136"/>
      <c r="F28" s="135"/>
      <c r="G28" s="135"/>
      <c r="H28" s="135"/>
      <c r="I28" s="287"/>
    </row>
    <row r="29" spans="1:9" ht="12.75">
      <c r="A29" s="121">
        <v>38077</v>
      </c>
      <c r="B29" s="122">
        <f t="shared" si="3"/>
        <v>3</v>
      </c>
      <c r="C29" s="59">
        <f t="shared" si="4"/>
        <v>201075000</v>
      </c>
      <c r="D29" s="59"/>
      <c r="E29" s="123">
        <v>0.1255</v>
      </c>
      <c r="F29" s="59">
        <f>((C28+D28)*E29/360*B28)+((C29+D29)*E29/360*B29)</f>
        <v>6555068.9375</v>
      </c>
      <c r="G29" s="122"/>
      <c r="H29" s="122"/>
      <c r="I29" s="276"/>
    </row>
    <row r="30" spans="1:9" ht="12.75">
      <c r="A30" s="121">
        <v>38166</v>
      </c>
      <c r="B30" s="122">
        <f t="shared" si="3"/>
        <v>89</v>
      </c>
      <c r="C30" s="59">
        <f t="shared" si="4"/>
        <v>195330000</v>
      </c>
      <c r="D30" s="59">
        <v>5745000</v>
      </c>
      <c r="E30" s="126"/>
      <c r="F30" s="122"/>
      <c r="G30" s="122"/>
      <c r="H30" s="122"/>
      <c r="I30" s="276"/>
    </row>
    <row r="31" spans="1:9" ht="12.75">
      <c r="A31" s="121">
        <v>38168</v>
      </c>
      <c r="B31" s="122">
        <f t="shared" si="3"/>
        <v>2</v>
      </c>
      <c r="C31" s="59">
        <f t="shared" si="4"/>
        <v>195330000</v>
      </c>
      <c r="D31" s="59"/>
      <c r="E31" s="123">
        <v>0.1197</v>
      </c>
      <c r="F31" s="59">
        <v>6083446</v>
      </c>
      <c r="G31" s="122"/>
      <c r="H31" s="122"/>
      <c r="I31" s="276"/>
    </row>
    <row r="32" spans="1:9" ht="12.75">
      <c r="A32" s="121">
        <v>38258</v>
      </c>
      <c r="B32" s="122">
        <f t="shared" si="3"/>
        <v>90</v>
      </c>
      <c r="C32" s="59">
        <f t="shared" si="4"/>
        <v>189585000</v>
      </c>
      <c r="D32" s="59">
        <v>5745000</v>
      </c>
      <c r="E32" s="126"/>
      <c r="F32" s="59"/>
      <c r="G32" s="122"/>
      <c r="H32" s="122"/>
      <c r="I32" s="276"/>
    </row>
    <row r="33" spans="1:9" ht="12.75">
      <c r="A33" s="121">
        <v>38260</v>
      </c>
      <c r="B33" s="122">
        <f t="shared" si="3"/>
        <v>2</v>
      </c>
      <c r="C33" s="59">
        <f t="shared" si="4"/>
        <v>189585000</v>
      </c>
      <c r="D33" s="59"/>
      <c r="E33" s="123">
        <v>0.1167</v>
      </c>
      <c r="F33" s="59">
        <v>5823295</v>
      </c>
      <c r="G33" s="122"/>
      <c r="H33" s="122"/>
      <c r="I33" s="276"/>
    </row>
    <row r="34" spans="1:9" ht="12.75">
      <c r="A34" s="121">
        <v>38349</v>
      </c>
      <c r="B34" s="122">
        <f t="shared" si="3"/>
        <v>89</v>
      </c>
      <c r="C34" s="59">
        <f t="shared" si="4"/>
        <v>183840000</v>
      </c>
      <c r="D34" s="59">
        <v>5745000</v>
      </c>
      <c r="E34" s="126"/>
      <c r="F34" s="122"/>
      <c r="G34" s="122"/>
      <c r="H34" s="122"/>
      <c r="I34" s="276"/>
    </row>
    <row r="35" spans="1:9" ht="12.75">
      <c r="A35" s="128">
        <v>38352</v>
      </c>
      <c r="B35" s="129">
        <f t="shared" si="3"/>
        <v>3</v>
      </c>
      <c r="C35" s="130">
        <f t="shared" si="4"/>
        <v>183840000</v>
      </c>
      <c r="D35" s="130"/>
      <c r="E35" s="131">
        <v>0.111</v>
      </c>
      <c r="F35" s="59">
        <f>((C34+D34)*E35/360*B34)+((C35+D35)*E35/360*B35)</f>
        <v>5372580.375</v>
      </c>
      <c r="G35" s="132">
        <f>SUM(F29:F35)</f>
        <v>23834390.3125</v>
      </c>
      <c r="H35" s="132">
        <f>SUM(D28:D35)</f>
        <v>22980000</v>
      </c>
      <c r="I35" s="133">
        <f>SUM(G35:H35)</f>
        <v>46814390.3125</v>
      </c>
    </row>
    <row r="36" spans="1:9" ht="12.75">
      <c r="A36" s="134">
        <v>38439</v>
      </c>
      <c r="B36" s="135">
        <f t="shared" si="3"/>
        <v>87</v>
      </c>
      <c r="C36" s="60">
        <f t="shared" si="4"/>
        <v>178095000</v>
      </c>
      <c r="D36" s="59">
        <v>5745000</v>
      </c>
      <c r="E36" s="136"/>
      <c r="F36" s="135"/>
      <c r="G36" s="135"/>
      <c r="H36" s="135"/>
      <c r="I36" s="287"/>
    </row>
    <row r="37" spans="1:9" ht="12.75">
      <c r="A37" s="121">
        <v>38442</v>
      </c>
      <c r="B37" s="122">
        <f t="shared" si="3"/>
        <v>3</v>
      </c>
      <c r="C37" s="59">
        <f t="shared" si="4"/>
        <v>178095000</v>
      </c>
      <c r="D37" s="59"/>
      <c r="E37" s="123">
        <f>E35</f>
        <v>0.111</v>
      </c>
      <c r="F37" s="59">
        <f>((C36+D36)*E37/360*B36)+((C37+D37)*E37/360*B37)</f>
        <v>5096245.875</v>
      </c>
      <c r="G37" s="122"/>
      <c r="H37" s="122"/>
      <c r="I37" s="276"/>
    </row>
    <row r="38" spans="1:9" ht="12.75">
      <c r="A38" s="121">
        <v>38531</v>
      </c>
      <c r="B38" s="122">
        <f t="shared" si="3"/>
        <v>89</v>
      </c>
      <c r="C38" s="59">
        <f t="shared" si="4"/>
        <v>172350000</v>
      </c>
      <c r="D38" s="59">
        <v>5745000</v>
      </c>
      <c r="E38" s="126"/>
      <c r="F38" s="122"/>
      <c r="G38" s="122"/>
      <c r="H38" s="122"/>
      <c r="I38" s="276"/>
    </row>
    <row r="39" spans="1:9" ht="12.75">
      <c r="A39" s="121">
        <v>38533</v>
      </c>
      <c r="B39" s="122">
        <f t="shared" si="3"/>
        <v>2</v>
      </c>
      <c r="C39" s="59">
        <f t="shared" si="4"/>
        <v>172350000</v>
      </c>
      <c r="D39" s="59"/>
      <c r="E39" s="123">
        <f>E37</f>
        <v>0.111</v>
      </c>
      <c r="F39" s="59">
        <f>((C38+D38)*E39/360*B38)+((C39+D39)*E39/360*B39)</f>
        <v>4993506.125</v>
      </c>
      <c r="G39" s="122"/>
      <c r="H39" s="122"/>
      <c r="I39" s="276"/>
    </row>
    <row r="40" spans="1:9" ht="12.75">
      <c r="A40" s="121">
        <v>38623</v>
      </c>
      <c r="B40" s="122">
        <f t="shared" si="3"/>
        <v>90</v>
      </c>
      <c r="C40" s="59">
        <f t="shared" si="4"/>
        <v>166605000</v>
      </c>
      <c r="D40" s="59">
        <v>5745000</v>
      </c>
      <c r="E40" s="126"/>
      <c r="F40" s="122"/>
      <c r="G40" s="122"/>
      <c r="H40" s="122"/>
      <c r="I40" s="276"/>
    </row>
    <row r="41" spans="1:9" ht="12.75">
      <c r="A41" s="121">
        <v>38625</v>
      </c>
      <c r="B41" s="122">
        <f t="shared" si="3"/>
        <v>2</v>
      </c>
      <c r="C41" s="59">
        <f t="shared" si="4"/>
        <v>166605000</v>
      </c>
      <c r="D41" s="59"/>
      <c r="E41" s="123">
        <f>E39</f>
        <v>0.111</v>
      </c>
      <c r="F41" s="59">
        <f>((C40+D40)*E41/360*B40)+((C41+D41)*E41/360*B41)</f>
        <v>4885452.25</v>
      </c>
      <c r="G41" s="122"/>
      <c r="H41" s="122"/>
      <c r="I41" s="276"/>
    </row>
    <row r="42" spans="1:9" ht="12.75">
      <c r="A42" s="121">
        <v>38714</v>
      </c>
      <c r="B42" s="122">
        <f t="shared" si="3"/>
        <v>89</v>
      </c>
      <c r="C42" s="59">
        <f t="shared" si="4"/>
        <v>160860000</v>
      </c>
      <c r="D42" s="59">
        <v>5745000</v>
      </c>
      <c r="E42" s="126"/>
      <c r="F42" s="122"/>
      <c r="G42" s="122"/>
      <c r="H42" s="122"/>
      <c r="I42" s="276"/>
    </row>
    <row r="43" spans="1:9" ht="12.75">
      <c r="A43" s="128">
        <v>38717</v>
      </c>
      <c r="B43" s="129">
        <f t="shared" si="3"/>
        <v>3</v>
      </c>
      <c r="C43" s="130">
        <f t="shared" si="4"/>
        <v>160860000</v>
      </c>
      <c r="D43" s="130"/>
      <c r="E43" s="131">
        <f>E41</f>
        <v>0.111</v>
      </c>
      <c r="F43" s="59">
        <f>((C42+D42)*E43/360*B42)+((C43+D43)*E43/360*B43)</f>
        <v>4720714.375</v>
      </c>
      <c r="G43" s="132">
        <f>SUM(F37:F43)</f>
        <v>19695918.625</v>
      </c>
      <c r="H43" s="132">
        <f>SUM(D36:D43)</f>
        <v>22980000</v>
      </c>
      <c r="I43" s="133">
        <f>SUM(G43:H43)</f>
        <v>42675918.625</v>
      </c>
    </row>
    <row r="44" spans="1:9" ht="12.75">
      <c r="A44" s="134">
        <v>38804</v>
      </c>
      <c r="B44" s="135">
        <f t="shared" si="3"/>
        <v>87</v>
      </c>
      <c r="C44" s="60">
        <f t="shared" si="4"/>
        <v>155115000</v>
      </c>
      <c r="D44" s="59">
        <v>5745000</v>
      </c>
      <c r="E44" s="136"/>
      <c r="F44" s="135"/>
      <c r="G44" s="135"/>
      <c r="H44" s="135"/>
      <c r="I44" s="287"/>
    </row>
    <row r="45" spans="1:9" ht="12.75">
      <c r="A45" s="121">
        <v>38807</v>
      </c>
      <c r="B45" s="122">
        <f t="shared" si="3"/>
        <v>3</v>
      </c>
      <c r="C45" s="59">
        <f t="shared" si="4"/>
        <v>155115000</v>
      </c>
      <c r="D45" s="59"/>
      <c r="E45" s="123">
        <f>E43</f>
        <v>0.111</v>
      </c>
      <c r="F45" s="59">
        <f>((C44+D44)*E45/360*B44)+((C45+D45)*E45/360*B45)</f>
        <v>4458550.875</v>
      </c>
      <c r="G45" s="122"/>
      <c r="H45" s="122"/>
      <c r="I45" s="276"/>
    </row>
    <row r="46" spans="1:9" ht="12.75">
      <c r="A46" s="121">
        <v>38896</v>
      </c>
      <c r="B46" s="122">
        <f t="shared" si="3"/>
        <v>89</v>
      </c>
      <c r="C46" s="59">
        <f t="shared" si="4"/>
        <v>149370000</v>
      </c>
      <c r="D46" s="59">
        <v>5745000</v>
      </c>
      <c r="E46" s="126"/>
      <c r="F46" s="122"/>
      <c r="G46" s="122"/>
      <c r="H46" s="122"/>
      <c r="I46" s="276"/>
    </row>
    <row r="47" spans="1:9" ht="12.75">
      <c r="A47" s="121">
        <v>38898</v>
      </c>
      <c r="B47" s="122">
        <f t="shared" si="3"/>
        <v>2</v>
      </c>
      <c r="C47" s="59">
        <f t="shared" si="4"/>
        <v>149370000</v>
      </c>
      <c r="D47" s="59"/>
      <c r="E47" s="123">
        <f>E45</f>
        <v>0.111</v>
      </c>
      <c r="F47" s="59">
        <f>((C46+D46)*E47/360*B46)+((C47+D47)*E47/360*B47)</f>
        <v>4348725.625</v>
      </c>
      <c r="G47" s="122"/>
      <c r="H47" s="122"/>
      <c r="I47" s="276"/>
    </row>
    <row r="48" spans="1:9" ht="12.75">
      <c r="A48" s="121">
        <v>38988</v>
      </c>
      <c r="B48" s="122">
        <f t="shared" si="3"/>
        <v>90</v>
      </c>
      <c r="C48" s="59">
        <f t="shared" si="4"/>
        <v>143625000</v>
      </c>
      <c r="D48" s="59">
        <v>5745000</v>
      </c>
      <c r="E48" s="126"/>
      <c r="F48" s="122"/>
      <c r="G48" s="122"/>
      <c r="H48" s="122"/>
      <c r="I48" s="276"/>
    </row>
    <row r="49" spans="1:9" ht="12.75">
      <c r="A49" s="121">
        <v>38990</v>
      </c>
      <c r="B49" s="122">
        <f t="shared" si="3"/>
        <v>2</v>
      </c>
      <c r="C49" s="59">
        <f t="shared" si="4"/>
        <v>143625000</v>
      </c>
      <c r="D49" s="59"/>
      <c r="E49" s="123">
        <f>E47</f>
        <v>0.111</v>
      </c>
      <c r="F49" s="59">
        <f>((C48+D48)*E49/360*B48)+((C49+D49)*E49/360*B49)</f>
        <v>4233586.25</v>
      </c>
      <c r="G49" s="122"/>
      <c r="H49" s="122"/>
      <c r="I49" s="276"/>
    </row>
    <row r="50" spans="1:9" ht="12.75">
      <c r="A50" s="121">
        <v>39079</v>
      </c>
      <c r="B50" s="122">
        <f t="shared" si="3"/>
        <v>89</v>
      </c>
      <c r="C50" s="59">
        <f t="shared" si="4"/>
        <v>137880000</v>
      </c>
      <c r="D50" s="59">
        <v>5745000</v>
      </c>
      <c r="E50" s="126"/>
      <c r="F50" s="122"/>
      <c r="G50" s="122"/>
      <c r="H50" s="122"/>
      <c r="I50" s="276"/>
    </row>
    <row r="51" spans="1:9" ht="12.75">
      <c r="A51" s="128">
        <v>39082</v>
      </c>
      <c r="B51" s="129">
        <f t="shared" si="3"/>
        <v>3</v>
      </c>
      <c r="C51" s="130">
        <f t="shared" si="4"/>
        <v>137880000</v>
      </c>
      <c r="D51" s="130"/>
      <c r="E51" s="131">
        <f>E49</f>
        <v>0.111</v>
      </c>
      <c r="F51" s="130">
        <f>((C50+D50)*E51/360*B50)+((C51+D51)*E51/360*B51)</f>
        <v>4068848.375</v>
      </c>
      <c r="G51" s="132">
        <f>SUM(F45:F51)</f>
        <v>17109711.125</v>
      </c>
      <c r="H51" s="132">
        <f>SUM(D44:D51)</f>
        <v>22980000</v>
      </c>
      <c r="I51" s="133">
        <f>SUM(G51:H51)</f>
        <v>40089711.125</v>
      </c>
    </row>
    <row r="52" spans="1:9" ht="12.75">
      <c r="A52" s="134">
        <v>39169</v>
      </c>
      <c r="B52" s="135">
        <f t="shared" si="3"/>
        <v>87</v>
      </c>
      <c r="C52" s="60">
        <f t="shared" si="4"/>
        <v>132135000</v>
      </c>
      <c r="D52" s="60">
        <v>5745000</v>
      </c>
      <c r="E52" s="136"/>
      <c r="F52" s="135"/>
      <c r="G52" s="135"/>
      <c r="H52" s="135"/>
      <c r="I52" s="287"/>
    </row>
    <row r="53" spans="1:9" ht="12.75">
      <c r="A53" s="121">
        <v>39172</v>
      </c>
      <c r="B53" s="122">
        <f t="shared" si="3"/>
        <v>3</v>
      </c>
      <c r="C53" s="59">
        <f t="shared" si="4"/>
        <v>132135000</v>
      </c>
      <c r="D53" s="59"/>
      <c r="E53" s="123">
        <f>E51</f>
        <v>0.111</v>
      </c>
      <c r="F53" s="59">
        <f>((C52+D52)*E53/360*B52)+((C53+D53)*E53/360*B53)</f>
        <v>3820855.875</v>
      </c>
      <c r="G53" s="122"/>
      <c r="H53" s="122"/>
      <c r="I53" s="276"/>
    </row>
    <row r="54" spans="1:9" ht="12.75">
      <c r="A54" s="121">
        <v>39261</v>
      </c>
      <c r="B54" s="122">
        <f t="shared" si="3"/>
        <v>89</v>
      </c>
      <c r="C54" s="59">
        <f t="shared" si="4"/>
        <v>126390000</v>
      </c>
      <c r="D54" s="59">
        <v>5745000</v>
      </c>
      <c r="E54" s="126"/>
      <c r="F54" s="122"/>
      <c r="G54" s="122"/>
      <c r="H54" s="122"/>
      <c r="I54" s="276"/>
    </row>
    <row r="55" spans="1:9" ht="12.75">
      <c r="A55" s="121">
        <v>39263</v>
      </c>
      <c r="B55" s="122">
        <f t="shared" si="3"/>
        <v>2</v>
      </c>
      <c r="C55" s="59">
        <f t="shared" si="4"/>
        <v>126390000</v>
      </c>
      <c r="D55" s="59"/>
      <c r="E55" s="123">
        <f>E53</f>
        <v>0.111</v>
      </c>
      <c r="F55" s="59">
        <f>((C54+D54)*E55/360*B54)+((C55+D55)*E55/360*B55)</f>
        <v>3703945.125</v>
      </c>
      <c r="G55" s="122"/>
      <c r="H55" s="122"/>
      <c r="I55" s="276"/>
    </row>
    <row r="56" spans="1:9" ht="12.75">
      <c r="A56" s="121">
        <v>39353</v>
      </c>
      <c r="B56" s="122">
        <f t="shared" si="3"/>
        <v>90</v>
      </c>
      <c r="C56" s="59">
        <f t="shared" si="4"/>
        <v>120645000</v>
      </c>
      <c r="D56" s="59">
        <v>5745000</v>
      </c>
      <c r="E56" s="126"/>
      <c r="F56" s="122"/>
      <c r="G56" s="122"/>
      <c r="H56" s="122"/>
      <c r="I56" s="276"/>
    </row>
    <row r="57" spans="1:9" ht="12.75">
      <c r="A57" s="121">
        <v>39355</v>
      </c>
      <c r="B57" s="122">
        <f t="shared" si="3"/>
        <v>2</v>
      </c>
      <c r="C57" s="59">
        <f t="shared" si="4"/>
        <v>120645000</v>
      </c>
      <c r="D57" s="59"/>
      <c r="E57" s="123">
        <f>E55</f>
        <v>0.111</v>
      </c>
      <c r="F57" s="59">
        <f>((C56+D56)*E57/360*B56)+((C57+D57)*E57/360*B57)</f>
        <v>3581720.25</v>
      </c>
      <c r="G57" s="122"/>
      <c r="H57" s="122"/>
      <c r="I57" s="276"/>
    </row>
    <row r="58" spans="1:9" ht="12.75">
      <c r="A58" s="121">
        <v>39444</v>
      </c>
      <c r="B58" s="122">
        <f t="shared" si="3"/>
        <v>89</v>
      </c>
      <c r="C58" s="59">
        <f t="shared" si="4"/>
        <v>114900000</v>
      </c>
      <c r="D58" s="59">
        <v>5745000</v>
      </c>
      <c r="E58" s="126"/>
      <c r="F58" s="122"/>
      <c r="G58" s="122"/>
      <c r="H58" s="122"/>
      <c r="I58" s="276"/>
    </row>
    <row r="59" spans="1:9" ht="12.75">
      <c r="A59" s="128">
        <v>39447</v>
      </c>
      <c r="B59" s="129">
        <f t="shared" si="3"/>
        <v>3</v>
      </c>
      <c r="C59" s="130">
        <f t="shared" si="4"/>
        <v>114900000</v>
      </c>
      <c r="D59" s="130"/>
      <c r="E59" s="131">
        <f>E57</f>
        <v>0.111</v>
      </c>
      <c r="F59" s="130">
        <f>((C58+D58)*E59/360*B58)+((C59+D59)*E59/360*B59)</f>
        <v>3416982.375</v>
      </c>
      <c r="G59" s="132">
        <f>SUM(F53:F59)</f>
        <v>14523503.625</v>
      </c>
      <c r="H59" s="132">
        <f>SUM(D52:D59)</f>
        <v>22980000</v>
      </c>
      <c r="I59" s="133">
        <f>SUM(G59:H59)</f>
        <v>37503503.625</v>
      </c>
    </row>
    <row r="60" spans="1:9" ht="12.75">
      <c r="A60" s="134">
        <v>39535</v>
      </c>
      <c r="B60" s="135">
        <f t="shared" si="3"/>
        <v>88</v>
      </c>
      <c r="C60" s="60">
        <f t="shared" si="4"/>
        <v>109155000</v>
      </c>
      <c r="D60" s="60">
        <v>5745000</v>
      </c>
      <c r="E60" s="136"/>
      <c r="F60" s="135"/>
      <c r="G60" s="135"/>
      <c r="H60" s="135"/>
      <c r="I60" s="287"/>
    </row>
    <row r="61" spans="1:9" ht="12.75">
      <c r="A61" s="121">
        <v>39538</v>
      </c>
      <c r="B61" s="122">
        <f t="shared" si="3"/>
        <v>3</v>
      </c>
      <c r="C61" s="59">
        <f t="shared" si="4"/>
        <v>109155000</v>
      </c>
      <c r="D61" s="59"/>
      <c r="E61" s="123">
        <f>E59</f>
        <v>0.111</v>
      </c>
      <c r="F61" s="59">
        <f>((C60+D60)*E61/360*B60)+((C61+D61)*E61/360*B61)</f>
        <v>3218588.375</v>
      </c>
      <c r="G61" s="122"/>
      <c r="H61" s="122"/>
      <c r="I61" s="276"/>
    </row>
    <row r="62" spans="1:9" ht="12.75">
      <c r="A62" s="121">
        <v>39627</v>
      </c>
      <c r="B62" s="122">
        <f t="shared" si="3"/>
        <v>89</v>
      </c>
      <c r="C62" s="59">
        <f t="shared" si="4"/>
        <v>103410000</v>
      </c>
      <c r="D62" s="59">
        <v>5745000</v>
      </c>
      <c r="E62" s="126"/>
      <c r="F62" s="122"/>
      <c r="G62" s="122"/>
      <c r="H62" s="122"/>
      <c r="I62" s="276"/>
    </row>
    <row r="63" spans="1:9" ht="12.75">
      <c r="A63" s="121">
        <v>39629</v>
      </c>
      <c r="B63" s="122">
        <f t="shared" si="3"/>
        <v>2</v>
      </c>
      <c r="C63" s="59">
        <f t="shared" si="4"/>
        <v>103410000</v>
      </c>
      <c r="D63" s="59"/>
      <c r="E63" s="123">
        <f>E61</f>
        <v>0.111</v>
      </c>
      <c r="F63" s="59">
        <f>((C62+D62)*E63/360*B62)+((C63+D63)*E63/360*B63)</f>
        <v>3059164.625</v>
      </c>
      <c r="G63" s="122"/>
      <c r="H63" s="122"/>
      <c r="I63" s="276"/>
    </row>
    <row r="64" spans="1:9" ht="12.75">
      <c r="A64" s="121">
        <v>39719</v>
      </c>
      <c r="B64" s="122">
        <f t="shared" si="3"/>
        <v>90</v>
      </c>
      <c r="C64" s="59">
        <f t="shared" si="4"/>
        <v>97665000</v>
      </c>
      <c r="D64" s="59">
        <v>5745000</v>
      </c>
      <c r="E64" s="126"/>
      <c r="F64" s="122"/>
      <c r="G64" s="122"/>
      <c r="H64" s="122"/>
      <c r="I64" s="276"/>
    </row>
    <row r="65" spans="1:9" ht="12.75">
      <c r="A65" s="121">
        <v>39721</v>
      </c>
      <c r="B65" s="122">
        <f t="shared" si="3"/>
        <v>2</v>
      </c>
      <c r="C65" s="59">
        <f t="shared" si="4"/>
        <v>97665000</v>
      </c>
      <c r="D65" s="59"/>
      <c r="E65" s="123">
        <f>E63</f>
        <v>0.111</v>
      </c>
      <c r="F65" s="59">
        <f>((C64+D64)*E65/360*B64)+((C65+D65)*E65/360*B65)</f>
        <v>2929854.25</v>
      </c>
      <c r="G65" s="122"/>
      <c r="H65" s="122"/>
      <c r="I65" s="276"/>
    </row>
    <row r="66" spans="1:9" ht="12.75">
      <c r="A66" s="121">
        <v>39810</v>
      </c>
      <c r="B66" s="122">
        <f t="shared" si="3"/>
        <v>89</v>
      </c>
      <c r="C66" s="59">
        <f t="shared" si="4"/>
        <v>91920000</v>
      </c>
      <c r="D66" s="59">
        <v>5745000</v>
      </c>
      <c r="E66" s="126"/>
      <c r="F66" s="122"/>
      <c r="G66" s="122"/>
      <c r="H66" s="122"/>
      <c r="I66" s="276"/>
    </row>
    <row r="67" spans="1:9" ht="12.75">
      <c r="A67" s="128">
        <v>39813</v>
      </c>
      <c r="B67" s="129">
        <f t="shared" si="3"/>
        <v>3</v>
      </c>
      <c r="C67" s="130">
        <f t="shared" si="4"/>
        <v>91920000</v>
      </c>
      <c r="D67" s="130"/>
      <c r="E67" s="131">
        <f>E65</f>
        <v>0.111</v>
      </c>
      <c r="F67" s="59">
        <f>((C66+D66)*E67/360*B66)+((C67+D67)*E67/360*B67)</f>
        <v>2765116.375</v>
      </c>
      <c r="G67" s="132">
        <f>SUM(F61:F67)</f>
        <v>11972723.625</v>
      </c>
      <c r="H67" s="132">
        <f>SUM(D60:D67)</f>
        <v>22980000</v>
      </c>
      <c r="I67" s="133">
        <f>SUM(G67:H67)</f>
        <v>34952723.625</v>
      </c>
    </row>
    <row r="68" spans="1:9" ht="12.75">
      <c r="A68" s="134">
        <v>39900</v>
      </c>
      <c r="B68" s="135">
        <f t="shared" si="3"/>
        <v>87</v>
      </c>
      <c r="C68" s="60">
        <f t="shared" si="4"/>
        <v>86175000</v>
      </c>
      <c r="D68" s="59">
        <v>5745000</v>
      </c>
      <c r="E68" s="136"/>
      <c r="F68" s="135"/>
      <c r="G68" s="135"/>
      <c r="H68" s="135"/>
      <c r="I68" s="287"/>
    </row>
    <row r="69" spans="1:9" ht="12.75">
      <c r="A69" s="121">
        <v>39903</v>
      </c>
      <c r="B69" s="122">
        <f t="shared" si="3"/>
        <v>3</v>
      </c>
      <c r="C69" s="59">
        <f t="shared" si="4"/>
        <v>86175000</v>
      </c>
      <c r="D69" s="59"/>
      <c r="E69" s="123">
        <f>E67</f>
        <v>0.111</v>
      </c>
      <c r="F69" s="59">
        <f>((C68+D68)*E69/360*B68)+((C69+D69)*E69/360*B69)</f>
        <v>2545465.875</v>
      </c>
      <c r="G69" s="122"/>
      <c r="H69" s="122"/>
      <c r="I69" s="276"/>
    </row>
    <row r="70" spans="1:9" ht="12.75">
      <c r="A70" s="121">
        <v>39992</v>
      </c>
      <c r="B70" s="122">
        <f t="shared" si="3"/>
        <v>89</v>
      </c>
      <c r="C70" s="59">
        <f t="shared" si="4"/>
        <v>80430000</v>
      </c>
      <c r="D70" s="59">
        <v>5745000</v>
      </c>
      <c r="E70" s="126"/>
      <c r="F70" s="122"/>
      <c r="G70" s="122"/>
      <c r="H70" s="122"/>
      <c r="I70" s="276"/>
    </row>
    <row r="71" spans="1:9" ht="12.75">
      <c r="A71" s="121">
        <v>39994</v>
      </c>
      <c r="B71" s="122">
        <f t="shared" si="3"/>
        <v>2</v>
      </c>
      <c r="C71" s="59">
        <f t="shared" si="4"/>
        <v>80430000</v>
      </c>
      <c r="D71" s="59"/>
      <c r="E71" s="123">
        <f>E69</f>
        <v>0.111</v>
      </c>
      <c r="F71" s="59">
        <f>((C70+D70)*E71/360*B70)+((C71+D71)*E71/360*B71)</f>
        <v>2414384.125</v>
      </c>
      <c r="G71" s="122"/>
      <c r="H71" s="122"/>
      <c r="I71" s="276"/>
    </row>
    <row r="72" spans="1:9" ht="12.75">
      <c r="A72" s="121">
        <v>40084</v>
      </c>
      <c r="B72" s="122">
        <f t="shared" si="3"/>
        <v>90</v>
      </c>
      <c r="C72" s="59">
        <f t="shared" si="4"/>
        <v>74685000</v>
      </c>
      <c r="D72" s="59">
        <v>5745000</v>
      </c>
      <c r="E72" s="126"/>
      <c r="F72" s="122"/>
      <c r="G72" s="122"/>
      <c r="H72" s="122"/>
      <c r="I72" s="276"/>
    </row>
    <row r="73" spans="1:9" ht="12.75">
      <c r="A73" s="121">
        <v>40086</v>
      </c>
      <c r="B73" s="122">
        <f t="shared" si="3"/>
        <v>2</v>
      </c>
      <c r="C73" s="59">
        <f t="shared" si="4"/>
        <v>74685000</v>
      </c>
      <c r="D73" s="59"/>
      <c r="E73" s="123">
        <f>E71</f>
        <v>0.111</v>
      </c>
      <c r="F73" s="59">
        <f>((C72+D72)*E73/360*B72)+((C73+D73)*E73/360*B73)</f>
        <v>2277988.25</v>
      </c>
      <c r="G73" s="122"/>
      <c r="H73" s="122"/>
      <c r="I73" s="276"/>
    </row>
    <row r="74" spans="1:9" ht="12.75">
      <c r="A74" s="121">
        <v>40175</v>
      </c>
      <c r="B74" s="122">
        <f t="shared" si="3"/>
        <v>89</v>
      </c>
      <c r="C74" s="59">
        <f t="shared" si="4"/>
        <v>68940000</v>
      </c>
      <c r="D74" s="59">
        <v>5745000</v>
      </c>
      <c r="E74" s="126"/>
      <c r="F74" s="122"/>
      <c r="G74" s="122"/>
      <c r="H74" s="122"/>
      <c r="I74" s="276"/>
    </row>
    <row r="75" spans="1:9" ht="12.75">
      <c r="A75" s="128">
        <v>40178</v>
      </c>
      <c r="B75" s="129">
        <f t="shared" si="3"/>
        <v>3</v>
      </c>
      <c r="C75" s="130">
        <f t="shared" si="4"/>
        <v>68940000</v>
      </c>
      <c r="D75" s="130"/>
      <c r="E75" s="131">
        <f>E73</f>
        <v>0.111</v>
      </c>
      <c r="F75" s="59">
        <f>((C74+D74)*E75/360*B74)+((C75+D75)*E75/360*B75)</f>
        <v>2113250.375</v>
      </c>
      <c r="G75" s="132">
        <f>SUM(F69:F75)</f>
        <v>9351088.625</v>
      </c>
      <c r="H75" s="132">
        <f>SUM(D68:D75)</f>
        <v>22980000</v>
      </c>
      <c r="I75" s="133">
        <f>SUM(G75:H75)</f>
        <v>32331088.625</v>
      </c>
    </row>
    <row r="76" spans="1:9" ht="12.75">
      <c r="A76" s="134">
        <v>40265</v>
      </c>
      <c r="B76" s="135">
        <f t="shared" si="3"/>
        <v>87</v>
      </c>
      <c r="C76" s="60">
        <f t="shared" si="4"/>
        <v>63195000</v>
      </c>
      <c r="D76" s="59">
        <v>5745000</v>
      </c>
      <c r="E76" s="136"/>
      <c r="F76" s="135"/>
      <c r="G76" s="135"/>
      <c r="H76" s="135"/>
      <c r="I76" s="287"/>
    </row>
    <row r="77" spans="1:9" ht="12.75">
      <c r="A77" s="121">
        <v>40268</v>
      </c>
      <c r="B77" s="122">
        <f t="shared" si="3"/>
        <v>3</v>
      </c>
      <c r="C77" s="59">
        <f t="shared" si="4"/>
        <v>63195000</v>
      </c>
      <c r="D77" s="59"/>
      <c r="E77" s="123">
        <f>E75</f>
        <v>0.111</v>
      </c>
      <c r="F77" s="59">
        <f>((C76+D76)*E77/360*B76)+((C77+D77)*E77/360*B77)</f>
        <v>1907770.875</v>
      </c>
      <c r="G77" s="122"/>
      <c r="H77" s="122"/>
      <c r="I77" s="276"/>
    </row>
    <row r="78" spans="1:9" ht="12.75">
      <c r="A78" s="121">
        <v>40357</v>
      </c>
      <c r="B78" s="122">
        <f t="shared" si="3"/>
        <v>89</v>
      </c>
      <c r="C78" s="59">
        <f t="shared" si="4"/>
        <v>57450000</v>
      </c>
      <c r="D78" s="59">
        <v>5745000</v>
      </c>
      <c r="E78" s="126"/>
      <c r="F78" s="122"/>
      <c r="G78" s="122"/>
      <c r="H78" s="122"/>
      <c r="I78" s="276"/>
    </row>
    <row r="79" spans="1:9" ht="12.75">
      <c r="A79" s="121">
        <v>40359</v>
      </c>
      <c r="B79" s="122">
        <f t="shared" si="3"/>
        <v>2</v>
      </c>
      <c r="C79" s="59">
        <f t="shared" si="4"/>
        <v>57450000</v>
      </c>
      <c r="D79" s="59"/>
      <c r="E79" s="123">
        <f>E77</f>
        <v>0.111</v>
      </c>
      <c r="F79" s="59">
        <f>((C78+D78)*E79/360*B78)+((C79+D79)*E79/360*B79)</f>
        <v>1769603.625</v>
      </c>
      <c r="G79" s="122"/>
      <c r="H79" s="122"/>
      <c r="I79" s="276"/>
    </row>
    <row r="80" spans="1:9" ht="12.75">
      <c r="A80" s="121">
        <v>40449</v>
      </c>
      <c r="B80" s="122">
        <f t="shared" si="3"/>
        <v>90</v>
      </c>
      <c r="C80" s="59">
        <f t="shared" si="4"/>
        <v>51705000</v>
      </c>
      <c r="D80" s="59">
        <v>5745000</v>
      </c>
      <c r="E80" s="126"/>
      <c r="F80" s="122"/>
      <c r="G80" s="122"/>
      <c r="H80" s="122"/>
      <c r="I80" s="276"/>
    </row>
    <row r="81" spans="1:9" ht="12.75">
      <c r="A81" s="121">
        <v>40451</v>
      </c>
      <c r="B81" s="122">
        <f t="shared" si="3"/>
        <v>2</v>
      </c>
      <c r="C81" s="59">
        <f t="shared" si="4"/>
        <v>51705000</v>
      </c>
      <c r="D81" s="59"/>
      <c r="E81" s="123">
        <f>E79</f>
        <v>0.111</v>
      </c>
      <c r="F81" s="59">
        <f>((C80+D80)*E81/360*B80)+((C81+D81)*E81/360*B81)</f>
        <v>1626122.25</v>
      </c>
      <c r="G81" s="122"/>
      <c r="H81" s="122"/>
      <c r="I81" s="276"/>
    </row>
    <row r="82" spans="1:9" ht="12.75">
      <c r="A82" s="121">
        <v>40540</v>
      </c>
      <c r="B82" s="122">
        <f t="shared" si="3"/>
        <v>89</v>
      </c>
      <c r="C82" s="59">
        <f t="shared" si="4"/>
        <v>45960000</v>
      </c>
      <c r="D82" s="59">
        <v>5745000</v>
      </c>
      <c r="E82" s="126"/>
      <c r="F82" s="122"/>
      <c r="G82" s="122"/>
      <c r="H82" s="122"/>
      <c r="I82" s="276"/>
    </row>
    <row r="83" spans="1:9" ht="12.75">
      <c r="A83" s="128">
        <v>40543</v>
      </c>
      <c r="B83" s="129">
        <f t="shared" si="3"/>
        <v>3</v>
      </c>
      <c r="C83" s="130">
        <f t="shared" si="4"/>
        <v>45960000</v>
      </c>
      <c r="D83" s="130"/>
      <c r="E83" s="131">
        <f>E81</f>
        <v>0.111</v>
      </c>
      <c r="F83" s="59">
        <f>((C82+D82)*E83/360*B82)+((C83+D83)*E83/360*B83)</f>
        <v>1461384.375</v>
      </c>
      <c r="G83" s="132">
        <f>SUM(F77:F83)</f>
        <v>6764881.125</v>
      </c>
      <c r="H83" s="132">
        <f>SUM(D76:D83)</f>
        <v>22980000</v>
      </c>
      <c r="I83" s="133">
        <f>SUM(G83:H83)</f>
        <v>29744881.125</v>
      </c>
    </row>
    <row r="84" spans="1:9" ht="12.75">
      <c r="A84" s="134">
        <v>40630</v>
      </c>
      <c r="B84" s="135">
        <f aca="true" t="shared" si="5" ref="B84:B98">A84-A83</f>
        <v>87</v>
      </c>
      <c r="C84" s="60">
        <f aca="true" t="shared" si="6" ref="C84:C98">C83-D84</f>
        <v>40215000</v>
      </c>
      <c r="D84" s="59">
        <v>5745000</v>
      </c>
      <c r="E84" s="136"/>
      <c r="F84" s="135"/>
      <c r="G84" s="135"/>
      <c r="H84" s="135"/>
      <c r="I84" s="287"/>
    </row>
    <row r="85" spans="1:9" ht="12.75">
      <c r="A85" s="121">
        <v>40633</v>
      </c>
      <c r="B85" s="122">
        <f t="shared" si="5"/>
        <v>3</v>
      </c>
      <c r="C85" s="59">
        <f t="shared" si="6"/>
        <v>40215000</v>
      </c>
      <c r="D85" s="59"/>
      <c r="E85" s="123">
        <f>E83</f>
        <v>0.111</v>
      </c>
      <c r="F85" s="59">
        <f>((C84+D84)*E85/360*B84)+((C85+D85)*E85/360*B85)</f>
        <v>1270075.875</v>
      </c>
      <c r="G85" s="122"/>
      <c r="H85" s="122"/>
      <c r="I85" s="276"/>
    </row>
    <row r="86" spans="1:9" ht="12.75">
      <c r="A86" s="121">
        <v>40722</v>
      </c>
      <c r="B86" s="122">
        <f t="shared" si="5"/>
        <v>89</v>
      </c>
      <c r="C86" s="59">
        <f t="shared" si="6"/>
        <v>34470000</v>
      </c>
      <c r="D86" s="59">
        <v>5745000</v>
      </c>
      <c r="E86" s="126"/>
      <c r="F86" s="59"/>
      <c r="G86" s="122"/>
      <c r="H86" s="122"/>
      <c r="I86" s="276"/>
    </row>
    <row r="87" spans="1:9" ht="12.75">
      <c r="A87" s="121">
        <v>40724</v>
      </c>
      <c r="B87" s="122">
        <f t="shared" si="5"/>
        <v>2</v>
      </c>
      <c r="C87" s="59">
        <f t="shared" si="6"/>
        <v>34470000</v>
      </c>
      <c r="D87" s="59"/>
      <c r="E87" s="123">
        <f>E85</f>
        <v>0.111</v>
      </c>
      <c r="F87" s="59">
        <f>((C86+D86)*E87/360*B86)+((C87+D87)*E87/360*B87)</f>
        <v>1124823.125</v>
      </c>
      <c r="G87" s="122"/>
      <c r="H87" s="122"/>
      <c r="I87" s="276"/>
    </row>
    <row r="88" spans="1:9" ht="12.75">
      <c r="A88" s="121">
        <v>40814</v>
      </c>
      <c r="B88" s="122">
        <f t="shared" si="5"/>
        <v>90</v>
      </c>
      <c r="C88" s="59">
        <f t="shared" si="6"/>
        <v>28725000</v>
      </c>
      <c r="D88" s="59">
        <v>5745000</v>
      </c>
      <c r="E88" s="126"/>
      <c r="F88" s="122"/>
      <c r="G88" s="122"/>
      <c r="H88" s="122"/>
      <c r="I88" s="276"/>
    </row>
    <row r="89" spans="1:9" ht="12.75">
      <c r="A89" s="121">
        <v>40816</v>
      </c>
      <c r="B89" s="122">
        <f t="shared" si="5"/>
        <v>2</v>
      </c>
      <c r="C89" s="59">
        <f t="shared" si="6"/>
        <v>28725000</v>
      </c>
      <c r="D89" s="59"/>
      <c r="E89" s="123">
        <f>E87</f>
        <v>0.111</v>
      </c>
      <c r="F89" s="59">
        <f>((C88+D88)*E89/360*B88)+((C89+D89)*E89/360*B89)</f>
        <v>974256.25</v>
      </c>
      <c r="G89" s="122"/>
      <c r="H89" s="122"/>
      <c r="I89" s="276"/>
    </row>
    <row r="90" spans="1:9" ht="12.75">
      <c r="A90" s="121">
        <v>40905</v>
      </c>
      <c r="B90" s="122">
        <f t="shared" si="5"/>
        <v>89</v>
      </c>
      <c r="C90" s="59">
        <f t="shared" si="6"/>
        <v>22980000</v>
      </c>
      <c r="D90" s="59">
        <v>5745000</v>
      </c>
      <c r="E90" s="126"/>
      <c r="F90" s="122"/>
      <c r="G90" s="122"/>
      <c r="H90" s="122"/>
      <c r="I90" s="276"/>
    </row>
    <row r="91" spans="1:9" ht="12.75">
      <c r="A91" s="128">
        <v>40908</v>
      </c>
      <c r="B91" s="129">
        <f t="shared" si="5"/>
        <v>3</v>
      </c>
      <c r="C91" s="130">
        <f t="shared" si="6"/>
        <v>22980000</v>
      </c>
      <c r="D91" s="130"/>
      <c r="E91" s="131">
        <f>E89</f>
        <v>0.111</v>
      </c>
      <c r="F91" s="59">
        <f>((C90+D90)*E91/360*B90)+((C91+D91)*E91/360*B91)</f>
        <v>809518.375</v>
      </c>
      <c r="G91" s="132">
        <f>SUM(F85:F91)</f>
        <v>4178673.625</v>
      </c>
      <c r="H91" s="132">
        <f>SUM(D84:D91)</f>
        <v>22980000</v>
      </c>
      <c r="I91" s="133">
        <f>SUM(G91:H91)</f>
        <v>27158673.625</v>
      </c>
    </row>
    <row r="92" spans="1:9" ht="12.75">
      <c r="A92" s="134">
        <v>40996</v>
      </c>
      <c r="B92" s="135">
        <f t="shared" si="5"/>
        <v>88</v>
      </c>
      <c r="C92" s="60">
        <f t="shared" si="6"/>
        <v>17235000</v>
      </c>
      <c r="D92" s="60">
        <v>5745000</v>
      </c>
      <c r="E92" s="136"/>
      <c r="F92" s="135"/>
      <c r="G92" s="135"/>
      <c r="H92" s="135"/>
      <c r="I92" s="287"/>
    </row>
    <row r="93" spans="1:9" ht="12.75">
      <c r="A93" s="121">
        <v>40999</v>
      </c>
      <c r="B93" s="122">
        <f t="shared" si="5"/>
        <v>3</v>
      </c>
      <c r="C93" s="59">
        <f t="shared" si="6"/>
        <v>17235000</v>
      </c>
      <c r="D93" s="59"/>
      <c r="E93" s="123">
        <f>E91</f>
        <v>0.111</v>
      </c>
      <c r="F93" s="59">
        <f>((C92+D92)*E93/360*B92)+((C93+D93)*E93/360*B93)</f>
        <v>639466.375</v>
      </c>
      <c r="G93" s="122"/>
      <c r="H93" s="122"/>
      <c r="I93" s="276"/>
    </row>
    <row r="94" spans="1:9" ht="12.75">
      <c r="A94" s="121">
        <v>41088</v>
      </c>
      <c r="B94" s="122">
        <f t="shared" si="5"/>
        <v>89</v>
      </c>
      <c r="C94" s="59">
        <f t="shared" si="6"/>
        <v>11490000</v>
      </c>
      <c r="D94" s="59">
        <v>5745000</v>
      </c>
      <c r="E94" s="316"/>
      <c r="F94" s="143"/>
      <c r="G94" s="122"/>
      <c r="H94" s="122"/>
      <c r="I94" s="276"/>
    </row>
    <row r="95" spans="1:9" ht="12.75">
      <c r="A95" s="121">
        <v>41090</v>
      </c>
      <c r="B95" s="122">
        <f t="shared" si="5"/>
        <v>2</v>
      </c>
      <c r="C95" s="59">
        <f t="shared" si="6"/>
        <v>11490000</v>
      </c>
      <c r="D95" s="59"/>
      <c r="E95" s="123">
        <f>E93</f>
        <v>0.111</v>
      </c>
      <c r="F95" s="59">
        <f>((C94+D94)*E95/360*B94)+((C95+D95)*E95/360*B95)</f>
        <v>480042.625</v>
      </c>
      <c r="G95" s="122"/>
      <c r="H95" s="122"/>
      <c r="I95" s="276"/>
    </row>
    <row r="96" spans="1:9" ht="12.75">
      <c r="A96" s="121">
        <v>41180</v>
      </c>
      <c r="B96" s="122">
        <f t="shared" si="5"/>
        <v>90</v>
      </c>
      <c r="C96" s="59">
        <f t="shared" si="6"/>
        <v>5745000</v>
      </c>
      <c r="D96" s="59">
        <v>5745000</v>
      </c>
      <c r="E96" s="123"/>
      <c r="F96" s="59"/>
      <c r="G96" s="122"/>
      <c r="H96" s="122"/>
      <c r="I96" s="276"/>
    </row>
    <row r="97" spans="1:9" ht="12.75">
      <c r="A97" s="121">
        <v>41182</v>
      </c>
      <c r="B97" s="122">
        <f t="shared" si="5"/>
        <v>2</v>
      </c>
      <c r="C97" s="59">
        <f t="shared" si="6"/>
        <v>5745000</v>
      </c>
      <c r="D97" s="59"/>
      <c r="E97" s="123">
        <f>E95</f>
        <v>0.111</v>
      </c>
      <c r="F97" s="59">
        <f>((C96+D96)*E97/360*B96)+((C97+D97)*E97/360*B97)</f>
        <v>322390.25</v>
      </c>
      <c r="G97" s="122"/>
      <c r="H97" s="122"/>
      <c r="I97" s="276"/>
    </row>
    <row r="98" spans="1:9" ht="13.5" thickBot="1">
      <c r="A98" s="145">
        <v>41271</v>
      </c>
      <c r="B98" s="146">
        <f t="shared" si="5"/>
        <v>89</v>
      </c>
      <c r="C98" s="147">
        <f t="shared" si="6"/>
        <v>0</v>
      </c>
      <c r="D98" s="147">
        <v>5745000</v>
      </c>
      <c r="E98" s="148">
        <f>E97</f>
        <v>0.111</v>
      </c>
      <c r="F98" s="147">
        <f>((C98+D98)*E98/360*B98)</f>
        <v>157652.375</v>
      </c>
      <c r="G98" s="304">
        <f>SUM(F93:F98)</f>
        <v>1599551.625</v>
      </c>
      <c r="H98" s="304">
        <f>SUM(D92:D98)</f>
        <v>22980000</v>
      </c>
      <c r="I98" s="305">
        <f>SUM(G98:H98)</f>
        <v>24579551.625</v>
      </c>
    </row>
    <row r="99" spans="1:9" ht="13.5" thickTop="1">
      <c r="A99" s="353" t="s">
        <v>14</v>
      </c>
      <c r="B99" s="354"/>
      <c r="C99" s="355"/>
      <c r="D99" s="151">
        <f>SUM(D8:D98)</f>
        <v>247450000</v>
      </c>
      <c r="E99" s="152"/>
      <c r="F99" s="151">
        <f>SUM(F8:F98)</f>
        <v>141674425.3125</v>
      </c>
      <c r="G99" s="151">
        <f>SUM(G8:G98)</f>
        <v>141674425.3125</v>
      </c>
      <c r="H99" s="151">
        <f>SUM(H8:H98)</f>
        <v>247450000</v>
      </c>
      <c r="I99" s="153">
        <f>SUM(I8:I98)</f>
        <v>389124425.3125</v>
      </c>
    </row>
    <row r="100" spans="1:2" ht="12.75">
      <c r="A100" s="154"/>
      <c r="B100" s="87"/>
    </row>
    <row r="101" spans="1:2" ht="12.75">
      <c r="A101" s="154"/>
      <c r="B101" s="87"/>
    </row>
    <row r="102" spans="2:6" ht="12.75">
      <c r="B102" s="89" t="s">
        <v>164</v>
      </c>
      <c r="C102" s="89"/>
      <c r="D102" s="89"/>
      <c r="E102" s="89"/>
      <c r="F102" s="341">
        <v>143500000</v>
      </c>
    </row>
    <row r="103" spans="2:6" ht="12.75">
      <c r="B103" s="89" t="s">
        <v>165</v>
      </c>
      <c r="D103" s="89"/>
      <c r="E103" s="89"/>
      <c r="F103" s="341">
        <v>71550000</v>
      </c>
    </row>
    <row r="104" spans="2:6" ht="13.5" thickBot="1">
      <c r="B104" s="339" t="s">
        <v>166</v>
      </c>
      <c r="C104" s="345"/>
      <c r="D104" s="339"/>
      <c r="E104" s="339"/>
      <c r="F104" s="342">
        <v>32400000</v>
      </c>
    </row>
    <row r="105" spans="1:6" ht="13.5" thickTop="1">
      <c r="A105" s="87"/>
      <c r="B105" s="344" t="s">
        <v>161</v>
      </c>
      <c r="C105" s="200"/>
      <c r="D105" s="200"/>
      <c r="E105" s="356">
        <f>SUM(F102:F104)</f>
        <v>247450000</v>
      </c>
      <c r="F105" s="356"/>
    </row>
  </sheetData>
  <mergeCells count="2">
    <mergeCell ref="A99:C99"/>
    <mergeCell ref="E105:F105"/>
  </mergeCells>
  <printOptions horizontalCentered="1"/>
  <pageMargins left="0.5905511811023623" right="0.5905511811023623" top="0.7874015748031497" bottom="0.5905511811023623" header="0.1968503937007874" footer="0.1968503937007874"/>
  <pageSetup blackAndWhite="1" horizontalDpi="300" verticalDpi="300" orientation="portrait" paperSize="9" r:id="rId1"/>
  <headerFooter alignWithMargins="0">
    <oddHeader xml:space="preserve">&amp;C&amp;"Times New Roman CE,Félkövér"&amp;12Adósságszolgálat számítása az OTP tájékoztatása alapján&amp;"Times New Roman CE,Félkövér dőlt"
Na 600-as vezeték kiváltásához felvett 247.450 eFt hitel </oddHeader>
    <oddFooter>&amp;L&amp;9Nyomtatás dátuma: &amp;D
C:\Andi\adósságszolgálat\&amp;F\&amp;A&amp;R&amp;P/&amp;N</oddFooter>
  </headerFooter>
  <rowBreaks count="2" manualBreakCount="2">
    <brk id="51" max="255" man="1"/>
    <brk id="9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84"/>
  <sheetViews>
    <sheetView workbookViewId="0" topLeftCell="A1">
      <pane ySplit="7" topLeftCell="BM72" activePane="bottomLeft" state="frozen"/>
      <selection pane="topLeft" activeCell="A1" sqref="A1"/>
      <selection pane="bottomLeft" activeCell="A1" sqref="A1:IV16384"/>
    </sheetView>
  </sheetViews>
  <sheetFormatPr defaultColWidth="9.00390625" defaultRowHeight="12.75"/>
  <cols>
    <col min="1" max="1" width="10.625" style="89" customWidth="1"/>
    <col min="2" max="2" width="5.875" style="89" customWidth="1"/>
    <col min="3" max="3" width="11.50390625" style="155" customWidth="1"/>
    <col min="4" max="4" width="12.625" style="155" customWidth="1"/>
    <col min="5" max="5" width="8.00390625" style="156" customWidth="1"/>
    <col min="6" max="6" width="14.00390625" style="89" bestFit="1" customWidth="1"/>
    <col min="7" max="7" width="13.00390625" style="89" customWidth="1"/>
    <col min="8" max="9" width="12.375" style="89" customWidth="1"/>
    <col min="10" max="10" width="9.375" style="89" customWidth="1"/>
    <col min="11" max="11" width="11.125" style="89" bestFit="1" customWidth="1"/>
    <col min="12" max="16384" width="9.375" style="89" customWidth="1"/>
  </cols>
  <sheetData>
    <row r="1" spans="1:9" ht="12.75">
      <c r="A1" s="200" t="s">
        <v>113</v>
      </c>
      <c r="B1" s="199"/>
      <c r="C1" s="200"/>
      <c r="D1" s="200"/>
      <c r="E1" s="201"/>
      <c r="H1" s="200"/>
      <c r="I1" s="200"/>
    </row>
    <row r="2" spans="1:9" ht="12.75">
      <c r="A2" s="172" t="s">
        <v>15</v>
      </c>
      <c r="B2" s="170"/>
      <c r="C2" s="169"/>
      <c r="D2" s="169"/>
      <c r="E2" s="202"/>
      <c r="F2" s="169"/>
      <c r="G2" s="169"/>
      <c r="H2" s="169"/>
      <c r="I2" s="169"/>
    </row>
    <row r="3" spans="1:9" ht="12.75">
      <c r="A3" s="169" t="s">
        <v>67</v>
      </c>
      <c r="B3" s="170"/>
      <c r="C3" s="169"/>
      <c r="D3" s="169"/>
      <c r="F3" s="169"/>
      <c r="G3" s="169"/>
      <c r="H3" s="169"/>
      <c r="I3" s="169"/>
    </row>
    <row r="4" spans="1:9" ht="12.75">
      <c r="A4" s="171" t="s">
        <v>76</v>
      </c>
      <c r="B4" s="170"/>
      <c r="C4" s="169"/>
      <c r="D4" s="169"/>
      <c r="E4" s="202"/>
      <c r="F4" s="169"/>
      <c r="G4" s="169"/>
      <c r="H4" s="169"/>
      <c r="I4" s="169" t="s">
        <v>2</v>
      </c>
    </row>
    <row r="5" spans="1:9" ht="12.75">
      <c r="A5" s="97" t="s">
        <v>3</v>
      </c>
      <c r="B5" s="98" t="s">
        <v>4</v>
      </c>
      <c r="C5" s="99" t="s">
        <v>5</v>
      </c>
      <c r="D5" s="99" t="s">
        <v>21</v>
      </c>
      <c r="E5" s="99" t="s">
        <v>18</v>
      </c>
      <c r="F5" s="100" t="s">
        <v>20</v>
      </c>
      <c r="G5" s="101" t="s">
        <v>6</v>
      </c>
      <c r="H5" s="101" t="s">
        <v>6</v>
      </c>
      <c r="I5" s="102" t="s">
        <v>6</v>
      </c>
    </row>
    <row r="6" spans="1:9" ht="12.75">
      <c r="A6" s="103"/>
      <c r="B6" s="104" t="s">
        <v>7</v>
      </c>
      <c r="C6" s="105" t="s">
        <v>8</v>
      </c>
      <c r="D6" s="105" t="s">
        <v>13</v>
      </c>
      <c r="E6" s="105" t="s">
        <v>19</v>
      </c>
      <c r="F6" s="106" t="s">
        <v>13</v>
      </c>
      <c r="G6" s="107" t="s">
        <v>9</v>
      </c>
      <c r="H6" s="107" t="s">
        <v>11</v>
      </c>
      <c r="I6" s="108" t="s">
        <v>10</v>
      </c>
    </row>
    <row r="7" spans="1:9" ht="12.75">
      <c r="A7" s="109"/>
      <c r="B7" s="110"/>
      <c r="C7" s="111"/>
      <c r="D7" s="111"/>
      <c r="E7" s="111"/>
      <c r="F7" s="112"/>
      <c r="G7" s="112"/>
      <c r="H7" s="113" t="s">
        <v>13</v>
      </c>
      <c r="I7" s="114" t="s">
        <v>12</v>
      </c>
    </row>
    <row r="8" spans="1:9" ht="12.75">
      <c r="A8" s="115">
        <v>37251</v>
      </c>
      <c r="B8" s="174"/>
      <c r="C8" s="175">
        <v>139059100</v>
      </c>
      <c r="D8" s="175"/>
      <c r="E8" s="175"/>
      <c r="F8" s="175"/>
      <c r="G8" s="185"/>
      <c r="H8" s="185"/>
      <c r="I8" s="186"/>
    </row>
    <row r="9" spans="1:9" ht="12.75">
      <c r="A9" s="128">
        <v>37253</v>
      </c>
      <c r="B9" s="129">
        <f aca="true" t="shared" si="0" ref="B9:B15">A9-A8</f>
        <v>2</v>
      </c>
      <c r="C9" s="181">
        <f>C8-D9</f>
        <v>139059100</v>
      </c>
      <c r="D9" s="181"/>
      <c r="E9" s="131">
        <f>F9/(C9*B9)*365</f>
        <v>0.11173046208410668</v>
      </c>
      <c r="F9" s="181">
        <v>85135</v>
      </c>
      <c r="G9" s="182">
        <f>SUM(F8:F9)</f>
        <v>85135</v>
      </c>
      <c r="H9" s="182">
        <f>SUM(D8:D9)</f>
        <v>0</v>
      </c>
      <c r="I9" s="183">
        <f>SUM(G9:H9)</f>
        <v>85135</v>
      </c>
    </row>
    <row r="10" spans="1:9" ht="12.75">
      <c r="A10" s="115">
        <v>37344</v>
      </c>
      <c r="B10" s="116">
        <f t="shared" si="0"/>
        <v>91</v>
      </c>
      <c r="C10" s="175">
        <f>C9-D10</f>
        <v>139059100</v>
      </c>
      <c r="D10" s="175"/>
      <c r="E10" s="118">
        <f>F10/(C10*B10)*365</f>
        <v>0.0989087563299535</v>
      </c>
      <c r="F10" s="175">
        <v>3429120</v>
      </c>
      <c r="G10" s="185"/>
      <c r="H10" s="185"/>
      <c r="I10" s="186"/>
    </row>
    <row r="11" spans="1:9" ht="13.5" thickBot="1">
      <c r="A11" s="312">
        <v>37437</v>
      </c>
      <c r="B11" s="313">
        <f t="shared" si="0"/>
        <v>93</v>
      </c>
      <c r="C11" s="231">
        <f>(C10-D11)+147603900</f>
        <v>286663000</v>
      </c>
      <c r="D11" s="231"/>
      <c r="E11" s="317">
        <v>0.085</v>
      </c>
      <c r="F11" s="231">
        <v>3003020</v>
      </c>
      <c r="G11" s="233"/>
      <c r="H11" s="233"/>
      <c r="I11" s="234"/>
    </row>
    <row r="12" spans="1:9" ht="12.75">
      <c r="A12" s="318">
        <v>37527</v>
      </c>
      <c r="B12" s="319">
        <f t="shared" si="0"/>
        <v>90</v>
      </c>
      <c r="C12" s="248">
        <f>C11-D12</f>
        <v>272329850</v>
      </c>
      <c r="D12" s="248">
        <v>14333150</v>
      </c>
      <c r="E12" s="320"/>
      <c r="F12" s="248"/>
      <c r="G12" s="250"/>
      <c r="H12" s="250"/>
      <c r="I12" s="251"/>
    </row>
    <row r="13" spans="1:9" ht="12.75">
      <c r="A13" s="121">
        <v>37529</v>
      </c>
      <c r="B13" s="122">
        <f t="shared" si="0"/>
        <v>2</v>
      </c>
      <c r="C13" s="59">
        <f>C12-D13</f>
        <v>272329850</v>
      </c>
      <c r="D13" s="59"/>
      <c r="E13" s="123">
        <v>0.0931</v>
      </c>
      <c r="F13" s="59">
        <v>6949269</v>
      </c>
      <c r="G13" s="124"/>
      <c r="H13" s="124"/>
      <c r="I13" s="125"/>
    </row>
    <row r="14" spans="1:9" ht="12.75">
      <c r="A14" s="121">
        <v>37618</v>
      </c>
      <c r="B14" s="122">
        <f t="shared" si="0"/>
        <v>89</v>
      </c>
      <c r="C14" s="59">
        <f>C13-D14</f>
        <v>257996700</v>
      </c>
      <c r="D14" s="59">
        <v>14333150</v>
      </c>
      <c r="E14" s="123"/>
      <c r="F14" s="59"/>
      <c r="G14" s="124"/>
      <c r="H14" s="124"/>
      <c r="I14" s="125"/>
    </row>
    <row r="15" spans="1:9" ht="12.75">
      <c r="A15" s="128">
        <v>37621</v>
      </c>
      <c r="B15" s="122">
        <f t="shared" si="0"/>
        <v>3</v>
      </c>
      <c r="C15" s="284">
        <v>257996700</v>
      </c>
      <c r="D15" s="130"/>
      <c r="E15" s="131">
        <v>0.098</v>
      </c>
      <c r="F15" s="130">
        <v>6804938</v>
      </c>
      <c r="G15" s="132">
        <f>SUM(F10:F15)</f>
        <v>20186347</v>
      </c>
      <c r="H15" s="132">
        <f>SUM(D10:D15)</f>
        <v>28666300</v>
      </c>
      <c r="I15" s="133">
        <f>SUM(G15:H15)</f>
        <v>48852647</v>
      </c>
    </row>
    <row r="16" spans="1:9" ht="12.75">
      <c r="A16" s="134">
        <v>37708</v>
      </c>
      <c r="B16" s="135">
        <f aca="true" t="shared" si="1" ref="B16:B78">A16-A15</f>
        <v>87</v>
      </c>
      <c r="C16" s="60">
        <f aca="true" t="shared" si="2" ref="C16:C78">C15-D16</f>
        <v>249953000</v>
      </c>
      <c r="D16" s="60">
        <v>8043700</v>
      </c>
      <c r="E16" s="136"/>
      <c r="F16" s="135"/>
      <c r="G16" s="135"/>
      <c r="H16" s="135"/>
      <c r="I16" s="287"/>
    </row>
    <row r="17" spans="1:9" ht="12.75">
      <c r="A17" s="121">
        <v>37711</v>
      </c>
      <c r="B17" s="122">
        <f t="shared" si="1"/>
        <v>3</v>
      </c>
      <c r="C17" s="59">
        <f t="shared" si="2"/>
        <v>249953000</v>
      </c>
      <c r="D17" s="59"/>
      <c r="E17" s="123">
        <v>0.0847</v>
      </c>
      <c r="F17" s="59">
        <v>5466934</v>
      </c>
      <c r="G17" s="122"/>
      <c r="H17" s="122"/>
      <c r="I17" s="276"/>
    </row>
    <row r="18" spans="1:9" ht="12.75">
      <c r="A18" s="121">
        <v>37800</v>
      </c>
      <c r="B18" s="122">
        <f t="shared" si="1"/>
        <v>89</v>
      </c>
      <c r="C18" s="59">
        <f t="shared" si="2"/>
        <v>241890000</v>
      </c>
      <c r="D18" s="59">
        <v>8063000</v>
      </c>
      <c r="E18" s="126"/>
      <c r="F18" s="122"/>
      <c r="G18" s="122"/>
      <c r="H18" s="122"/>
      <c r="I18" s="276"/>
    </row>
    <row r="19" spans="1:11" ht="12.75">
      <c r="A19" s="121">
        <v>37802</v>
      </c>
      <c r="B19" s="122">
        <f t="shared" si="1"/>
        <v>2</v>
      </c>
      <c r="C19" s="59">
        <f t="shared" si="2"/>
        <v>241890000</v>
      </c>
      <c r="D19" s="59"/>
      <c r="E19" s="123">
        <v>0.0665</v>
      </c>
      <c r="F19" s="59">
        <v>4214277</v>
      </c>
      <c r="G19" s="122"/>
      <c r="H19" s="122"/>
      <c r="I19" s="276"/>
      <c r="K19" s="155"/>
    </row>
    <row r="20" spans="1:9" ht="12.75">
      <c r="A20" s="121">
        <v>37892</v>
      </c>
      <c r="B20" s="122">
        <f t="shared" si="1"/>
        <v>90</v>
      </c>
      <c r="C20" s="59">
        <f t="shared" si="2"/>
        <v>233827000</v>
      </c>
      <c r="D20" s="59">
        <v>8063000</v>
      </c>
      <c r="E20" s="126"/>
      <c r="F20" s="122"/>
      <c r="G20" s="122"/>
      <c r="H20" s="122"/>
      <c r="I20" s="276"/>
    </row>
    <row r="21" spans="1:9" ht="12.75">
      <c r="A21" s="121">
        <v>37894</v>
      </c>
      <c r="B21" s="122">
        <f t="shared" si="1"/>
        <v>2</v>
      </c>
      <c r="C21" s="59">
        <f t="shared" si="2"/>
        <v>233827000</v>
      </c>
      <c r="D21" s="59"/>
      <c r="E21" s="123">
        <v>0.0893</v>
      </c>
      <c r="F21" s="59">
        <v>5500879</v>
      </c>
      <c r="G21" s="122"/>
      <c r="H21" s="122"/>
      <c r="I21" s="276"/>
    </row>
    <row r="22" spans="1:11" ht="12.75">
      <c r="A22" s="121">
        <v>37983</v>
      </c>
      <c r="B22" s="122">
        <f t="shared" si="1"/>
        <v>89</v>
      </c>
      <c r="C22" s="59">
        <f t="shared" si="2"/>
        <v>225764000</v>
      </c>
      <c r="D22" s="59">
        <v>8063000</v>
      </c>
      <c r="E22" s="126"/>
      <c r="F22" s="122"/>
      <c r="G22" s="122"/>
      <c r="H22" s="122"/>
      <c r="I22" s="276"/>
      <c r="K22" s="155"/>
    </row>
    <row r="23" spans="1:9" ht="12.75">
      <c r="A23" s="128">
        <v>37986</v>
      </c>
      <c r="B23" s="129">
        <f t="shared" si="1"/>
        <v>3</v>
      </c>
      <c r="C23" s="130">
        <f t="shared" si="2"/>
        <v>225764000</v>
      </c>
      <c r="D23" s="130"/>
      <c r="E23" s="131">
        <v>0.0961</v>
      </c>
      <c r="F23" s="59">
        <v>5731657</v>
      </c>
      <c r="G23" s="132">
        <f>SUM(F17:F23)</f>
        <v>20913747</v>
      </c>
      <c r="H23" s="132">
        <f>SUM(D16:D23)</f>
        <v>32232700</v>
      </c>
      <c r="I23" s="133">
        <f>SUM(G23:H23)</f>
        <v>53146447</v>
      </c>
    </row>
    <row r="24" spans="1:9" ht="12.75">
      <c r="A24" s="134">
        <v>38074</v>
      </c>
      <c r="B24" s="135">
        <f t="shared" si="1"/>
        <v>88</v>
      </c>
      <c r="C24" s="60">
        <f t="shared" si="2"/>
        <v>217701000</v>
      </c>
      <c r="D24" s="59">
        <v>8063000</v>
      </c>
      <c r="E24" s="136"/>
      <c r="F24" s="135"/>
      <c r="G24" s="135"/>
      <c r="H24" s="135"/>
      <c r="I24" s="287"/>
    </row>
    <row r="25" spans="1:9" ht="12.75">
      <c r="A25" s="121">
        <v>38077</v>
      </c>
      <c r="B25" s="122">
        <f t="shared" si="1"/>
        <v>3</v>
      </c>
      <c r="C25" s="59">
        <f t="shared" si="2"/>
        <v>217701000</v>
      </c>
      <c r="D25" s="59"/>
      <c r="E25" s="123">
        <v>0.1255</v>
      </c>
      <c r="F25" s="59">
        <f>((C24+D24)*E25/360*B24)+((C25+D25)*E25/360*B25)</f>
        <v>7153616.784722222</v>
      </c>
      <c r="G25" s="122"/>
      <c r="H25" s="122"/>
      <c r="I25" s="276"/>
    </row>
    <row r="26" spans="1:9" ht="12.75">
      <c r="A26" s="121">
        <v>38166</v>
      </c>
      <c r="B26" s="122">
        <f t="shared" si="1"/>
        <v>89</v>
      </c>
      <c r="C26" s="59">
        <f t="shared" si="2"/>
        <v>209638000</v>
      </c>
      <c r="D26" s="59">
        <v>8063000</v>
      </c>
      <c r="E26" s="126"/>
      <c r="F26" s="122"/>
      <c r="G26" s="122"/>
      <c r="H26" s="122"/>
      <c r="I26" s="276"/>
    </row>
    <row r="27" spans="1:9" ht="12.75">
      <c r="A27" s="121">
        <v>38168</v>
      </c>
      <c r="B27" s="122">
        <f t="shared" si="1"/>
        <v>2</v>
      </c>
      <c r="C27" s="59">
        <f t="shared" si="2"/>
        <v>209638000</v>
      </c>
      <c r="D27" s="59"/>
      <c r="E27" s="123">
        <v>0.1197</v>
      </c>
      <c r="F27" s="59">
        <v>6585234</v>
      </c>
      <c r="G27" s="122"/>
      <c r="H27" s="122"/>
      <c r="I27" s="276"/>
    </row>
    <row r="28" spans="1:9" ht="12.75">
      <c r="A28" s="121">
        <v>38258</v>
      </c>
      <c r="B28" s="122">
        <f t="shared" si="1"/>
        <v>90</v>
      </c>
      <c r="C28" s="59">
        <f t="shared" si="2"/>
        <v>201575000</v>
      </c>
      <c r="D28" s="59">
        <v>8063000</v>
      </c>
      <c r="E28" s="126"/>
      <c r="F28" s="122"/>
      <c r="G28" s="122"/>
      <c r="H28" s="122"/>
      <c r="I28" s="276"/>
    </row>
    <row r="29" spans="1:9" ht="12.75">
      <c r="A29" s="121">
        <v>38260</v>
      </c>
      <c r="B29" s="122">
        <f t="shared" si="1"/>
        <v>2</v>
      </c>
      <c r="C29" s="59">
        <f t="shared" si="2"/>
        <v>201575000</v>
      </c>
      <c r="D29" s="59"/>
      <c r="E29" s="123">
        <v>0.1167</v>
      </c>
      <c r="F29" s="59">
        <v>6248623</v>
      </c>
      <c r="G29" s="122"/>
      <c r="H29" s="122"/>
      <c r="I29" s="276"/>
    </row>
    <row r="30" spans="1:9" ht="12.75">
      <c r="A30" s="121">
        <v>38349</v>
      </c>
      <c r="B30" s="122">
        <f t="shared" si="1"/>
        <v>89</v>
      </c>
      <c r="C30" s="59">
        <f t="shared" si="2"/>
        <v>193512000</v>
      </c>
      <c r="D30" s="59">
        <v>8063000</v>
      </c>
      <c r="E30" s="126"/>
      <c r="F30" s="122"/>
      <c r="G30" s="122"/>
      <c r="H30" s="122"/>
      <c r="I30" s="276"/>
    </row>
    <row r="31" spans="1:9" ht="12.75">
      <c r="A31" s="128">
        <v>38352</v>
      </c>
      <c r="B31" s="129">
        <f t="shared" si="1"/>
        <v>3</v>
      </c>
      <c r="C31" s="130">
        <f t="shared" si="2"/>
        <v>193512000</v>
      </c>
      <c r="D31" s="130"/>
      <c r="E31" s="131">
        <v>0.111</v>
      </c>
      <c r="F31" s="59">
        <f>((C30+D30)*E31/360*B30)+((C31+D31)*E31/360*B31)</f>
        <v>5710552.558333333</v>
      </c>
      <c r="G31" s="132">
        <f>SUM(F25:F31)</f>
        <v>25698026.343055557</v>
      </c>
      <c r="H31" s="132">
        <f>SUM(D24:D31)</f>
        <v>32252000</v>
      </c>
      <c r="I31" s="133">
        <f>SUM(G31:H31)</f>
        <v>57950026.34305556</v>
      </c>
    </row>
    <row r="32" spans="1:9" ht="12.75">
      <c r="A32" s="134">
        <v>38439</v>
      </c>
      <c r="B32" s="135">
        <f t="shared" si="1"/>
        <v>87</v>
      </c>
      <c r="C32" s="60">
        <f t="shared" si="2"/>
        <v>185449000</v>
      </c>
      <c r="D32" s="59">
        <v>8063000</v>
      </c>
      <c r="E32" s="136"/>
      <c r="F32" s="135"/>
      <c r="G32" s="135"/>
      <c r="H32" s="135"/>
      <c r="I32" s="287"/>
    </row>
    <row r="33" spans="1:9" ht="12.75">
      <c r="A33" s="121">
        <v>38442</v>
      </c>
      <c r="B33" s="122">
        <f t="shared" si="1"/>
        <v>3</v>
      </c>
      <c r="C33" s="59">
        <f t="shared" si="2"/>
        <v>185449000</v>
      </c>
      <c r="D33" s="59"/>
      <c r="E33" s="123">
        <f>E31</f>
        <v>0.111</v>
      </c>
      <c r="F33" s="59">
        <f>((C32+D32)*E33/360*B32)+((C33+D33)*E33/360*B33)</f>
        <v>5362499.725</v>
      </c>
      <c r="G33" s="122"/>
      <c r="H33" s="122"/>
      <c r="I33" s="276"/>
    </row>
    <row r="34" spans="1:9" ht="12.75">
      <c r="A34" s="121">
        <v>38531</v>
      </c>
      <c r="B34" s="122">
        <f t="shared" si="1"/>
        <v>89</v>
      </c>
      <c r="C34" s="59">
        <f t="shared" si="2"/>
        <v>177386000</v>
      </c>
      <c r="D34" s="59">
        <v>8063000</v>
      </c>
      <c r="E34" s="126"/>
      <c r="F34" s="122"/>
      <c r="G34" s="122"/>
      <c r="H34" s="122"/>
      <c r="I34" s="276"/>
    </row>
    <row r="35" spans="1:9" ht="12.75">
      <c r="A35" s="121">
        <v>38533</v>
      </c>
      <c r="B35" s="122">
        <f t="shared" si="1"/>
        <v>2</v>
      </c>
      <c r="C35" s="59">
        <f t="shared" si="2"/>
        <v>177386000</v>
      </c>
      <c r="D35" s="59"/>
      <c r="E35" s="123">
        <f>E33</f>
        <v>0.111</v>
      </c>
      <c r="F35" s="59">
        <f>((C34+D34)*E35/360*B34)+((C35+D35)*E35/360*B35)</f>
        <v>5198417.675</v>
      </c>
      <c r="G35" s="122"/>
      <c r="H35" s="122"/>
      <c r="I35" s="276"/>
    </row>
    <row r="36" spans="1:9" ht="12.75">
      <c r="A36" s="121">
        <v>38623</v>
      </c>
      <c r="B36" s="122">
        <f t="shared" si="1"/>
        <v>90</v>
      </c>
      <c r="C36" s="59">
        <f t="shared" si="2"/>
        <v>169323000</v>
      </c>
      <c r="D36" s="59">
        <v>8063000</v>
      </c>
      <c r="E36" s="126"/>
      <c r="F36" s="122"/>
      <c r="G36" s="122"/>
      <c r="H36" s="122"/>
      <c r="I36" s="276"/>
    </row>
    <row r="37" spans="1:9" ht="12.75">
      <c r="A37" s="121">
        <v>38625</v>
      </c>
      <c r="B37" s="122">
        <f t="shared" si="1"/>
        <v>2</v>
      </c>
      <c r="C37" s="59">
        <f t="shared" si="2"/>
        <v>169323000</v>
      </c>
      <c r="D37" s="59"/>
      <c r="E37" s="123">
        <f>E35</f>
        <v>0.111</v>
      </c>
      <c r="F37" s="59">
        <f>((C36+D36)*E37/360*B36)+((C37+D37)*E37/360*B37)</f>
        <v>5026877.35</v>
      </c>
      <c r="G37" s="122"/>
      <c r="H37" s="122"/>
      <c r="I37" s="276"/>
    </row>
    <row r="38" spans="1:9" ht="12.75">
      <c r="A38" s="121">
        <v>38714</v>
      </c>
      <c r="B38" s="122">
        <f t="shared" si="1"/>
        <v>89</v>
      </c>
      <c r="C38" s="59">
        <f t="shared" si="2"/>
        <v>161260000</v>
      </c>
      <c r="D38" s="59">
        <v>8063000</v>
      </c>
      <c r="E38" s="126"/>
      <c r="F38" s="122"/>
      <c r="G38" s="122"/>
      <c r="H38" s="122"/>
      <c r="I38" s="276"/>
    </row>
    <row r="39" spans="1:9" ht="12.75">
      <c r="A39" s="128">
        <v>38717</v>
      </c>
      <c r="B39" s="129">
        <f t="shared" si="1"/>
        <v>3</v>
      </c>
      <c r="C39" s="130">
        <f t="shared" si="2"/>
        <v>161260000</v>
      </c>
      <c r="D39" s="130"/>
      <c r="E39" s="131">
        <f>E37</f>
        <v>0.111</v>
      </c>
      <c r="F39" s="59">
        <f>((C38+D38)*E39/360*B38)+((C39+D39)*E39/360*B39)</f>
        <v>4795670.825</v>
      </c>
      <c r="G39" s="132">
        <f>SUM(F33:F39)</f>
        <v>20383465.575</v>
      </c>
      <c r="H39" s="132">
        <f>SUM(D32:D39)</f>
        <v>32252000</v>
      </c>
      <c r="I39" s="133">
        <f>SUM(G39:H39)</f>
        <v>52635465.575</v>
      </c>
    </row>
    <row r="40" spans="1:9" ht="12.75">
      <c r="A40" s="134">
        <v>38804</v>
      </c>
      <c r="B40" s="135">
        <f t="shared" si="1"/>
        <v>87</v>
      </c>
      <c r="C40" s="60">
        <f t="shared" si="2"/>
        <v>153197000</v>
      </c>
      <c r="D40" s="59">
        <v>8063000</v>
      </c>
      <c r="E40" s="136"/>
      <c r="F40" s="135"/>
      <c r="G40" s="135"/>
      <c r="H40" s="135"/>
      <c r="I40" s="287"/>
    </row>
    <row r="41" spans="1:9" ht="12.75">
      <c r="A41" s="121">
        <v>38807</v>
      </c>
      <c r="B41" s="122">
        <f t="shared" si="1"/>
        <v>3</v>
      </c>
      <c r="C41" s="59">
        <f t="shared" si="2"/>
        <v>153197000</v>
      </c>
      <c r="D41" s="59"/>
      <c r="E41" s="123">
        <f>E39</f>
        <v>0.111</v>
      </c>
      <c r="F41" s="59">
        <f>((C40+D40)*E41/360*B40)+((C41+D41)*E41/360*B41)</f>
        <v>4467506.725</v>
      </c>
      <c r="G41" s="122"/>
      <c r="H41" s="122"/>
      <c r="I41" s="276"/>
    </row>
    <row r="42" spans="1:9" ht="12.75">
      <c r="A42" s="121">
        <v>38896</v>
      </c>
      <c r="B42" s="122">
        <f t="shared" si="1"/>
        <v>89</v>
      </c>
      <c r="C42" s="59">
        <f t="shared" si="2"/>
        <v>145134000</v>
      </c>
      <c r="D42" s="59">
        <v>8063000</v>
      </c>
      <c r="E42" s="126"/>
      <c r="F42" s="122"/>
      <c r="G42" s="122"/>
      <c r="H42" s="122"/>
      <c r="I42" s="276"/>
    </row>
    <row r="43" spans="1:9" ht="12.75">
      <c r="A43" s="121">
        <v>38898</v>
      </c>
      <c r="B43" s="122">
        <f t="shared" si="1"/>
        <v>2</v>
      </c>
      <c r="C43" s="59">
        <f t="shared" si="2"/>
        <v>145134000</v>
      </c>
      <c r="D43" s="59"/>
      <c r="E43" s="123">
        <f>E41</f>
        <v>0.111</v>
      </c>
      <c r="F43" s="59">
        <f>((C42+D42)*E43/360*B42)+((C43+D43)*E43/360*B43)</f>
        <v>4293480.308333334</v>
      </c>
      <c r="G43" s="122"/>
      <c r="H43" s="122"/>
      <c r="I43" s="276"/>
    </row>
    <row r="44" spans="1:9" ht="12.75">
      <c r="A44" s="121">
        <v>38988</v>
      </c>
      <c r="B44" s="122">
        <f t="shared" si="1"/>
        <v>90</v>
      </c>
      <c r="C44" s="59">
        <f t="shared" si="2"/>
        <v>137071000</v>
      </c>
      <c r="D44" s="59">
        <v>8063000</v>
      </c>
      <c r="E44" s="126"/>
      <c r="F44" s="122"/>
      <c r="G44" s="122"/>
      <c r="H44" s="122"/>
      <c r="I44" s="276"/>
    </row>
    <row r="45" spans="1:9" ht="12.75">
      <c r="A45" s="121">
        <v>38990</v>
      </c>
      <c r="B45" s="122">
        <f t="shared" si="1"/>
        <v>2</v>
      </c>
      <c r="C45" s="59">
        <f t="shared" si="2"/>
        <v>137071000</v>
      </c>
      <c r="D45" s="59"/>
      <c r="E45" s="123">
        <f>E43</f>
        <v>0.111</v>
      </c>
      <c r="F45" s="59">
        <f>((C44+D44)*E45/360*B44)+((C45+D45)*E45/360*B45)</f>
        <v>4111995.6166666667</v>
      </c>
      <c r="G45" s="122"/>
      <c r="H45" s="122"/>
      <c r="I45" s="276"/>
    </row>
    <row r="46" spans="1:9" ht="12.75">
      <c r="A46" s="121">
        <v>39079</v>
      </c>
      <c r="B46" s="122">
        <f t="shared" si="1"/>
        <v>89</v>
      </c>
      <c r="C46" s="59">
        <f t="shared" si="2"/>
        <v>129008000</v>
      </c>
      <c r="D46" s="59">
        <v>8063000</v>
      </c>
      <c r="E46" s="126"/>
      <c r="F46" s="122"/>
      <c r="G46" s="122"/>
      <c r="H46" s="122"/>
      <c r="I46" s="276"/>
    </row>
    <row r="47" spans="1:9" ht="12.75">
      <c r="A47" s="128">
        <v>39082</v>
      </c>
      <c r="B47" s="129">
        <f t="shared" si="1"/>
        <v>3</v>
      </c>
      <c r="C47" s="130">
        <f t="shared" si="2"/>
        <v>129008000</v>
      </c>
      <c r="D47" s="130"/>
      <c r="E47" s="131">
        <f>E45</f>
        <v>0.111</v>
      </c>
      <c r="F47" s="59">
        <f>((C46+D46)*E47/360*B46)+((C47+D47)*E47/360*B47)</f>
        <v>3880789.091666667</v>
      </c>
      <c r="G47" s="132">
        <f>SUM(F41:F47)</f>
        <v>16753771.741666667</v>
      </c>
      <c r="H47" s="132">
        <f>SUM(D40:D47)</f>
        <v>32252000</v>
      </c>
      <c r="I47" s="133">
        <f>SUM(G47:H47)</f>
        <v>49005771.74166667</v>
      </c>
    </row>
    <row r="48" spans="1:9" ht="12.75">
      <c r="A48" s="134">
        <v>39169</v>
      </c>
      <c r="B48" s="135">
        <f t="shared" si="1"/>
        <v>87</v>
      </c>
      <c r="C48" s="60">
        <f t="shared" si="2"/>
        <v>120945000</v>
      </c>
      <c r="D48" s="59">
        <v>8063000</v>
      </c>
      <c r="E48" s="136"/>
      <c r="F48" s="135"/>
      <c r="G48" s="135"/>
      <c r="H48" s="135"/>
      <c r="I48" s="287"/>
    </row>
    <row r="49" spans="1:9" ht="12.75">
      <c r="A49" s="121">
        <v>39172</v>
      </c>
      <c r="B49" s="122">
        <f t="shared" si="1"/>
        <v>3</v>
      </c>
      <c r="C49" s="59">
        <f t="shared" si="2"/>
        <v>120945000</v>
      </c>
      <c r="D49" s="59"/>
      <c r="E49" s="123">
        <f>E47</f>
        <v>0.111</v>
      </c>
      <c r="F49" s="59">
        <f>((C48+D48)*E49/360*B48)+((C49+D49)*E49/360*B49)</f>
        <v>3572513.725</v>
      </c>
      <c r="G49" s="122"/>
      <c r="H49" s="122"/>
      <c r="I49" s="276"/>
    </row>
    <row r="50" spans="1:9" ht="12.75">
      <c r="A50" s="121">
        <v>39261</v>
      </c>
      <c r="B50" s="122">
        <f t="shared" si="1"/>
        <v>89</v>
      </c>
      <c r="C50" s="59">
        <f t="shared" si="2"/>
        <v>112882000</v>
      </c>
      <c r="D50" s="59">
        <v>8063000</v>
      </c>
      <c r="E50" s="126"/>
      <c r="F50" s="122"/>
      <c r="G50" s="122"/>
      <c r="H50" s="122"/>
      <c r="I50" s="276"/>
    </row>
    <row r="51" spans="1:9" ht="12.75">
      <c r="A51" s="121">
        <v>39263</v>
      </c>
      <c r="B51" s="122">
        <f t="shared" si="1"/>
        <v>2</v>
      </c>
      <c r="C51" s="59">
        <f t="shared" si="2"/>
        <v>112882000</v>
      </c>
      <c r="D51" s="59"/>
      <c r="E51" s="123">
        <f>E49</f>
        <v>0.111</v>
      </c>
      <c r="F51" s="59">
        <f>((C50+D50)*E51/360*B50)+((C51+D51)*E51/360*B51)</f>
        <v>3388542.941666667</v>
      </c>
      <c r="G51" s="122"/>
      <c r="H51" s="122"/>
      <c r="I51" s="276"/>
    </row>
    <row r="52" spans="1:9" ht="12.75">
      <c r="A52" s="121">
        <v>39353</v>
      </c>
      <c r="B52" s="122">
        <f t="shared" si="1"/>
        <v>90</v>
      </c>
      <c r="C52" s="59">
        <f t="shared" si="2"/>
        <v>104819000</v>
      </c>
      <c r="D52" s="59">
        <v>8063000</v>
      </c>
      <c r="E52" s="126"/>
      <c r="F52" s="122"/>
      <c r="G52" s="122"/>
      <c r="H52" s="122"/>
      <c r="I52" s="276"/>
    </row>
    <row r="53" spans="1:9" ht="12.75">
      <c r="A53" s="121">
        <v>39355</v>
      </c>
      <c r="B53" s="122">
        <f t="shared" si="1"/>
        <v>2</v>
      </c>
      <c r="C53" s="59">
        <f t="shared" si="2"/>
        <v>104819000</v>
      </c>
      <c r="D53" s="59"/>
      <c r="E53" s="123">
        <f>E51</f>
        <v>0.111</v>
      </c>
      <c r="F53" s="59">
        <f>((C52+D52)*E53/360*B52)+((C53+D53)*E53/360*B53)</f>
        <v>3197113.8833333333</v>
      </c>
      <c r="G53" s="122"/>
      <c r="H53" s="122"/>
      <c r="I53" s="276"/>
    </row>
    <row r="54" spans="1:9" ht="12.75">
      <c r="A54" s="121">
        <v>39444</v>
      </c>
      <c r="B54" s="122">
        <f t="shared" si="1"/>
        <v>89</v>
      </c>
      <c r="C54" s="59">
        <f t="shared" si="2"/>
        <v>96756000</v>
      </c>
      <c r="D54" s="59">
        <v>8063000</v>
      </c>
      <c r="E54" s="126"/>
      <c r="F54" s="122"/>
      <c r="G54" s="122"/>
      <c r="H54" s="122"/>
      <c r="I54" s="276"/>
    </row>
    <row r="55" spans="1:9" ht="12.75">
      <c r="A55" s="128">
        <v>39447</v>
      </c>
      <c r="B55" s="129">
        <f t="shared" si="1"/>
        <v>3</v>
      </c>
      <c r="C55" s="130">
        <f t="shared" si="2"/>
        <v>96756000</v>
      </c>
      <c r="D55" s="130"/>
      <c r="E55" s="131">
        <f>E53</f>
        <v>0.111</v>
      </c>
      <c r="F55" s="130">
        <f>((C54+D54)*E55/360*B54)+((C55+D55)*E55/360*B55)</f>
        <v>2965907.358333333</v>
      </c>
      <c r="G55" s="132">
        <f>SUM(F49:F55)</f>
        <v>13124077.908333333</v>
      </c>
      <c r="H55" s="132">
        <f>SUM(D48:D55)</f>
        <v>32252000</v>
      </c>
      <c r="I55" s="133">
        <f>SUM(G55:H55)</f>
        <v>45376077.90833333</v>
      </c>
    </row>
    <row r="56" spans="1:9" ht="12.75">
      <c r="A56" s="134">
        <v>39535</v>
      </c>
      <c r="B56" s="135">
        <f t="shared" si="1"/>
        <v>88</v>
      </c>
      <c r="C56" s="60">
        <f t="shared" si="2"/>
        <v>88693000</v>
      </c>
      <c r="D56" s="60">
        <v>8063000</v>
      </c>
      <c r="E56" s="136"/>
      <c r="F56" s="135"/>
      <c r="G56" s="135"/>
      <c r="H56" s="135"/>
      <c r="I56" s="287"/>
    </row>
    <row r="57" spans="1:9" ht="12.75">
      <c r="A57" s="121">
        <v>39538</v>
      </c>
      <c r="B57" s="122">
        <f t="shared" si="1"/>
        <v>3</v>
      </c>
      <c r="C57" s="59">
        <f t="shared" si="2"/>
        <v>88693000</v>
      </c>
      <c r="D57" s="59"/>
      <c r="E57" s="123">
        <f>E55</f>
        <v>0.111</v>
      </c>
      <c r="F57" s="59">
        <f>((C56+D56)*E57/360*B56)+((C57+D57)*E57/360*B57)</f>
        <v>2707353.8249999997</v>
      </c>
      <c r="G57" s="122"/>
      <c r="H57" s="122"/>
      <c r="I57" s="276"/>
    </row>
    <row r="58" spans="1:9" ht="12.75">
      <c r="A58" s="121">
        <v>39627</v>
      </c>
      <c r="B58" s="122">
        <f t="shared" si="1"/>
        <v>89</v>
      </c>
      <c r="C58" s="59">
        <f t="shared" si="2"/>
        <v>80630000</v>
      </c>
      <c r="D58" s="59">
        <v>8063000</v>
      </c>
      <c r="E58" s="126"/>
      <c r="F58" s="122"/>
      <c r="G58" s="122"/>
      <c r="H58" s="122"/>
      <c r="I58" s="276"/>
    </row>
    <row r="59" spans="1:9" ht="12.75">
      <c r="A59" s="121">
        <v>39629</v>
      </c>
      <c r="B59" s="122">
        <f t="shared" si="1"/>
        <v>2</v>
      </c>
      <c r="C59" s="59">
        <f t="shared" si="2"/>
        <v>80630000</v>
      </c>
      <c r="D59" s="59"/>
      <c r="E59" s="123">
        <f>E57</f>
        <v>0.111</v>
      </c>
      <c r="F59" s="59">
        <f>((C58+D58)*E59/360*B58)+((C59+D59)*E59/360*B59)</f>
        <v>2483605.575</v>
      </c>
      <c r="G59" s="122"/>
      <c r="H59" s="122"/>
      <c r="I59" s="276"/>
    </row>
    <row r="60" spans="1:9" ht="12.75">
      <c r="A60" s="121">
        <v>39719</v>
      </c>
      <c r="B60" s="122">
        <f t="shared" si="1"/>
        <v>90</v>
      </c>
      <c r="C60" s="59">
        <f t="shared" si="2"/>
        <v>72567000</v>
      </c>
      <c r="D60" s="59">
        <v>8063000</v>
      </c>
      <c r="E60" s="126"/>
      <c r="F60" s="122"/>
      <c r="G60" s="122"/>
      <c r="H60" s="122"/>
      <c r="I60" s="276"/>
    </row>
    <row r="61" spans="1:9" ht="12.75">
      <c r="A61" s="121">
        <v>39721</v>
      </c>
      <c r="B61" s="122">
        <f t="shared" si="1"/>
        <v>2</v>
      </c>
      <c r="C61" s="59">
        <f t="shared" si="2"/>
        <v>72567000</v>
      </c>
      <c r="D61" s="59"/>
      <c r="E61" s="123">
        <f>E59</f>
        <v>0.111</v>
      </c>
      <c r="F61" s="59">
        <f>((C60+D60)*E61/360*B60)+((C61+D61)*E61/360*B61)</f>
        <v>2282232.15</v>
      </c>
      <c r="G61" s="122"/>
      <c r="H61" s="122"/>
      <c r="I61" s="276"/>
    </row>
    <row r="62" spans="1:9" ht="12.75">
      <c r="A62" s="121">
        <v>39810</v>
      </c>
      <c r="B62" s="122">
        <f t="shared" si="1"/>
        <v>89</v>
      </c>
      <c r="C62" s="59">
        <f t="shared" si="2"/>
        <v>64504000</v>
      </c>
      <c r="D62" s="59">
        <v>8063000</v>
      </c>
      <c r="E62" s="126"/>
      <c r="F62" s="122"/>
      <c r="G62" s="122"/>
      <c r="H62" s="122"/>
      <c r="I62" s="276"/>
    </row>
    <row r="63" spans="1:9" ht="12.75">
      <c r="A63" s="128">
        <v>39813</v>
      </c>
      <c r="B63" s="129">
        <f t="shared" si="1"/>
        <v>3</v>
      </c>
      <c r="C63" s="130">
        <f t="shared" si="2"/>
        <v>64504000</v>
      </c>
      <c r="D63" s="130"/>
      <c r="E63" s="131">
        <f>E61</f>
        <v>0.111</v>
      </c>
      <c r="F63" s="59">
        <f>((C62+D62)*E63/360*B62)+((C63+D63)*E63/360*B63)</f>
        <v>2051025.625</v>
      </c>
      <c r="G63" s="132">
        <f>SUM(F57:F63)</f>
        <v>9524217.175</v>
      </c>
      <c r="H63" s="132">
        <f>SUM(D56:D63)</f>
        <v>32252000</v>
      </c>
      <c r="I63" s="133">
        <f>SUM(G63:H63)</f>
        <v>41776217.175</v>
      </c>
    </row>
    <row r="64" spans="1:9" ht="12.75">
      <c r="A64" s="134">
        <v>39900</v>
      </c>
      <c r="B64" s="135">
        <f t="shared" si="1"/>
        <v>87</v>
      </c>
      <c r="C64" s="60">
        <f t="shared" si="2"/>
        <v>56441000</v>
      </c>
      <c r="D64" s="59">
        <v>8063000</v>
      </c>
      <c r="E64" s="136"/>
      <c r="F64" s="135"/>
      <c r="G64" s="135"/>
      <c r="H64" s="135"/>
      <c r="I64" s="287"/>
    </row>
    <row r="65" spans="1:9" ht="12.75">
      <c r="A65" s="121">
        <v>39903</v>
      </c>
      <c r="B65" s="122">
        <f t="shared" si="1"/>
        <v>3</v>
      </c>
      <c r="C65" s="59">
        <f t="shared" si="2"/>
        <v>56441000</v>
      </c>
      <c r="D65" s="59"/>
      <c r="E65" s="123">
        <f>E63</f>
        <v>0.111</v>
      </c>
      <c r="F65" s="59">
        <f>((C64+D64)*E65/360*B64)+((C65+D65)*E65/360*B65)</f>
        <v>1782527.725</v>
      </c>
      <c r="G65" s="122"/>
      <c r="H65" s="122"/>
      <c r="I65" s="276"/>
    </row>
    <row r="66" spans="1:9" ht="12.75">
      <c r="A66" s="121">
        <v>39992</v>
      </c>
      <c r="B66" s="122">
        <f t="shared" si="1"/>
        <v>89</v>
      </c>
      <c r="C66" s="59">
        <f t="shared" si="2"/>
        <v>48378000</v>
      </c>
      <c r="D66" s="59">
        <v>8063000</v>
      </c>
      <c r="E66" s="126"/>
      <c r="F66" s="122"/>
      <c r="G66" s="122"/>
      <c r="H66" s="122"/>
      <c r="I66" s="276"/>
    </row>
    <row r="67" spans="1:9" ht="12.75">
      <c r="A67" s="121">
        <v>39994</v>
      </c>
      <c r="B67" s="122">
        <f t="shared" si="1"/>
        <v>2</v>
      </c>
      <c r="C67" s="59">
        <f t="shared" si="2"/>
        <v>48378000</v>
      </c>
      <c r="D67" s="59"/>
      <c r="E67" s="123">
        <f>E65</f>
        <v>0.111</v>
      </c>
      <c r="F67" s="59">
        <f>((C66+D66)*E67/360*B66)+((C67+D67)*E67/360*B67)</f>
        <v>1578668.2083333335</v>
      </c>
      <c r="G67" s="122"/>
      <c r="H67" s="122"/>
      <c r="I67" s="276"/>
    </row>
    <row r="68" spans="1:9" ht="12.75">
      <c r="A68" s="121">
        <v>40084</v>
      </c>
      <c r="B68" s="122">
        <f t="shared" si="1"/>
        <v>90</v>
      </c>
      <c r="C68" s="59">
        <f t="shared" si="2"/>
        <v>40315000</v>
      </c>
      <c r="D68" s="59">
        <v>8063000</v>
      </c>
      <c r="E68" s="126"/>
      <c r="F68" s="122"/>
      <c r="G68" s="122"/>
      <c r="H68" s="122"/>
      <c r="I68" s="276"/>
    </row>
    <row r="69" spans="1:9" ht="12.75">
      <c r="A69" s="121">
        <v>40086</v>
      </c>
      <c r="B69" s="122">
        <f t="shared" si="1"/>
        <v>2</v>
      </c>
      <c r="C69" s="59">
        <f t="shared" si="2"/>
        <v>40315000</v>
      </c>
      <c r="D69" s="59"/>
      <c r="E69" s="123">
        <f>E67</f>
        <v>0.111</v>
      </c>
      <c r="F69" s="59">
        <f>((C68+D68)*E69/360*B68)+((C69+D69)*E69/360*B69)</f>
        <v>1367350.4166666667</v>
      </c>
      <c r="G69" s="122"/>
      <c r="H69" s="122"/>
      <c r="I69" s="276"/>
    </row>
    <row r="70" spans="1:9" ht="12.75">
      <c r="A70" s="121">
        <v>40175</v>
      </c>
      <c r="B70" s="122">
        <f t="shared" si="1"/>
        <v>89</v>
      </c>
      <c r="C70" s="59">
        <f t="shared" si="2"/>
        <v>32252000</v>
      </c>
      <c r="D70" s="59">
        <v>8063000</v>
      </c>
      <c r="E70" s="126"/>
      <c r="F70" s="122"/>
      <c r="G70" s="122"/>
      <c r="H70" s="122"/>
      <c r="I70" s="276"/>
    </row>
    <row r="71" spans="1:9" ht="12.75">
      <c r="A71" s="128">
        <v>40178</v>
      </c>
      <c r="B71" s="129">
        <f t="shared" si="1"/>
        <v>3</v>
      </c>
      <c r="C71" s="130">
        <f t="shared" si="2"/>
        <v>32252000</v>
      </c>
      <c r="D71" s="130"/>
      <c r="E71" s="131">
        <f>E69</f>
        <v>0.111</v>
      </c>
      <c r="F71" s="59">
        <f>((C70+D70)*E71/360*B70)+((C71+D71)*E71/360*B71)</f>
        <v>1136143.8916666668</v>
      </c>
      <c r="G71" s="132">
        <f>SUM(F65:F71)</f>
        <v>5864690.241666667</v>
      </c>
      <c r="H71" s="132">
        <f>SUM(D64:D71)</f>
        <v>32252000</v>
      </c>
      <c r="I71" s="133">
        <f>SUM(G71:H71)</f>
        <v>38116690.24166667</v>
      </c>
    </row>
    <row r="72" spans="1:9" ht="12.75">
      <c r="A72" s="134">
        <v>40265</v>
      </c>
      <c r="B72" s="135">
        <f t="shared" si="1"/>
        <v>87</v>
      </c>
      <c r="C72" s="60">
        <f t="shared" si="2"/>
        <v>24189000</v>
      </c>
      <c r="D72" s="59">
        <v>8063000</v>
      </c>
      <c r="E72" s="136"/>
      <c r="F72" s="135"/>
      <c r="G72" s="135"/>
      <c r="H72" s="135"/>
      <c r="I72" s="287"/>
    </row>
    <row r="73" spans="1:9" ht="12.75">
      <c r="A73" s="121">
        <v>40268</v>
      </c>
      <c r="B73" s="122">
        <f t="shared" si="1"/>
        <v>3</v>
      </c>
      <c r="C73" s="59">
        <f t="shared" si="2"/>
        <v>24189000</v>
      </c>
      <c r="D73" s="59"/>
      <c r="E73" s="123">
        <f>E71</f>
        <v>0.111</v>
      </c>
      <c r="F73" s="59">
        <f>((C72+D72)*E73/360*B72)+((C73+D73)*E73/360*B73)</f>
        <v>887534.725</v>
      </c>
      <c r="G73" s="122"/>
      <c r="H73" s="122"/>
      <c r="I73" s="276"/>
    </row>
    <row r="74" spans="1:9" ht="12.75">
      <c r="A74" s="121">
        <v>40357</v>
      </c>
      <c r="B74" s="122">
        <f t="shared" si="1"/>
        <v>89</v>
      </c>
      <c r="C74" s="59">
        <f t="shared" si="2"/>
        <v>16126000</v>
      </c>
      <c r="D74" s="59">
        <v>8063000</v>
      </c>
      <c r="G74" s="122"/>
      <c r="H74" s="122"/>
      <c r="I74" s="276"/>
    </row>
    <row r="75" spans="1:9" ht="12.75">
      <c r="A75" s="121">
        <v>40359</v>
      </c>
      <c r="B75" s="122">
        <f t="shared" si="1"/>
        <v>2</v>
      </c>
      <c r="C75" s="59">
        <f t="shared" si="2"/>
        <v>16126000</v>
      </c>
      <c r="D75" s="59"/>
      <c r="E75" s="123">
        <f>E73</f>
        <v>0.111</v>
      </c>
      <c r="F75" s="59">
        <f>((C74+D74)*E75/360*B74)+((C75+D75)*E75/360*B75)</f>
        <v>673730.8416666667</v>
      </c>
      <c r="G75" s="122"/>
      <c r="H75" s="122"/>
      <c r="I75" s="276"/>
    </row>
    <row r="76" spans="1:9" ht="12.75">
      <c r="A76" s="121">
        <v>40449</v>
      </c>
      <c r="B76" s="122">
        <f t="shared" si="1"/>
        <v>90</v>
      </c>
      <c r="C76" s="59">
        <f t="shared" si="2"/>
        <v>8063000</v>
      </c>
      <c r="D76" s="59">
        <v>8063000</v>
      </c>
      <c r="E76" s="123"/>
      <c r="F76" s="59"/>
      <c r="G76" s="122"/>
      <c r="H76" s="122"/>
      <c r="I76" s="276"/>
    </row>
    <row r="77" spans="1:9" ht="12.75">
      <c r="A77" s="121">
        <v>40451</v>
      </c>
      <c r="B77" s="122">
        <f t="shared" si="1"/>
        <v>2</v>
      </c>
      <c r="C77" s="59">
        <f t="shared" si="2"/>
        <v>8063000</v>
      </c>
      <c r="D77" s="59"/>
      <c r="E77" s="123">
        <f>E75</f>
        <v>0.111</v>
      </c>
      <c r="F77" s="59">
        <f>((C76+D76)*E77/360*B76)+((C77+D77)*E77/360*B77)</f>
        <v>452468.68333333335</v>
      </c>
      <c r="G77" s="122"/>
      <c r="H77" s="122"/>
      <c r="I77" s="276"/>
    </row>
    <row r="78" spans="1:9" ht="13.5" thickBot="1">
      <c r="A78" s="145">
        <v>40540</v>
      </c>
      <c r="B78" s="122">
        <f t="shared" si="1"/>
        <v>89</v>
      </c>
      <c r="C78" s="59">
        <f t="shared" si="2"/>
        <v>0</v>
      </c>
      <c r="D78" s="59">
        <v>8063000</v>
      </c>
      <c r="E78" s="123">
        <f>E77</f>
        <v>0.111</v>
      </c>
      <c r="F78" s="59">
        <f>((C78+D78)*E78/360*B78)</f>
        <v>221262.15833333333</v>
      </c>
      <c r="G78" s="304">
        <f>SUM(F72:F78)</f>
        <v>2234996.408333333</v>
      </c>
      <c r="H78" s="304">
        <f>SUM(D72:D78)</f>
        <v>32252000</v>
      </c>
      <c r="I78" s="305">
        <f>SUM(G78:H78)</f>
        <v>34486996.40833333</v>
      </c>
    </row>
    <row r="79" spans="1:9" ht="13.5" thickTop="1">
      <c r="A79" s="353" t="s">
        <v>14</v>
      </c>
      <c r="B79" s="354"/>
      <c r="C79" s="355"/>
      <c r="D79" s="151">
        <f>SUM(D8:D78)</f>
        <v>286663000</v>
      </c>
      <c r="E79" s="152"/>
      <c r="F79" s="151">
        <f>SUM(F8:F78)</f>
        <v>134768474.39305553</v>
      </c>
      <c r="G79" s="151">
        <f>SUM(G8:G78)</f>
        <v>134768474.39305556</v>
      </c>
      <c r="H79" s="151">
        <f>SUM(H8:H78)</f>
        <v>286663000</v>
      </c>
      <c r="I79" s="153">
        <f>SUM(I8:I78)</f>
        <v>421431474.39305556</v>
      </c>
    </row>
    <row r="80" spans="1:2" ht="12.75">
      <c r="A80" s="154"/>
      <c r="B80" s="87"/>
    </row>
    <row r="81" spans="1:2" ht="12.75">
      <c r="A81" s="154"/>
      <c r="B81" s="87"/>
    </row>
    <row r="82" spans="2:6" ht="12.75">
      <c r="B82" s="89" t="s">
        <v>162</v>
      </c>
      <c r="C82" s="89"/>
      <c r="D82" s="89"/>
      <c r="E82" s="89"/>
      <c r="F82" s="341">
        <v>139059100</v>
      </c>
    </row>
    <row r="83" spans="2:6" ht="13.5" thickBot="1">
      <c r="B83" s="339" t="s">
        <v>163</v>
      </c>
      <c r="C83" s="339"/>
      <c r="D83" s="339"/>
      <c r="E83" s="339"/>
      <c r="F83" s="342">
        <v>147603900</v>
      </c>
    </row>
    <row r="84" spans="2:6" ht="13.5" thickTop="1">
      <c r="B84" s="344" t="s">
        <v>161</v>
      </c>
      <c r="C84" s="200"/>
      <c r="D84" s="200"/>
      <c r="E84" s="356">
        <f>SUM(F82:F83)</f>
        <v>286663000</v>
      </c>
      <c r="F84" s="356"/>
    </row>
  </sheetData>
  <mergeCells count="2">
    <mergeCell ref="A79:C79"/>
    <mergeCell ref="E84:F84"/>
  </mergeCells>
  <printOptions horizontalCentered="1"/>
  <pageMargins left="0.5905511811023623" right="0.5905511811023623" top="0.7874015748031497" bottom="0.5905511811023623" header="0.1968503937007874" footer="0.1968503937007874"/>
  <pageSetup blackAndWhite="1" horizontalDpi="300" verticalDpi="300" orientation="portrait" paperSize="9" r:id="rId1"/>
  <headerFooter alignWithMargins="0">
    <oddHeader>&amp;C&amp;"Times New Roman CE,Félkövér"&amp;12Adósságszolgálat számítása az OTP tájékoztatása alapján&amp;"Times New Roman CE,Félkövér dőlt"
2001. decemberben és 2002. júniusban felvett 286.663 eFt hitel</oddHeader>
    <oddFooter>&amp;L&amp;9Nyomtatás dátuma: &amp;D
C:\Andi\adósságszolgálat\&amp;F\&amp;A&amp;R&amp;P/&amp;N</oddFooter>
  </headerFooter>
  <rowBreaks count="1" manualBreakCount="1">
    <brk id="5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10.625" style="89" customWidth="1"/>
    <col min="2" max="2" width="6.375" style="89" customWidth="1"/>
    <col min="3" max="3" width="10.875" style="89" customWidth="1"/>
    <col min="4" max="4" width="12.375" style="89" customWidth="1"/>
    <col min="5" max="5" width="7.375" style="156" customWidth="1"/>
    <col min="6" max="6" width="12.625" style="89" bestFit="1" customWidth="1"/>
    <col min="7" max="7" width="12.50390625" style="89" customWidth="1"/>
    <col min="8" max="8" width="12.625" style="89" bestFit="1" customWidth="1"/>
    <col min="9" max="9" width="12.375" style="89" customWidth="1"/>
    <col min="10" max="10" width="9.375" style="89" customWidth="1"/>
    <col min="11" max="11" width="11.125" style="89" bestFit="1" customWidth="1"/>
    <col min="12" max="16384" width="9.375" style="89" customWidth="1"/>
  </cols>
  <sheetData>
    <row r="1" spans="1:9" ht="12.75">
      <c r="A1" s="200" t="s">
        <v>118</v>
      </c>
      <c r="B1" s="199"/>
      <c r="C1" s="200"/>
      <c r="D1" s="200"/>
      <c r="E1" s="201"/>
      <c r="F1" s="200"/>
      <c r="H1" s="200"/>
      <c r="I1" s="200"/>
    </row>
    <row r="2" spans="1:9" ht="12.75">
      <c r="A2" s="89" t="s">
        <v>65</v>
      </c>
      <c r="C2" s="89" t="s">
        <v>66</v>
      </c>
      <c r="E2" s="202"/>
      <c r="F2" s="169"/>
      <c r="G2" s="169"/>
      <c r="H2" s="169"/>
      <c r="I2" s="169"/>
    </row>
    <row r="3" spans="1:9" ht="12.75">
      <c r="A3" s="172" t="s">
        <v>15</v>
      </c>
      <c r="B3" s="170"/>
      <c r="C3" s="169"/>
      <c r="D3" s="169"/>
      <c r="E3" s="202"/>
      <c r="F3" s="169"/>
      <c r="G3" s="169"/>
      <c r="H3" s="169"/>
      <c r="I3" s="169"/>
    </row>
    <row r="4" spans="1:9" ht="12.75">
      <c r="A4" s="172"/>
      <c r="B4" s="170"/>
      <c r="C4" s="169"/>
      <c r="D4" s="169"/>
      <c r="E4" s="202"/>
      <c r="F4" s="169"/>
      <c r="G4" s="169"/>
      <c r="H4" s="169"/>
      <c r="I4" s="222" t="s">
        <v>2</v>
      </c>
    </row>
    <row r="5" spans="1:9" ht="12.75">
      <c r="A5" s="97" t="s">
        <v>3</v>
      </c>
      <c r="B5" s="98" t="s">
        <v>4</v>
      </c>
      <c r="C5" s="99" t="s">
        <v>5</v>
      </c>
      <c r="D5" s="99" t="s">
        <v>33</v>
      </c>
      <c r="E5" s="203" t="s">
        <v>20</v>
      </c>
      <c r="F5" s="99" t="s">
        <v>43</v>
      </c>
      <c r="G5" s="101" t="s">
        <v>6</v>
      </c>
      <c r="H5" s="101" t="s">
        <v>6</v>
      </c>
      <c r="I5" s="102" t="s">
        <v>6</v>
      </c>
    </row>
    <row r="6" spans="1:9" ht="12.75">
      <c r="A6" s="103"/>
      <c r="B6" s="104" t="s">
        <v>7</v>
      </c>
      <c r="C6" s="105" t="s">
        <v>8</v>
      </c>
      <c r="D6" s="105"/>
      <c r="E6" s="204" t="s">
        <v>64</v>
      </c>
      <c r="F6" s="321"/>
      <c r="G6" s="107" t="s">
        <v>9</v>
      </c>
      <c r="H6" s="107" t="s">
        <v>11</v>
      </c>
      <c r="I6" s="108" t="s">
        <v>10</v>
      </c>
    </row>
    <row r="7" spans="1:9" ht="12.75">
      <c r="A7" s="109"/>
      <c r="B7" s="110"/>
      <c r="C7" s="111"/>
      <c r="D7" s="111"/>
      <c r="E7" s="206" t="s">
        <v>48</v>
      </c>
      <c r="F7" s="111"/>
      <c r="G7" s="113"/>
      <c r="H7" s="113" t="s">
        <v>13</v>
      </c>
      <c r="I7" s="114" t="s">
        <v>12</v>
      </c>
    </row>
    <row r="8" spans="1:9" ht="12.75">
      <c r="A8" s="115">
        <v>37591</v>
      </c>
      <c r="B8" s="174"/>
      <c r="C8" s="175">
        <v>305133000</v>
      </c>
      <c r="D8" s="175"/>
      <c r="E8" s="207"/>
      <c r="F8" s="175"/>
      <c r="G8" s="185"/>
      <c r="H8" s="185"/>
      <c r="I8" s="186"/>
    </row>
    <row r="9" spans="1:9" ht="12.75">
      <c r="A9" s="179">
        <v>37621</v>
      </c>
      <c r="B9" s="139">
        <f>A9-A8</f>
        <v>30</v>
      </c>
      <c r="C9" s="180">
        <f>C8-D9</f>
        <v>305133000</v>
      </c>
      <c r="D9" s="180"/>
      <c r="E9" s="209">
        <v>0.0975</v>
      </c>
      <c r="F9" s="180">
        <v>1156963</v>
      </c>
      <c r="G9" s="187">
        <f>SUM(F8:F9)</f>
        <v>1156963</v>
      </c>
      <c r="H9" s="187">
        <v>0</v>
      </c>
      <c r="I9" s="188">
        <f>SUM(G9:H9)</f>
        <v>1156963</v>
      </c>
    </row>
    <row r="10" spans="1:9" ht="12.75">
      <c r="A10" s="134">
        <v>37711</v>
      </c>
      <c r="B10" s="210">
        <f aca="true" t="shared" si="0" ref="B10:B66">A10-A9</f>
        <v>90</v>
      </c>
      <c r="C10" s="208">
        <f aca="true" t="shared" si="1" ref="C10:C66">C9-D10</f>
        <v>305133000</v>
      </c>
      <c r="D10" s="176"/>
      <c r="E10" s="211">
        <v>0.0847</v>
      </c>
      <c r="F10" s="208">
        <v>6493739</v>
      </c>
      <c r="G10" s="177"/>
      <c r="H10" s="177"/>
      <c r="I10" s="178"/>
    </row>
    <row r="11" spans="1:9" ht="12.75">
      <c r="A11" s="115">
        <v>37802</v>
      </c>
      <c r="B11" s="122">
        <f t="shared" si="0"/>
        <v>91</v>
      </c>
      <c r="C11" s="59">
        <f t="shared" si="1"/>
        <v>305133000</v>
      </c>
      <c r="D11" s="175"/>
      <c r="E11" s="207">
        <v>0.0665</v>
      </c>
      <c r="F11" s="59">
        <v>5144627</v>
      </c>
      <c r="G11" s="185"/>
      <c r="H11" s="185"/>
      <c r="I11" s="186"/>
    </row>
    <row r="12" spans="1:9" ht="12.75">
      <c r="A12" s="115">
        <v>37892</v>
      </c>
      <c r="B12" s="122">
        <f t="shared" si="0"/>
        <v>90</v>
      </c>
      <c r="C12" s="59">
        <f t="shared" si="1"/>
        <v>294959000</v>
      </c>
      <c r="D12" s="175">
        <v>10174000</v>
      </c>
      <c r="E12" s="207"/>
      <c r="F12" s="59"/>
      <c r="G12" s="185"/>
      <c r="H12" s="185"/>
      <c r="I12" s="186"/>
    </row>
    <row r="13" spans="1:11" ht="12.75">
      <c r="A13" s="115">
        <v>37894</v>
      </c>
      <c r="B13" s="122">
        <f t="shared" si="0"/>
        <v>2</v>
      </c>
      <c r="C13" s="59">
        <f t="shared" si="1"/>
        <v>294959000</v>
      </c>
      <c r="D13" s="175"/>
      <c r="E13" s="207">
        <v>0.0893</v>
      </c>
      <c r="F13" s="59">
        <v>6939102</v>
      </c>
      <c r="G13" s="185"/>
      <c r="H13" s="185"/>
      <c r="I13" s="186"/>
      <c r="K13" s="155"/>
    </row>
    <row r="14" spans="1:9" ht="12.75">
      <c r="A14" s="115">
        <v>37983</v>
      </c>
      <c r="B14" s="122">
        <f t="shared" si="0"/>
        <v>89</v>
      </c>
      <c r="C14" s="59">
        <f t="shared" si="1"/>
        <v>284788000</v>
      </c>
      <c r="D14" s="175">
        <v>10171000</v>
      </c>
      <c r="E14" s="207"/>
      <c r="F14" s="59"/>
      <c r="G14" s="185"/>
      <c r="H14" s="185"/>
      <c r="I14" s="186"/>
    </row>
    <row r="15" spans="1:9" ht="12.75">
      <c r="A15" s="179">
        <v>37986</v>
      </c>
      <c r="B15" s="143">
        <f t="shared" si="0"/>
        <v>3</v>
      </c>
      <c r="C15" s="180">
        <f t="shared" si="1"/>
        <v>284788000</v>
      </c>
      <c r="D15" s="180"/>
      <c r="E15" s="209">
        <v>0.0961</v>
      </c>
      <c r="F15" s="130">
        <v>7230149</v>
      </c>
      <c r="G15" s="187">
        <f>SUM(F10:F15)</f>
        <v>25807617</v>
      </c>
      <c r="H15" s="187">
        <f>SUM(D10:D15)</f>
        <v>20345000</v>
      </c>
      <c r="I15" s="188">
        <f>SUM(G15:H15)</f>
        <v>46152617</v>
      </c>
    </row>
    <row r="16" spans="1:9" ht="12.75">
      <c r="A16" s="134">
        <v>38074</v>
      </c>
      <c r="B16" s="135">
        <f t="shared" si="0"/>
        <v>88</v>
      </c>
      <c r="C16" s="208">
        <f t="shared" si="1"/>
        <v>274617000</v>
      </c>
      <c r="D16" s="175">
        <v>10171000</v>
      </c>
      <c r="E16" s="207"/>
      <c r="F16" s="208"/>
      <c r="G16" s="177"/>
      <c r="H16" s="177"/>
      <c r="I16" s="178"/>
    </row>
    <row r="17" spans="1:11" ht="12.75">
      <c r="A17" s="115">
        <v>38077</v>
      </c>
      <c r="B17" s="122">
        <f t="shared" si="0"/>
        <v>3</v>
      </c>
      <c r="C17" s="59">
        <f t="shared" si="1"/>
        <v>274617000</v>
      </c>
      <c r="D17" s="175"/>
      <c r="E17" s="207">
        <v>0.1255</v>
      </c>
      <c r="F17" s="59">
        <f>((C16+D16)*E17/360*B16)+((C17+D17)*E17/360*B17)</f>
        <v>9023866.59027778</v>
      </c>
      <c r="G17" s="185"/>
      <c r="H17" s="185"/>
      <c r="I17" s="186"/>
      <c r="K17" s="155"/>
    </row>
    <row r="18" spans="1:9" ht="12.75">
      <c r="A18" s="115">
        <v>38166</v>
      </c>
      <c r="B18" s="143">
        <f t="shared" si="0"/>
        <v>89</v>
      </c>
      <c r="C18" s="59">
        <f t="shared" si="1"/>
        <v>264446000</v>
      </c>
      <c r="D18" s="175">
        <v>10171000</v>
      </c>
      <c r="E18" s="207"/>
      <c r="F18" s="59"/>
      <c r="G18" s="185"/>
      <c r="H18" s="185"/>
      <c r="I18" s="186"/>
    </row>
    <row r="19" spans="1:9" ht="12.75">
      <c r="A19" s="115">
        <v>38168</v>
      </c>
      <c r="B19" s="139">
        <f t="shared" si="0"/>
        <v>2</v>
      </c>
      <c r="C19" s="59">
        <f t="shared" si="1"/>
        <v>264446000</v>
      </c>
      <c r="D19" s="175"/>
      <c r="E19" s="207">
        <v>0.1197</v>
      </c>
      <c r="F19" s="59">
        <v>8306885</v>
      </c>
      <c r="G19" s="185"/>
      <c r="H19" s="185"/>
      <c r="I19" s="186"/>
    </row>
    <row r="20" spans="1:9" ht="12.75">
      <c r="A20" s="115">
        <v>38258</v>
      </c>
      <c r="B20" s="139">
        <f t="shared" si="0"/>
        <v>90</v>
      </c>
      <c r="C20" s="59">
        <f t="shared" si="1"/>
        <v>254275000</v>
      </c>
      <c r="D20" s="175">
        <v>10171000</v>
      </c>
      <c r="E20" s="207"/>
      <c r="F20" s="59"/>
      <c r="G20" s="185"/>
      <c r="H20" s="185"/>
      <c r="I20" s="186"/>
    </row>
    <row r="21" spans="1:9" ht="12.75">
      <c r="A21" s="115">
        <v>38260</v>
      </c>
      <c r="B21" s="139">
        <f t="shared" si="0"/>
        <v>2</v>
      </c>
      <c r="C21" s="59">
        <f t="shared" si="1"/>
        <v>254275000</v>
      </c>
      <c r="D21" s="175"/>
      <c r="E21" s="207">
        <v>0.1167</v>
      </c>
      <c r="F21" s="59">
        <v>7882271</v>
      </c>
      <c r="G21" s="185"/>
      <c r="H21" s="185"/>
      <c r="I21" s="186"/>
    </row>
    <row r="22" spans="1:9" ht="12.75">
      <c r="A22" s="115">
        <v>38349</v>
      </c>
      <c r="B22" s="139">
        <f t="shared" si="0"/>
        <v>89</v>
      </c>
      <c r="C22" s="59">
        <f t="shared" si="1"/>
        <v>244104000</v>
      </c>
      <c r="D22" s="175">
        <v>10171000</v>
      </c>
      <c r="E22" s="207"/>
      <c r="F22" s="59"/>
      <c r="G22" s="185"/>
      <c r="H22" s="185"/>
      <c r="I22" s="186"/>
    </row>
    <row r="23" spans="1:9" ht="12.75">
      <c r="A23" s="179">
        <v>38352</v>
      </c>
      <c r="B23" s="139">
        <f t="shared" si="0"/>
        <v>3</v>
      </c>
      <c r="C23" s="180">
        <f t="shared" si="1"/>
        <v>244104000</v>
      </c>
      <c r="D23" s="180"/>
      <c r="E23" s="209">
        <v>0.111</v>
      </c>
      <c r="F23" s="130">
        <f>((C22+D22)*E23/360*B22)+((C23+D23)*E23/360*B23)</f>
        <v>7203525.991666666</v>
      </c>
      <c r="G23" s="187">
        <f>SUM(F16:F23)</f>
        <v>32416548.581944447</v>
      </c>
      <c r="H23" s="187">
        <f>SUM(D16:D23)</f>
        <v>40684000</v>
      </c>
      <c r="I23" s="188">
        <f>SUM(G23:H23)</f>
        <v>73100548.58194445</v>
      </c>
    </row>
    <row r="24" spans="1:9" ht="12.75">
      <c r="A24" s="134">
        <v>38439</v>
      </c>
      <c r="B24" s="210">
        <f t="shared" si="0"/>
        <v>87</v>
      </c>
      <c r="C24" s="208">
        <f t="shared" si="1"/>
        <v>233933000</v>
      </c>
      <c r="D24" s="175">
        <v>10171000</v>
      </c>
      <c r="E24" s="207"/>
      <c r="F24" s="208"/>
      <c r="G24" s="177"/>
      <c r="H24" s="177"/>
      <c r="I24" s="178"/>
    </row>
    <row r="25" spans="1:9" ht="12.75">
      <c r="A25" s="115">
        <v>38442</v>
      </c>
      <c r="B25" s="139">
        <f t="shared" si="0"/>
        <v>3</v>
      </c>
      <c r="C25" s="59">
        <f t="shared" si="1"/>
        <v>233933000</v>
      </c>
      <c r="D25" s="175"/>
      <c r="E25" s="207">
        <f>E23</f>
        <v>0.111</v>
      </c>
      <c r="F25" s="59">
        <f>((C24+D24)*E25/360*B24)+((C25+D25)*E25/360*B25)</f>
        <v>6764477.825</v>
      </c>
      <c r="G25" s="185"/>
      <c r="H25" s="185"/>
      <c r="I25" s="186"/>
    </row>
    <row r="26" spans="1:9" ht="12.75">
      <c r="A26" s="115">
        <v>38531</v>
      </c>
      <c r="B26" s="139">
        <f t="shared" si="0"/>
        <v>89</v>
      </c>
      <c r="C26" s="59">
        <f t="shared" si="1"/>
        <v>223762000</v>
      </c>
      <c r="D26" s="175">
        <v>10171000</v>
      </c>
      <c r="E26" s="207"/>
      <c r="F26" s="59"/>
      <c r="G26" s="185"/>
      <c r="H26" s="185"/>
      <c r="I26" s="186"/>
    </row>
    <row r="27" spans="1:9" ht="12.75">
      <c r="A27" s="115">
        <v>38533</v>
      </c>
      <c r="B27" s="139">
        <f t="shared" si="0"/>
        <v>2</v>
      </c>
      <c r="C27" s="59">
        <f t="shared" si="1"/>
        <v>223762000</v>
      </c>
      <c r="D27" s="175"/>
      <c r="E27" s="207">
        <f>E25</f>
        <v>0.111</v>
      </c>
      <c r="F27" s="59">
        <f>((C26+D26)*E27/360*B26)+((C27+D27)*E27/360*B27)</f>
        <v>6557497.974999999</v>
      </c>
      <c r="G27" s="185"/>
      <c r="H27" s="185"/>
      <c r="I27" s="186"/>
    </row>
    <row r="28" spans="1:9" ht="12.75">
      <c r="A28" s="115">
        <v>38623</v>
      </c>
      <c r="B28" s="139">
        <f t="shared" si="0"/>
        <v>90</v>
      </c>
      <c r="C28" s="59">
        <f t="shared" si="1"/>
        <v>213591000</v>
      </c>
      <c r="D28" s="175">
        <v>10171000</v>
      </c>
      <c r="E28" s="207"/>
      <c r="F28" s="59"/>
      <c r="G28" s="185"/>
      <c r="H28" s="185"/>
      <c r="I28" s="186"/>
    </row>
    <row r="29" spans="1:9" ht="12.75">
      <c r="A29" s="115">
        <v>38625</v>
      </c>
      <c r="B29" s="139">
        <f t="shared" si="0"/>
        <v>2</v>
      </c>
      <c r="C29" s="59">
        <f t="shared" si="1"/>
        <v>213591000</v>
      </c>
      <c r="D29" s="175"/>
      <c r="E29" s="207">
        <f>E27</f>
        <v>0.111</v>
      </c>
      <c r="F29" s="59">
        <f>((C28+D28)*E29/360*B28)+((C29+D29)*E29/360*B29)</f>
        <v>6341109.950000001</v>
      </c>
      <c r="G29" s="185"/>
      <c r="H29" s="185"/>
      <c r="I29" s="186"/>
    </row>
    <row r="30" spans="1:9" ht="12.75">
      <c r="A30" s="115">
        <v>38714</v>
      </c>
      <c r="B30" s="139">
        <f t="shared" si="0"/>
        <v>89</v>
      </c>
      <c r="C30" s="59">
        <f t="shared" si="1"/>
        <v>203420000</v>
      </c>
      <c r="D30" s="175">
        <v>10171000</v>
      </c>
      <c r="E30" s="207"/>
      <c r="F30" s="59"/>
      <c r="G30" s="185"/>
      <c r="H30" s="185"/>
      <c r="I30" s="186"/>
    </row>
    <row r="31" spans="1:9" ht="12.75">
      <c r="A31" s="179">
        <v>38717</v>
      </c>
      <c r="B31" s="129">
        <f t="shared" si="0"/>
        <v>3</v>
      </c>
      <c r="C31" s="180">
        <f t="shared" si="1"/>
        <v>203420000</v>
      </c>
      <c r="D31" s="180"/>
      <c r="E31" s="209">
        <f>E29</f>
        <v>0.111</v>
      </c>
      <c r="F31" s="130">
        <f>((C30+D30)*E31/360*B30)+((C31+D31)*E31/360*B31)</f>
        <v>6049456.525</v>
      </c>
      <c r="G31" s="187">
        <f>SUM(F24:F31)</f>
        <v>25712542.275</v>
      </c>
      <c r="H31" s="187">
        <f>SUM(D24:D31)</f>
        <v>40684000</v>
      </c>
      <c r="I31" s="188">
        <f>SUM(G31:H31)</f>
        <v>66396542.275</v>
      </c>
    </row>
    <row r="32" spans="1:9" ht="12.75">
      <c r="A32" s="134">
        <v>38804</v>
      </c>
      <c r="B32" s="143">
        <f t="shared" si="0"/>
        <v>87</v>
      </c>
      <c r="C32" s="208">
        <f t="shared" si="1"/>
        <v>193249000</v>
      </c>
      <c r="D32" s="175">
        <v>10171000</v>
      </c>
      <c r="E32" s="207"/>
      <c r="F32" s="208"/>
      <c r="G32" s="177"/>
      <c r="H32" s="177"/>
      <c r="I32" s="178"/>
    </row>
    <row r="33" spans="1:9" ht="12.75">
      <c r="A33" s="115">
        <v>38807</v>
      </c>
      <c r="B33" s="139">
        <f t="shared" si="0"/>
        <v>3</v>
      </c>
      <c r="C33" s="59">
        <f t="shared" si="1"/>
        <v>193249000</v>
      </c>
      <c r="D33" s="175"/>
      <c r="E33" s="207">
        <f>E31</f>
        <v>0.111</v>
      </c>
      <c r="F33" s="59">
        <f>((C32+D32)*E33/360*B32)+((C33+D33)*E33/360*B33)</f>
        <v>5635496.825</v>
      </c>
      <c r="G33" s="185"/>
      <c r="H33" s="185"/>
      <c r="I33" s="186"/>
    </row>
    <row r="34" spans="1:9" ht="12.75">
      <c r="A34" s="115">
        <v>38896</v>
      </c>
      <c r="B34" s="139">
        <f t="shared" si="0"/>
        <v>89</v>
      </c>
      <c r="C34" s="59">
        <f t="shared" si="1"/>
        <v>183078000</v>
      </c>
      <c r="D34" s="175">
        <v>10171000</v>
      </c>
      <c r="E34" s="207"/>
      <c r="F34" s="59"/>
      <c r="G34" s="185"/>
      <c r="H34" s="185"/>
      <c r="I34" s="186"/>
    </row>
    <row r="35" spans="1:9" ht="12.75">
      <c r="A35" s="115">
        <v>38898</v>
      </c>
      <c r="B35" s="139">
        <f t="shared" si="0"/>
        <v>2</v>
      </c>
      <c r="C35" s="59">
        <f t="shared" si="1"/>
        <v>183078000</v>
      </c>
      <c r="D35" s="175"/>
      <c r="E35" s="207">
        <f>E33</f>
        <v>0.111</v>
      </c>
      <c r="F35" s="59">
        <f>((C34+D34)*E35/360*B34)+((C35+D35)*E35/360*B35)</f>
        <v>5415972.741666666</v>
      </c>
      <c r="G35" s="185"/>
      <c r="H35" s="185"/>
      <c r="I35" s="186"/>
    </row>
    <row r="36" spans="1:9" ht="12.75">
      <c r="A36" s="115">
        <v>38988</v>
      </c>
      <c r="B36" s="139">
        <f t="shared" si="0"/>
        <v>90</v>
      </c>
      <c r="C36" s="59">
        <f t="shared" si="1"/>
        <v>172907000</v>
      </c>
      <c r="D36" s="175">
        <v>10171000</v>
      </c>
      <c r="E36" s="207"/>
      <c r="F36" s="59"/>
      <c r="G36" s="185"/>
      <c r="H36" s="185"/>
      <c r="I36" s="186"/>
    </row>
    <row r="37" spans="1:9" ht="12.75">
      <c r="A37" s="115">
        <v>38990</v>
      </c>
      <c r="B37" s="139">
        <f t="shared" si="0"/>
        <v>2</v>
      </c>
      <c r="C37" s="59">
        <f t="shared" si="1"/>
        <v>172907000</v>
      </c>
      <c r="D37" s="175"/>
      <c r="E37" s="207">
        <f>E35</f>
        <v>0.111</v>
      </c>
      <c r="F37" s="59">
        <f>((C36+D36)*E37/360*B36)+((C37+D37)*E37/360*B37)</f>
        <v>5187040.483333333</v>
      </c>
      <c r="G37" s="185"/>
      <c r="H37" s="185"/>
      <c r="I37" s="186"/>
    </row>
    <row r="38" spans="1:9" ht="12.75">
      <c r="A38" s="115">
        <v>39079</v>
      </c>
      <c r="B38" s="139">
        <f t="shared" si="0"/>
        <v>89</v>
      </c>
      <c r="C38" s="59">
        <f t="shared" si="1"/>
        <v>162736000</v>
      </c>
      <c r="D38" s="175">
        <v>10171000</v>
      </c>
      <c r="E38" s="207"/>
      <c r="F38" s="59"/>
      <c r="G38" s="185"/>
      <c r="H38" s="185"/>
      <c r="I38" s="186"/>
    </row>
    <row r="39" spans="1:9" ht="12.75">
      <c r="A39" s="179">
        <v>39082</v>
      </c>
      <c r="B39" s="139">
        <f t="shared" si="0"/>
        <v>3</v>
      </c>
      <c r="C39" s="180">
        <f t="shared" si="1"/>
        <v>162736000</v>
      </c>
      <c r="D39" s="180"/>
      <c r="E39" s="209">
        <f>E37</f>
        <v>0.111</v>
      </c>
      <c r="F39" s="130">
        <f>((C38+D38)*E39/360*B38)+((C39+D39)*E39/360*B39)</f>
        <v>4895387.058333334</v>
      </c>
      <c r="G39" s="187">
        <f>SUM(F32:F39)</f>
        <v>21133897.108333334</v>
      </c>
      <c r="H39" s="187">
        <f>SUM(D32:D39)</f>
        <v>40684000</v>
      </c>
      <c r="I39" s="188">
        <f>SUM(G39:H39)</f>
        <v>61817897.108333334</v>
      </c>
    </row>
    <row r="40" spans="1:9" ht="12.75">
      <c r="A40" s="134">
        <v>39169</v>
      </c>
      <c r="B40" s="210">
        <f t="shared" si="0"/>
        <v>87</v>
      </c>
      <c r="C40" s="208">
        <f t="shared" si="1"/>
        <v>152565000</v>
      </c>
      <c r="D40" s="175">
        <v>10171000</v>
      </c>
      <c r="E40" s="207"/>
      <c r="F40" s="208"/>
      <c r="G40" s="177"/>
      <c r="H40" s="177"/>
      <c r="I40" s="178"/>
    </row>
    <row r="41" spans="1:9" ht="12.75">
      <c r="A41" s="115">
        <v>39172</v>
      </c>
      <c r="B41" s="139">
        <f t="shared" si="0"/>
        <v>3</v>
      </c>
      <c r="C41" s="59">
        <f t="shared" si="1"/>
        <v>152565000</v>
      </c>
      <c r="D41" s="175"/>
      <c r="E41" s="207">
        <f>E39</f>
        <v>0.111</v>
      </c>
      <c r="F41" s="59">
        <f>((C40+D40)*E41/360*B40)+((C41+D41)*E41/360*B41)</f>
        <v>4506515.825</v>
      </c>
      <c r="G41" s="185"/>
      <c r="H41" s="185"/>
      <c r="I41" s="186"/>
    </row>
    <row r="42" spans="1:9" ht="12.75">
      <c r="A42" s="115">
        <v>39261</v>
      </c>
      <c r="B42" s="139">
        <f t="shared" si="0"/>
        <v>89</v>
      </c>
      <c r="C42" s="59">
        <f t="shared" si="1"/>
        <v>142394000</v>
      </c>
      <c r="D42" s="175">
        <v>10171000</v>
      </c>
      <c r="E42" s="207"/>
      <c r="F42" s="59"/>
      <c r="G42" s="185"/>
      <c r="H42" s="185"/>
      <c r="I42" s="186"/>
    </row>
    <row r="43" spans="1:9" ht="12.75">
      <c r="A43" s="115">
        <v>39263</v>
      </c>
      <c r="B43" s="139">
        <f t="shared" si="0"/>
        <v>2</v>
      </c>
      <c r="C43" s="59">
        <f t="shared" si="1"/>
        <v>142394000</v>
      </c>
      <c r="D43" s="175"/>
      <c r="E43" s="207">
        <f>E41</f>
        <v>0.111</v>
      </c>
      <c r="F43" s="59">
        <f>((C42+D42)*E43/360*B42)+((C43+D43)*E43/360*B43)</f>
        <v>4274447.508333334</v>
      </c>
      <c r="G43" s="185"/>
      <c r="H43" s="185"/>
      <c r="I43" s="186"/>
    </row>
    <row r="44" spans="1:9" ht="12.75">
      <c r="A44" s="115">
        <v>39353</v>
      </c>
      <c r="B44" s="139">
        <f t="shared" si="0"/>
        <v>90</v>
      </c>
      <c r="C44" s="59">
        <f t="shared" si="1"/>
        <v>132223000</v>
      </c>
      <c r="D44" s="175">
        <v>10171000</v>
      </c>
      <c r="E44" s="207"/>
      <c r="F44" s="59"/>
      <c r="G44" s="185"/>
      <c r="H44" s="185"/>
      <c r="I44" s="186"/>
    </row>
    <row r="45" spans="1:9" ht="12.75">
      <c r="A45" s="115">
        <v>39355</v>
      </c>
      <c r="B45" s="139">
        <f t="shared" si="0"/>
        <v>2</v>
      </c>
      <c r="C45" s="59">
        <f t="shared" si="1"/>
        <v>132223000</v>
      </c>
      <c r="D45" s="175"/>
      <c r="E45" s="207">
        <f>E43</f>
        <v>0.111</v>
      </c>
      <c r="F45" s="59">
        <f>((C44+D44)*E45/360*B44)+((C45+D45)*E45/360*B45)</f>
        <v>4032971.0166666666</v>
      </c>
      <c r="G45" s="185"/>
      <c r="H45" s="185"/>
      <c r="I45" s="186"/>
    </row>
    <row r="46" spans="1:9" ht="12.75">
      <c r="A46" s="115">
        <v>39444</v>
      </c>
      <c r="B46" s="139">
        <f t="shared" si="0"/>
        <v>89</v>
      </c>
      <c r="C46" s="59">
        <f t="shared" si="1"/>
        <v>122052000</v>
      </c>
      <c r="D46" s="175">
        <v>10171000</v>
      </c>
      <c r="E46" s="207"/>
      <c r="F46" s="59"/>
      <c r="G46" s="185"/>
      <c r="H46" s="185"/>
      <c r="I46" s="186"/>
    </row>
    <row r="47" spans="1:9" ht="12.75">
      <c r="A47" s="179">
        <v>39447</v>
      </c>
      <c r="B47" s="129">
        <f t="shared" si="0"/>
        <v>3</v>
      </c>
      <c r="C47" s="180">
        <f t="shared" si="1"/>
        <v>122052000</v>
      </c>
      <c r="D47" s="180"/>
      <c r="E47" s="209">
        <f>E45</f>
        <v>0.111</v>
      </c>
      <c r="F47" s="130">
        <f>((C46+D46)*E47/360*B46)+((C47+D47)*E47/360*B47)</f>
        <v>3741317.591666667</v>
      </c>
      <c r="G47" s="187">
        <f>SUM(F40:F47)</f>
        <v>16555251.941666668</v>
      </c>
      <c r="H47" s="187">
        <f>SUM(D40:D47)</f>
        <v>40684000</v>
      </c>
      <c r="I47" s="188">
        <f>SUM(G47:H47)</f>
        <v>57239251.94166667</v>
      </c>
    </row>
    <row r="48" spans="1:9" ht="12.75">
      <c r="A48" s="134">
        <v>39535</v>
      </c>
      <c r="B48" s="143">
        <f t="shared" si="0"/>
        <v>88</v>
      </c>
      <c r="C48" s="208">
        <f t="shared" si="1"/>
        <v>111881000</v>
      </c>
      <c r="D48" s="175">
        <v>10171000</v>
      </c>
      <c r="E48" s="207"/>
      <c r="F48" s="208"/>
      <c r="G48" s="177"/>
      <c r="H48" s="177"/>
      <c r="I48" s="178"/>
    </row>
    <row r="49" spans="1:9" ht="12.75">
      <c r="A49" s="115">
        <v>39538</v>
      </c>
      <c r="B49" s="139">
        <f t="shared" si="0"/>
        <v>3</v>
      </c>
      <c r="C49" s="59">
        <f t="shared" si="1"/>
        <v>111881000</v>
      </c>
      <c r="D49" s="175"/>
      <c r="E49" s="207">
        <f>E47</f>
        <v>0.111</v>
      </c>
      <c r="F49" s="59">
        <f>((C48+D48)*E49/360*B48)+((C49+D49)*E49/360*B49)</f>
        <v>3415167.5249999994</v>
      </c>
      <c r="G49" s="185"/>
      <c r="H49" s="185"/>
      <c r="I49" s="186"/>
    </row>
    <row r="50" spans="1:9" ht="12.75">
      <c r="A50" s="115">
        <v>39627</v>
      </c>
      <c r="B50" s="139">
        <f t="shared" si="0"/>
        <v>89</v>
      </c>
      <c r="C50" s="59">
        <f t="shared" si="1"/>
        <v>101710000</v>
      </c>
      <c r="D50" s="175">
        <v>10171000</v>
      </c>
      <c r="E50" s="207"/>
      <c r="F50" s="59"/>
      <c r="G50" s="185"/>
      <c r="H50" s="185"/>
      <c r="I50" s="186"/>
    </row>
    <row r="51" spans="1:9" ht="12.75">
      <c r="A51" s="121">
        <v>39629</v>
      </c>
      <c r="B51" s="139">
        <f t="shared" si="0"/>
        <v>2</v>
      </c>
      <c r="C51" s="59">
        <f t="shared" si="1"/>
        <v>101710000</v>
      </c>
      <c r="D51" s="191"/>
      <c r="E51" s="213">
        <f>E49</f>
        <v>0.111</v>
      </c>
      <c r="F51" s="59">
        <f>((C50+D50)*E51/360*B50)+((C51+D51)*E51/360*B51)</f>
        <v>3132922.2750000004</v>
      </c>
      <c r="G51" s="192"/>
      <c r="H51" s="192"/>
      <c r="I51" s="193"/>
    </row>
    <row r="52" spans="1:9" ht="12.75">
      <c r="A52" s="115">
        <v>39719</v>
      </c>
      <c r="B52" s="139">
        <f t="shared" si="0"/>
        <v>90</v>
      </c>
      <c r="C52" s="59">
        <f t="shared" si="1"/>
        <v>91539000</v>
      </c>
      <c r="D52" s="175">
        <v>10171000</v>
      </c>
      <c r="E52" s="207"/>
      <c r="F52" s="59"/>
      <c r="G52" s="124"/>
      <c r="H52" s="192"/>
      <c r="I52" s="193"/>
    </row>
    <row r="53" spans="1:9" ht="12.75">
      <c r="A53" s="115">
        <v>39721</v>
      </c>
      <c r="B53" s="139">
        <f t="shared" si="0"/>
        <v>2</v>
      </c>
      <c r="C53" s="59">
        <f t="shared" si="1"/>
        <v>91539000</v>
      </c>
      <c r="D53" s="175"/>
      <c r="E53" s="207">
        <f>E51</f>
        <v>0.111</v>
      </c>
      <c r="F53" s="59">
        <f>((C52+D52)*E53/360*B52)+((C53+D53)*E53/360*B53)</f>
        <v>2878901.55</v>
      </c>
      <c r="G53" s="124"/>
      <c r="H53" s="192"/>
      <c r="I53" s="193"/>
    </row>
    <row r="54" spans="1:9" ht="12.75">
      <c r="A54" s="115">
        <v>39810</v>
      </c>
      <c r="B54" s="139">
        <f t="shared" si="0"/>
        <v>89</v>
      </c>
      <c r="C54" s="59">
        <f t="shared" si="1"/>
        <v>81368000</v>
      </c>
      <c r="D54" s="175">
        <v>10171000</v>
      </c>
      <c r="E54" s="207"/>
      <c r="F54" s="59"/>
      <c r="G54" s="185"/>
      <c r="H54" s="185"/>
      <c r="I54" s="186"/>
    </row>
    <row r="55" spans="1:9" ht="12.75">
      <c r="A55" s="128">
        <v>39813</v>
      </c>
      <c r="B55" s="129">
        <f t="shared" si="0"/>
        <v>3</v>
      </c>
      <c r="C55" s="181">
        <f t="shared" si="1"/>
        <v>81368000</v>
      </c>
      <c r="D55" s="181"/>
      <c r="E55" s="214">
        <f>E53</f>
        <v>0.111</v>
      </c>
      <c r="F55" s="130">
        <f>((C54+D54)*E55/360*B54)+((C55+D55)*E55/360*B55)</f>
        <v>2587248.125</v>
      </c>
      <c r="G55" s="182">
        <f>SUM(F48:F55)</f>
        <v>12014239.475</v>
      </c>
      <c r="H55" s="182">
        <f>SUM(D48:D55)</f>
        <v>40684000</v>
      </c>
      <c r="I55" s="183">
        <f>SUM(G55:H55)</f>
        <v>52698239.475</v>
      </c>
    </row>
    <row r="56" spans="1:9" ht="12.75">
      <c r="A56" s="134">
        <v>39900</v>
      </c>
      <c r="B56" s="135">
        <f t="shared" si="0"/>
        <v>87</v>
      </c>
      <c r="C56" s="176">
        <f t="shared" si="1"/>
        <v>71197000</v>
      </c>
      <c r="D56" s="176">
        <v>10171000</v>
      </c>
      <c r="E56" s="211"/>
      <c r="F56" s="176"/>
      <c r="G56" s="177"/>
      <c r="H56" s="177"/>
      <c r="I56" s="178"/>
    </row>
    <row r="57" spans="1:9" ht="12.75">
      <c r="A57" s="115">
        <v>39903</v>
      </c>
      <c r="B57" s="139">
        <f t="shared" si="0"/>
        <v>3</v>
      </c>
      <c r="C57" s="59">
        <f t="shared" si="1"/>
        <v>71197000</v>
      </c>
      <c r="D57" s="175"/>
      <c r="E57" s="207">
        <f>E55</f>
        <v>0.111</v>
      </c>
      <c r="F57" s="59">
        <f>((C56+D56)*E57/360*B56)+((C57+D57)*E57/360*B57)</f>
        <v>2248553.825</v>
      </c>
      <c r="G57" s="185"/>
      <c r="H57" s="185"/>
      <c r="I57" s="186"/>
    </row>
    <row r="58" spans="1:9" ht="12.75">
      <c r="A58" s="115">
        <v>39992</v>
      </c>
      <c r="B58" s="139">
        <f t="shared" si="0"/>
        <v>89</v>
      </c>
      <c r="C58" s="59">
        <f t="shared" si="1"/>
        <v>61026000</v>
      </c>
      <c r="D58" s="175">
        <v>10171000</v>
      </c>
      <c r="E58" s="207"/>
      <c r="F58" s="59"/>
      <c r="G58" s="185"/>
      <c r="H58" s="185"/>
      <c r="I58" s="186"/>
    </row>
    <row r="59" spans="1:9" ht="12.75">
      <c r="A59" s="121">
        <v>39994</v>
      </c>
      <c r="B59" s="139">
        <f t="shared" si="0"/>
        <v>2</v>
      </c>
      <c r="C59" s="59">
        <f t="shared" si="1"/>
        <v>61026000</v>
      </c>
      <c r="D59" s="191"/>
      <c r="E59" s="213">
        <f>E57</f>
        <v>0.111</v>
      </c>
      <c r="F59" s="59">
        <f>((C58+D58)*E59/360*B58)+((C59+D59)*E59/360*B59)</f>
        <v>1991397.0416666665</v>
      </c>
      <c r="G59" s="192"/>
      <c r="H59" s="192"/>
      <c r="I59" s="193"/>
    </row>
    <row r="60" spans="1:9" ht="12.75">
      <c r="A60" s="115">
        <v>40084</v>
      </c>
      <c r="B60" s="139">
        <f t="shared" si="0"/>
        <v>90</v>
      </c>
      <c r="C60" s="59">
        <f t="shared" si="1"/>
        <v>50855000</v>
      </c>
      <c r="D60" s="175">
        <v>10171000</v>
      </c>
      <c r="E60" s="207"/>
      <c r="F60" s="59"/>
      <c r="G60" s="124"/>
      <c r="H60" s="192"/>
      <c r="I60" s="193"/>
    </row>
    <row r="61" spans="1:9" ht="12.75">
      <c r="A61" s="115">
        <v>40086</v>
      </c>
      <c r="B61" s="139">
        <f t="shared" si="0"/>
        <v>2</v>
      </c>
      <c r="C61" s="59">
        <f t="shared" si="1"/>
        <v>50855000</v>
      </c>
      <c r="D61" s="175"/>
      <c r="E61" s="207">
        <f>E59</f>
        <v>0.111</v>
      </c>
      <c r="F61" s="59">
        <f>((C60+D60)*E61/360*B60)+((C61+D61)*E61/360*B61)</f>
        <v>1724832.083333333</v>
      </c>
      <c r="G61" s="185"/>
      <c r="H61" s="185"/>
      <c r="I61" s="186"/>
    </row>
    <row r="62" spans="1:9" ht="12.75">
      <c r="A62" s="115">
        <v>40175</v>
      </c>
      <c r="B62" s="139">
        <f t="shared" si="0"/>
        <v>89</v>
      </c>
      <c r="C62" s="59">
        <f t="shared" si="1"/>
        <v>40684000</v>
      </c>
      <c r="D62" s="175">
        <v>10171000</v>
      </c>
      <c r="E62" s="207"/>
      <c r="F62" s="59"/>
      <c r="G62" s="185"/>
      <c r="H62" s="185"/>
      <c r="I62" s="186"/>
    </row>
    <row r="63" spans="1:9" ht="12.75">
      <c r="A63" s="179">
        <v>40178</v>
      </c>
      <c r="B63" s="129">
        <f t="shared" si="0"/>
        <v>3</v>
      </c>
      <c r="C63" s="180">
        <f t="shared" si="1"/>
        <v>40684000</v>
      </c>
      <c r="D63" s="180"/>
      <c r="E63" s="209">
        <f>E61</f>
        <v>0.111</v>
      </c>
      <c r="F63" s="130">
        <f>((C62+D62)*E63/360*B62)+((C63+D63)*E63/360*B63)</f>
        <v>1433178.6583333332</v>
      </c>
      <c r="G63" s="187">
        <f>SUM(F56:F63)</f>
        <v>7397961.608333333</v>
      </c>
      <c r="H63" s="187">
        <f>SUM(D56:D63)</f>
        <v>40684000</v>
      </c>
      <c r="I63" s="188">
        <f>SUM(G63:H63)</f>
        <v>48081961.608333334</v>
      </c>
    </row>
    <row r="64" spans="1:9" ht="12.75">
      <c r="A64" s="134">
        <v>40265</v>
      </c>
      <c r="B64" s="143">
        <f t="shared" si="0"/>
        <v>87</v>
      </c>
      <c r="C64" s="208">
        <f t="shared" si="1"/>
        <v>30513000</v>
      </c>
      <c r="D64" s="175">
        <v>10171000</v>
      </c>
      <c r="E64" s="207"/>
      <c r="F64" s="208"/>
      <c r="G64" s="177"/>
      <c r="H64" s="177"/>
      <c r="I64" s="178"/>
    </row>
    <row r="65" spans="1:9" ht="12.75">
      <c r="A65" s="115">
        <v>40268</v>
      </c>
      <c r="B65" s="139">
        <f t="shared" si="0"/>
        <v>3</v>
      </c>
      <c r="C65" s="59">
        <f t="shared" si="1"/>
        <v>30513000</v>
      </c>
      <c r="D65" s="175"/>
      <c r="E65" s="207">
        <f>E63</f>
        <v>0.111</v>
      </c>
      <c r="F65" s="59">
        <f>((C64+D64)*E65/360*B64)+((C65+D65)*E65/360*B65)</f>
        <v>1119572.825</v>
      </c>
      <c r="G65" s="185"/>
      <c r="H65" s="185"/>
      <c r="I65" s="186"/>
    </row>
    <row r="66" spans="1:9" ht="12.75">
      <c r="A66" s="115">
        <v>40357</v>
      </c>
      <c r="B66" s="139">
        <f t="shared" si="0"/>
        <v>89</v>
      </c>
      <c r="C66" s="59">
        <f t="shared" si="1"/>
        <v>20342000</v>
      </c>
      <c r="D66" s="175">
        <v>10171000</v>
      </c>
      <c r="E66" s="207"/>
      <c r="F66" s="59"/>
      <c r="G66" s="185"/>
      <c r="H66" s="185"/>
      <c r="I66" s="186"/>
    </row>
    <row r="67" spans="1:9" ht="12.75">
      <c r="A67" s="121">
        <v>40359</v>
      </c>
      <c r="B67" s="139">
        <f>A67-A66</f>
        <v>2</v>
      </c>
      <c r="C67" s="59">
        <f>C66-D67</f>
        <v>20342000</v>
      </c>
      <c r="D67" s="191"/>
      <c r="E67" s="213">
        <f>E65</f>
        <v>0.111</v>
      </c>
      <c r="F67" s="59">
        <f>((C66+D66)*E67/360*B66)+((C67+D67)*E67/360*B67)</f>
        <v>849871.8083333332</v>
      </c>
      <c r="G67" s="185"/>
      <c r="H67" s="185"/>
      <c r="I67" s="186"/>
    </row>
    <row r="68" spans="1:9" ht="12.75">
      <c r="A68" s="266">
        <v>40449</v>
      </c>
      <c r="B68" s="139">
        <f>A68-A67</f>
        <v>90</v>
      </c>
      <c r="C68" s="208">
        <f>C67-D68</f>
        <v>10171000</v>
      </c>
      <c r="D68" s="208">
        <v>10171000</v>
      </c>
      <c r="E68" s="268"/>
      <c r="F68" s="142"/>
      <c r="G68" s="192"/>
      <c r="H68" s="192"/>
      <c r="I68" s="193"/>
    </row>
    <row r="69" spans="1:9" ht="12.75">
      <c r="A69" s="121">
        <v>40451</v>
      </c>
      <c r="B69" s="122">
        <f>A69-A68</f>
        <v>2</v>
      </c>
      <c r="C69" s="59">
        <f>C68-D69</f>
        <v>10171000</v>
      </c>
      <c r="D69" s="122"/>
      <c r="E69" s="126">
        <f>E67</f>
        <v>0.111</v>
      </c>
      <c r="F69" s="59">
        <f>((C68+D68)*E69/360*B68)+((C69+D69)*E69/360*B69)</f>
        <v>570762.6166666667</v>
      </c>
      <c r="G69" s="124"/>
      <c r="H69" s="124"/>
      <c r="I69" s="125"/>
    </row>
    <row r="70" spans="1:9" ht="13.5" thickBot="1">
      <c r="A70" s="145">
        <v>40540</v>
      </c>
      <c r="B70" s="146">
        <f>A70-A69</f>
        <v>89</v>
      </c>
      <c r="C70" s="147">
        <f>C69-D70</f>
        <v>0</v>
      </c>
      <c r="D70" s="147">
        <v>10171000</v>
      </c>
      <c r="E70" s="277">
        <f>E69</f>
        <v>0.111</v>
      </c>
      <c r="F70" s="147">
        <f>((C70+D70)*E70/360*B70)</f>
        <v>279109.19166666665</v>
      </c>
      <c r="G70" s="269">
        <f>SUM(F64:F70)</f>
        <v>2819316.4416666664</v>
      </c>
      <c r="H70" s="269">
        <f>SUM(D64:D70)</f>
        <v>40684000</v>
      </c>
      <c r="I70" s="270">
        <f>SUM(G70:H70)</f>
        <v>43503316.44166666</v>
      </c>
    </row>
    <row r="71" spans="1:9" ht="13.5" thickTop="1">
      <c r="A71" s="322" t="s">
        <v>14</v>
      </c>
      <c r="B71" s="323"/>
      <c r="C71" s="324"/>
      <c r="D71" s="187">
        <f>SUM(D8:D70)</f>
        <v>305133000</v>
      </c>
      <c r="E71" s="325"/>
      <c r="F71" s="187">
        <f>SUM(F8:F70)</f>
        <v>145014337.43194446</v>
      </c>
      <c r="G71" s="292">
        <f>SUM(G8:G70)</f>
        <v>145014337.43194443</v>
      </c>
      <c r="H71" s="292">
        <f>SUM(H8:H70)</f>
        <v>305133000</v>
      </c>
      <c r="I71" s="216">
        <f>SUM(I8:I70)</f>
        <v>450147337.4319445</v>
      </c>
    </row>
    <row r="74" ht="12.75">
      <c r="F74" s="326"/>
    </row>
  </sheetData>
  <printOptions horizontalCentered="1"/>
  <pageMargins left="0.5905511811023623" right="0.5905511811023623" top="0.7874015748031497" bottom="0.5905511811023623" header="0.1968503937007874" footer="0.1968503937007874"/>
  <pageSetup horizontalDpi="300" verticalDpi="300" orientation="portrait" paperSize="9" r:id="rId1"/>
  <headerFooter alignWithMargins="0">
    <oddHeader xml:space="preserve">&amp;C&amp;"Times New Roman CE,Félkövér"&amp;12Adósságszolgálat számítása az OTP tájékoztatása alapján &amp;"Times New Roman CE,Félkövér dőlt"
2002. decemberben felvett 305.133 eFt hitel </oddHeader>
    <oddFooter>&amp;L&amp;9Nyomtatás dátuma: &amp;D
C:\Andi\adósságszolgálat\&amp;F\&amp;A&amp;R&amp;P/&amp;N</oddFooter>
  </headerFooter>
  <rowBreaks count="1" manualBreakCount="1">
    <brk id="5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11.375" style="89" customWidth="1"/>
    <col min="2" max="2" width="6.875" style="155" customWidth="1"/>
    <col min="3" max="3" width="12.125" style="155" customWidth="1"/>
    <col min="4" max="4" width="12.625" style="155" customWidth="1"/>
    <col min="5" max="5" width="8.00390625" style="156" customWidth="1"/>
    <col min="6" max="6" width="12.625" style="89" bestFit="1" customWidth="1"/>
    <col min="7" max="7" width="14.625" style="155" customWidth="1"/>
    <col min="8" max="8" width="12.625" style="89" bestFit="1" customWidth="1"/>
    <col min="9" max="9" width="14.375" style="155" customWidth="1"/>
    <col min="10" max="10" width="9.375" style="89" customWidth="1"/>
    <col min="11" max="11" width="11.125" style="89" bestFit="1" customWidth="1"/>
    <col min="12" max="16384" width="9.375" style="89" customWidth="1"/>
  </cols>
  <sheetData>
    <row r="1" spans="1:6" ht="12.75">
      <c r="A1" s="85" t="s">
        <v>120</v>
      </c>
      <c r="B1" s="85"/>
      <c r="C1" s="327"/>
      <c r="D1" s="88"/>
      <c r="E1" s="86"/>
      <c r="F1" s="87"/>
    </row>
    <row r="2" spans="1:9" ht="12.75">
      <c r="A2" s="90" t="s">
        <v>15</v>
      </c>
      <c r="B2" s="91"/>
      <c r="C2" s="91"/>
      <c r="D2" s="91"/>
      <c r="E2" s="92"/>
      <c r="F2" s="91"/>
      <c r="G2" s="91"/>
      <c r="H2" s="91"/>
      <c r="I2" s="91"/>
    </row>
    <row r="3" spans="1:9" ht="12.75">
      <c r="A3" s="90" t="s">
        <v>79</v>
      </c>
      <c r="B3" s="91"/>
      <c r="C3" s="91"/>
      <c r="D3" s="91"/>
      <c r="E3" s="92"/>
      <c r="F3" s="91"/>
      <c r="G3" s="91"/>
      <c r="H3" s="91"/>
      <c r="I3" s="91"/>
    </row>
    <row r="4" spans="1:9" ht="12.75">
      <c r="A4" s="93"/>
      <c r="B4" s="94"/>
      <c r="C4" s="94"/>
      <c r="D4" s="95"/>
      <c r="E4" s="96"/>
      <c r="F4" s="95"/>
      <c r="G4" s="95"/>
      <c r="H4" s="95"/>
      <c r="I4" s="95" t="s">
        <v>2</v>
      </c>
    </row>
    <row r="5" spans="1:9" ht="12.75">
      <c r="A5" s="97" t="s">
        <v>3</v>
      </c>
      <c r="B5" s="98" t="s">
        <v>4</v>
      </c>
      <c r="C5" s="99" t="s">
        <v>5</v>
      </c>
      <c r="D5" s="99" t="s">
        <v>21</v>
      </c>
      <c r="E5" s="99" t="s">
        <v>18</v>
      </c>
      <c r="F5" s="100" t="s">
        <v>20</v>
      </c>
      <c r="G5" s="101" t="s">
        <v>6</v>
      </c>
      <c r="H5" s="101" t="s">
        <v>6</v>
      </c>
      <c r="I5" s="102" t="s">
        <v>6</v>
      </c>
    </row>
    <row r="6" spans="1:9" ht="12.75">
      <c r="A6" s="103"/>
      <c r="B6" s="104" t="s">
        <v>7</v>
      </c>
      <c r="C6" s="105" t="s">
        <v>8</v>
      </c>
      <c r="D6" s="105" t="s">
        <v>13</v>
      </c>
      <c r="E6" s="105" t="s">
        <v>19</v>
      </c>
      <c r="F6" s="106" t="s">
        <v>13</v>
      </c>
      <c r="G6" s="107" t="s">
        <v>9</v>
      </c>
      <c r="H6" s="107" t="s">
        <v>11</v>
      </c>
      <c r="I6" s="108" t="s">
        <v>10</v>
      </c>
    </row>
    <row r="7" spans="1:9" ht="12.75">
      <c r="A7" s="109"/>
      <c r="B7" s="110"/>
      <c r="C7" s="111"/>
      <c r="D7" s="111"/>
      <c r="E7" s="111"/>
      <c r="F7" s="112"/>
      <c r="G7" s="112"/>
      <c r="H7" s="113" t="s">
        <v>13</v>
      </c>
      <c r="I7" s="114" t="s">
        <v>12</v>
      </c>
    </row>
    <row r="8" spans="1:9" ht="12.75">
      <c r="A8" s="288">
        <v>37915</v>
      </c>
      <c r="B8" s="139"/>
      <c r="C8" s="138">
        <v>301781952</v>
      </c>
      <c r="D8" s="138"/>
      <c r="E8" s="289"/>
      <c r="F8" s="138"/>
      <c r="G8" s="290"/>
      <c r="H8" s="290"/>
      <c r="I8" s="291"/>
    </row>
    <row r="9" spans="1:9" ht="13.5" thickBot="1">
      <c r="A9" s="312">
        <v>37959</v>
      </c>
      <c r="B9" s="313">
        <f aca="true" t="shared" si="0" ref="B9:B46">A9-A8</f>
        <v>44</v>
      </c>
      <c r="C9" s="65">
        <f>(C8-D9)+312908472</f>
        <v>614690424</v>
      </c>
      <c r="D9" s="65"/>
      <c r="E9" s="314"/>
      <c r="F9" s="65"/>
      <c r="G9" s="252"/>
      <c r="H9" s="252"/>
      <c r="I9" s="253"/>
    </row>
    <row r="10" spans="1:9" ht="12.75">
      <c r="A10" s="260">
        <v>37977</v>
      </c>
      <c r="B10" s="328">
        <f t="shared" si="0"/>
        <v>18</v>
      </c>
      <c r="C10" s="261">
        <f>C9-D10</f>
        <v>614690424</v>
      </c>
      <c r="D10" s="261"/>
      <c r="E10" s="329"/>
      <c r="F10" s="261"/>
      <c r="G10" s="330"/>
      <c r="H10" s="330"/>
      <c r="I10" s="331"/>
    </row>
    <row r="11" spans="1:9" ht="13.5" thickBot="1">
      <c r="A11" s="312">
        <v>37986</v>
      </c>
      <c r="B11" s="313">
        <f t="shared" si="0"/>
        <v>9</v>
      </c>
      <c r="C11" s="65">
        <f>(C10-D11)+66348184</f>
        <v>681038608</v>
      </c>
      <c r="D11" s="65"/>
      <c r="E11" s="314">
        <v>0.0961</v>
      </c>
      <c r="F11" s="65">
        <v>7974978</v>
      </c>
      <c r="G11" s="252">
        <f>SUM(F8:F11)</f>
        <v>7974978</v>
      </c>
      <c r="H11" s="252">
        <f>SUM(D8:D11)</f>
        <v>0</v>
      </c>
      <c r="I11" s="253">
        <f>SUM(G11:H11)</f>
        <v>7974978</v>
      </c>
    </row>
    <row r="12" spans="1:11" ht="13.5" thickBot="1">
      <c r="A12" s="332">
        <v>38077</v>
      </c>
      <c r="B12" s="333">
        <f t="shared" si="0"/>
        <v>91</v>
      </c>
      <c r="C12" s="67">
        <f>(C11-D12)</f>
        <v>681038608</v>
      </c>
      <c r="D12" s="67"/>
      <c r="E12" s="334">
        <v>0.1255</v>
      </c>
      <c r="F12" s="67">
        <f>(C12+D12)*E12/360*B12</f>
        <v>21605003.951844446</v>
      </c>
      <c r="G12" s="254"/>
      <c r="H12" s="254"/>
      <c r="I12" s="255"/>
      <c r="K12" s="155"/>
    </row>
    <row r="13" spans="1:11" ht="13.5" thickBot="1">
      <c r="A13" s="332">
        <v>38142</v>
      </c>
      <c r="B13" s="333">
        <f>A13-A12</f>
        <v>65</v>
      </c>
      <c r="C13" s="67">
        <f>C11-D13+13675934</f>
        <v>694714542</v>
      </c>
      <c r="D13" s="67"/>
      <c r="E13" s="334"/>
      <c r="F13" s="67"/>
      <c r="G13" s="254"/>
      <c r="H13" s="254"/>
      <c r="I13" s="255"/>
      <c r="K13" s="155"/>
    </row>
    <row r="14" spans="1:9" ht="12.75">
      <c r="A14" s="115">
        <v>38168</v>
      </c>
      <c r="B14" s="116">
        <f>A14-A13</f>
        <v>26</v>
      </c>
      <c r="C14" s="117">
        <f>C13-D14</f>
        <v>694714542</v>
      </c>
      <c r="D14" s="117"/>
      <c r="E14" s="118">
        <v>0.1197</v>
      </c>
      <c r="F14" s="59">
        <v>20735726</v>
      </c>
      <c r="G14" s="119"/>
      <c r="H14" s="119"/>
      <c r="I14" s="120"/>
    </row>
    <row r="15" spans="1:9" ht="12.75">
      <c r="A15" s="115">
        <v>38254</v>
      </c>
      <c r="B15" s="116">
        <f>A15-A14</f>
        <v>86</v>
      </c>
      <c r="C15" s="117">
        <v>704770956</v>
      </c>
      <c r="D15" s="117"/>
      <c r="E15" s="118"/>
      <c r="F15" s="59"/>
      <c r="G15" s="119"/>
      <c r="H15" s="119"/>
      <c r="I15" s="120"/>
    </row>
    <row r="16" spans="1:9" ht="12.75">
      <c r="A16" s="115">
        <v>38258</v>
      </c>
      <c r="B16" s="116">
        <f>A16-A15</f>
        <v>4</v>
      </c>
      <c r="C16" s="59">
        <f aca="true" t="shared" si="1" ref="C16:C26">C15-D16</f>
        <v>684949956</v>
      </c>
      <c r="D16" s="117">
        <v>19821000</v>
      </c>
      <c r="E16" s="118"/>
      <c r="F16" s="59"/>
      <c r="G16" s="119"/>
      <c r="H16" s="119"/>
      <c r="I16" s="120"/>
    </row>
    <row r="17" spans="1:9" ht="12.75">
      <c r="A17" s="121">
        <v>38260</v>
      </c>
      <c r="B17" s="116">
        <f>A17-A15</f>
        <v>6</v>
      </c>
      <c r="C17" s="59">
        <f t="shared" si="1"/>
        <v>684949956</v>
      </c>
      <c r="D17" s="59"/>
      <c r="E17" s="123">
        <v>0.1167</v>
      </c>
      <c r="F17" s="59">
        <v>20731202</v>
      </c>
      <c r="G17" s="124"/>
      <c r="H17" s="124"/>
      <c r="I17" s="125"/>
    </row>
    <row r="18" spans="1:9" ht="12.75">
      <c r="A18" s="121">
        <v>38293</v>
      </c>
      <c r="B18" s="122">
        <f t="shared" si="0"/>
        <v>33</v>
      </c>
      <c r="C18" s="59">
        <v>693350000</v>
      </c>
      <c r="D18" s="59"/>
      <c r="E18" s="123"/>
      <c r="F18" s="59"/>
      <c r="G18" s="124"/>
      <c r="H18" s="124"/>
      <c r="I18" s="125"/>
    </row>
    <row r="19" spans="1:9" ht="12.75">
      <c r="A19" s="121">
        <v>38349</v>
      </c>
      <c r="B19" s="122">
        <f t="shared" si="0"/>
        <v>56</v>
      </c>
      <c r="C19" s="59">
        <f>C18-D19</f>
        <v>673540000</v>
      </c>
      <c r="D19" s="59">
        <v>19810000</v>
      </c>
      <c r="E19" s="126"/>
      <c r="F19" s="122"/>
      <c r="G19" s="59"/>
      <c r="H19" s="122"/>
      <c r="I19" s="127"/>
    </row>
    <row r="20" spans="1:9" ht="12.75">
      <c r="A20" s="128">
        <v>38352</v>
      </c>
      <c r="B20" s="129">
        <f t="shared" si="0"/>
        <v>3</v>
      </c>
      <c r="C20" s="130">
        <f t="shared" si="1"/>
        <v>673540000</v>
      </c>
      <c r="D20" s="130"/>
      <c r="E20" s="131">
        <v>0.111</v>
      </c>
      <c r="F20" s="59">
        <f>((C19+D19)*E20/360*B19)+((C20+D20)*E20/360*B20)</f>
        <v>12594867.833333332</v>
      </c>
      <c r="G20" s="132">
        <f>SUM(F12:F20)</f>
        <v>75666799.78517778</v>
      </c>
      <c r="H20" s="132">
        <f>SUM(D12:D20)</f>
        <v>39631000</v>
      </c>
      <c r="I20" s="133">
        <f>SUM(G20:H20)</f>
        <v>115297799.78517778</v>
      </c>
    </row>
    <row r="21" spans="1:9" ht="12.75">
      <c r="A21" s="134">
        <v>38439</v>
      </c>
      <c r="B21" s="116">
        <f t="shared" si="0"/>
        <v>87</v>
      </c>
      <c r="C21" s="117">
        <f t="shared" si="1"/>
        <v>653730000</v>
      </c>
      <c r="D21" s="60">
        <f>D19</f>
        <v>19810000</v>
      </c>
      <c r="E21" s="184"/>
      <c r="F21" s="60"/>
      <c r="G21" s="189"/>
      <c r="H21" s="189"/>
      <c r="I21" s="190"/>
    </row>
    <row r="22" spans="1:9" ht="12.75">
      <c r="A22" s="121">
        <v>38442</v>
      </c>
      <c r="B22" s="122">
        <f t="shared" si="0"/>
        <v>3</v>
      </c>
      <c r="C22" s="59">
        <f t="shared" si="1"/>
        <v>653730000</v>
      </c>
      <c r="D22" s="59"/>
      <c r="E22" s="123">
        <f>E20</f>
        <v>0.111</v>
      </c>
      <c r="F22" s="59">
        <f>((C21+D21)*E22/360*B21)+((C22+D22)*E22/360*B22)</f>
        <v>18672410.75</v>
      </c>
      <c r="G22" s="124"/>
      <c r="H22" s="124"/>
      <c r="I22" s="125"/>
    </row>
    <row r="23" spans="1:9" ht="12.75">
      <c r="A23" s="121">
        <v>38531</v>
      </c>
      <c r="B23" s="122">
        <f t="shared" si="0"/>
        <v>89</v>
      </c>
      <c r="C23" s="59">
        <f t="shared" si="1"/>
        <v>633920000</v>
      </c>
      <c r="D23" s="59">
        <f>D21</f>
        <v>19810000</v>
      </c>
      <c r="E23" s="123"/>
      <c r="F23" s="59"/>
      <c r="G23" s="124"/>
      <c r="H23" s="124"/>
      <c r="I23" s="125"/>
    </row>
    <row r="24" spans="1:9" ht="12.75">
      <c r="A24" s="121">
        <v>38533</v>
      </c>
      <c r="B24" s="122">
        <f t="shared" si="0"/>
        <v>2</v>
      </c>
      <c r="C24" s="59">
        <f t="shared" si="1"/>
        <v>633920000</v>
      </c>
      <c r="D24" s="59"/>
      <c r="E24" s="123">
        <f>E22</f>
        <v>0.111</v>
      </c>
      <c r="F24" s="59">
        <f>((C23+D23)*E24/360*B23)+((C24+D24)*E24/360*B24)</f>
        <v>18330358.083333332</v>
      </c>
      <c r="G24" s="124"/>
      <c r="H24" s="124"/>
      <c r="I24" s="125"/>
    </row>
    <row r="25" spans="1:9" ht="12.75">
      <c r="A25" s="121">
        <v>38623</v>
      </c>
      <c r="B25" s="122">
        <f t="shared" si="0"/>
        <v>90</v>
      </c>
      <c r="C25" s="59">
        <f t="shared" si="1"/>
        <v>614110000</v>
      </c>
      <c r="D25" s="59">
        <f>D23</f>
        <v>19810000</v>
      </c>
      <c r="E25" s="123"/>
      <c r="F25" s="59"/>
      <c r="G25" s="124"/>
      <c r="H25" s="124"/>
      <c r="I25" s="125"/>
    </row>
    <row r="26" spans="1:9" ht="12.75">
      <c r="A26" s="121">
        <v>38625</v>
      </c>
      <c r="B26" s="122">
        <f t="shared" si="0"/>
        <v>2</v>
      </c>
      <c r="C26" s="59">
        <f t="shared" si="1"/>
        <v>614110000</v>
      </c>
      <c r="D26" s="59"/>
      <c r="E26" s="123">
        <f>E24</f>
        <v>0.111</v>
      </c>
      <c r="F26" s="59">
        <f>((C25+D25)*E26/360*B25)+((C26+D26)*E26/360*B26)</f>
        <v>17969981.166666668</v>
      </c>
      <c r="G26" s="124"/>
      <c r="H26" s="124"/>
      <c r="I26" s="125"/>
    </row>
    <row r="27" spans="1:9" ht="12.75">
      <c r="A27" s="121">
        <v>38714</v>
      </c>
      <c r="B27" s="122">
        <f t="shared" si="0"/>
        <v>89</v>
      </c>
      <c r="C27" s="59">
        <f>C26-D27</f>
        <v>594300000</v>
      </c>
      <c r="D27" s="59">
        <f>D25</f>
        <v>19810000</v>
      </c>
      <c r="E27" s="123"/>
      <c r="F27" s="59"/>
      <c r="G27" s="124"/>
      <c r="H27" s="124"/>
      <c r="I27" s="125"/>
    </row>
    <row r="28" spans="1:9" ht="12.75">
      <c r="A28" s="128">
        <v>38717</v>
      </c>
      <c r="B28" s="129">
        <f t="shared" si="0"/>
        <v>3</v>
      </c>
      <c r="C28" s="130">
        <f>C27-D28</f>
        <v>594300000</v>
      </c>
      <c r="D28" s="130"/>
      <c r="E28" s="131">
        <f>E26</f>
        <v>0.111</v>
      </c>
      <c r="F28" s="130">
        <f>((C27+D27)*E28/360*B27)+((C28+D28)*E28/360*B28)</f>
        <v>17401929.416666668</v>
      </c>
      <c r="G28" s="132">
        <f>SUM(F22:F28)</f>
        <v>72374679.41666667</v>
      </c>
      <c r="H28" s="132">
        <f>SUM(D21:D28)</f>
        <v>79240000</v>
      </c>
      <c r="I28" s="133">
        <f>SUM(G28:H28)</f>
        <v>151614679.4166667</v>
      </c>
    </row>
    <row r="29" spans="1:9" ht="12.75">
      <c r="A29" s="134">
        <v>38804</v>
      </c>
      <c r="B29" s="135">
        <f t="shared" si="0"/>
        <v>87</v>
      </c>
      <c r="C29" s="60">
        <f aca="true" t="shared" si="2" ref="C29:C66">C28-D29</f>
        <v>574490000</v>
      </c>
      <c r="D29" s="60">
        <f>D27</f>
        <v>19810000</v>
      </c>
      <c r="E29" s="136"/>
      <c r="F29" s="135"/>
      <c r="G29" s="60"/>
      <c r="H29" s="135"/>
      <c r="I29" s="137"/>
    </row>
    <row r="30" spans="1:9" ht="12.75">
      <c r="A30" s="121">
        <v>38807</v>
      </c>
      <c r="B30" s="122">
        <f t="shared" si="0"/>
        <v>3</v>
      </c>
      <c r="C30" s="59">
        <f t="shared" si="2"/>
        <v>574490000</v>
      </c>
      <c r="D30" s="59"/>
      <c r="E30" s="123">
        <f>E28</f>
        <v>0.111</v>
      </c>
      <c r="F30" s="59">
        <f>((C29+D29)*E30/360*B29)+((C30+D30)*E30/360*B30)</f>
        <v>16473500.75</v>
      </c>
      <c r="G30" s="59"/>
      <c r="H30" s="122"/>
      <c r="I30" s="127"/>
    </row>
    <row r="31" spans="1:9" ht="12.75">
      <c r="A31" s="121">
        <v>38896</v>
      </c>
      <c r="B31" s="122">
        <f t="shared" si="0"/>
        <v>89</v>
      </c>
      <c r="C31" s="59">
        <f t="shared" si="2"/>
        <v>554680000</v>
      </c>
      <c r="D31" s="59">
        <f>D29</f>
        <v>19810000</v>
      </c>
      <c r="E31" s="126"/>
      <c r="F31" s="122"/>
      <c r="G31" s="59"/>
      <c r="H31" s="122"/>
      <c r="I31" s="127"/>
    </row>
    <row r="32" spans="1:9" ht="12.75">
      <c r="A32" s="121">
        <v>38898</v>
      </c>
      <c r="B32" s="122">
        <f t="shared" si="0"/>
        <v>2</v>
      </c>
      <c r="C32" s="59">
        <f t="shared" si="2"/>
        <v>554680000</v>
      </c>
      <c r="D32" s="59"/>
      <c r="E32" s="123">
        <f>E30</f>
        <v>0.111</v>
      </c>
      <c r="F32" s="59">
        <f>((C31+D31)*E32/360*B31)+((C32+D32)*E32/360*B32)</f>
        <v>16107015.749999998</v>
      </c>
      <c r="G32" s="59"/>
      <c r="H32" s="122"/>
      <c r="I32" s="127"/>
    </row>
    <row r="33" spans="1:9" ht="12.75">
      <c r="A33" s="121">
        <v>38988</v>
      </c>
      <c r="B33" s="122">
        <f t="shared" si="0"/>
        <v>90</v>
      </c>
      <c r="C33" s="59">
        <f t="shared" si="2"/>
        <v>534870000</v>
      </c>
      <c r="D33" s="59">
        <f>D31</f>
        <v>19810000</v>
      </c>
      <c r="E33" s="126"/>
      <c r="F33" s="122"/>
      <c r="G33" s="59"/>
      <c r="H33" s="122"/>
      <c r="I33" s="127"/>
    </row>
    <row r="34" spans="1:9" ht="12.75">
      <c r="A34" s="121">
        <v>38990</v>
      </c>
      <c r="B34" s="122">
        <f t="shared" si="0"/>
        <v>2</v>
      </c>
      <c r="C34" s="59">
        <f t="shared" si="2"/>
        <v>534870000</v>
      </c>
      <c r="D34" s="59"/>
      <c r="E34" s="123">
        <f>E32</f>
        <v>0.111</v>
      </c>
      <c r="F34" s="59">
        <f>((C33+D33)*E34/360*B33)+((C34+D34)*E34/360*B34)</f>
        <v>15722206.5</v>
      </c>
      <c r="G34" s="59"/>
      <c r="H34" s="122"/>
      <c r="I34" s="127"/>
    </row>
    <row r="35" spans="1:9" ht="12.75">
      <c r="A35" s="121">
        <v>39079</v>
      </c>
      <c r="B35" s="122">
        <f t="shared" si="0"/>
        <v>89</v>
      </c>
      <c r="C35" s="59">
        <f t="shared" si="2"/>
        <v>515060000</v>
      </c>
      <c r="D35" s="59">
        <f>D33</f>
        <v>19810000</v>
      </c>
      <c r="E35" s="126"/>
      <c r="F35" s="122"/>
      <c r="G35" s="59"/>
      <c r="H35" s="122"/>
      <c r="I35" s="127"/>
    </row>
    <row r="36" spans="1:9" ht="12.75">
      <c r="A36" s="128">
        <v>39082</v>
      </c>
      <c r="B36" s="129">
        <f t="shared" si="0"/>
        <v>3</v>
      </c>
      <c r="C36" s="130">
        <f t="shared" si="2"/>
        <v>515060000</v>
      </c>
      <c r="D36" s="130"/>
      <c r="E36" s="131">
        <f>E34</f>
        <v>0.111</v>
      </c>
      <c r="F36" s="130">
        <f>((C35+D35)*E36/360*B35)+((C36+D36)*E36/360*B36)</f>
        <v>15154154.75</v>
      </c>
      <c r="G36" s="132">
        <f>SUM(F30:F36)</f>
        <v>63456877.75</v>
      </c>
      <c r="H36" s="132">
        <f>SUM(D29:D36)</f>
        <v>79240000</v>
      </c>
      <c r="I36" s="133">
        <f>SUM(G36:H36)</f>
        <v>142696877.75</v>
      </c>
    </row>
    <row r="37" spans="1:9" ht="12.75">
      <c r="A37" s="134">
        <v>39169</v>
      </c>
      <c r="B37" s="135">
        <f t="shared" si="0"/>
        <v>87</v>
      </c>
      <c r="C37" s="60">
        <f t="shared" si="2"/>
        <v>495250000</v>
      </c>
      <c r="D37" s="60">
        <f>D35</f>
        <v>19810000</v>
      </c>
      <c r="E37" s="136"/>
      <c r="F37" s="135"/>
      <c r="G37" s="60"/>
      <c r="H37" s="135"/>
      <c r="I37" s="137"/>
    </row>
    <row r="38" spans="1:9" ht="12.75">
      <c r="A38" s="121">
        <v>39172</v>
      </c>
      <c r="B38" s="122">
        <f t="shared" si="0"/>
        <v>3</v>
      </c>
      <c r="C38" s="59">
        <f t="shared" si="2"/>
        <v>495250000</v>
      </c>
      <c r="D38" s="59"/>
      <c r="E38" s="123">
        <f>E36</f>
        <v>0.111</v>
      </c>
      <c r="F38" s="59">
        <f>((C37+D37)*E38/360*B37)+((C38+D38)*E38/360*B38)</f>
        <v>14274590.75</v>
      </c>
      <c r="G38" s="59"/>
      <c r="H38" s="122"/>
      <c r="I38" s="127"/>
    </row>
    <row r="39" spans="1:9" ht="12.75">
      <c r="A39" s="121">
        <v>39261</v>
      </c>
      <c r="B39" s="122">
        <f t="shared" si="0"/>
        <v>89</v>
      </c>
      <c r="C39" s="59">
        <f t="shared" si="2"/>
        <v>475440000</v>
      </c>
      <c r="D39" s="59">
        <f>D37</f>
        <v>19810000</v>
      </c>
      <c r="E39" s="126"/>
      <c r="F39" s="122"/>
      <c r="G39" s="59"/>
      <c r="H39" s="122"/>
      <c r="I39" s="127"/>
    </row>
    <row r="40" spans="1:9" ht="12.75">
      <c r="A40" s="121">
        <v>39263</v>
      </c>
      <c r="B40" s="122">
        <f t="shared" si="0"/>
        <v>2</v>
      </c>
      <c r="C40" s="59">
        <f t="shared" si="2"/>
        <v>475440000</v>
      </c>
      <c r="D40" s="59"/>
      <c r="E40" s="123">
        <f>E38</f>
        <v>0.111</v>
      </c>
      <c r="F40" s="59">
        <f>((C39+D39)*E40/360*B39)+((C40+D40)*E40/360*B40)</f>
        <v>13883673.416666668</v>
      </c>
      <c r="G40" s="59"/>
      <c r="H40" s="122"/>
      <c r="I40" s="127"/>
    </row>
    <row r="41" spans="1:9" ht="12.75">
      <c r="A41" s="121">
        <v>39353</v>
      </c>
      <c r="B41" s="122">
        <f t="shared" si="0"/>
        <v>90</v>
      </c>
      <c r="C41" s="59">
        <f t="shared" si="2"/>
        <v>455630000</v>
      </c>
      <c r="D41" s="59">
        <f>D39</f>
        <v>19810000</v>
      </c>
      <c r="E41" s="126"/>
      <c r="F41" s="122"/>
      <c r="G41" s="59"/>
      <c r="H41" s="122"/>
      <c r="I41" s="127"/>
    </row>
    <row r="42" spans="1:9" ht="12.75">
      <c r="A42" s="121">
        <v>39355</v>
      </c>
      <c r="B42" s="122">
        <f t="shared" si="0"/>
        <v>2</v>
      </c>
      <c r="C42" s="59">
        <f t="shared" si="2"/>
        <v>455630000</v>
      </c>
      <c r="D42" s="59"/>
      <c r="E42" s="123">
        <f>E40</f>
        <v>0.111</v>
      </c>
      <c r="F42" s="59">
        <f>((C41+D41)*E42/360*B41)+((C42+D42)*E42/360*B42)</f>
        <v>13474431.833333334</v>
      </c>
      <c r="G42" s="59"/>
      <c r="H42" s="122"/>
      <c r="I42" s="127"/>
    </row>
    <row r="43" spans="1:9" ht="12.75">
      <c r="A43" s="121">
        <v>39444</v>
      </c>
      <c r="B43" s="122">
        <f t="shared" si="0"/>
        <v>89</v>
      </c>
      <c r="C43" s="59">
        <f t="shared" si="2"/>
        <v>435820000</v>
      </c>
      <c r="D43" s="59">
        <f>D41</f>
        <v>19810000</v>
      </c>
      <c r="E43" s="126"/>
      <c r="F43" s="122"/>
      <c r="G43" s="59"/>
      <c r="H43" s="122"/>
      <c r="I43" s="127"/>
    </row>
    <row r="44" spans="1:9" ht="12.75">
      <c r="A44" s="128">
        <v>39447</v>
      </c>
      <c r="B44" s="129">
        <f t="shared" si="0"/>
        <v>3</v>
      </c>
      <c r="C44" s="130">
        <f t="shared" si="2"/>
        <v>435820000</v>
      </c>
      <c r="D44" s="130"/>
      <c r="E44" s="131">
        <f>E42</f>
        <v>0.111</v>
      </c>
      <c r="F44" s="130">
        <f>((C43+D43)*E44/360*B43)+((C44+D44)*E44/360*B44)</f>
        <v>12906380.083333332</v>
      </c>
      <c r="G44" s="132">
        <f>SUM(F38:F44)</f>
        <v>54539076.08333333</v>
      </c>
      <c r="H44" s="132">
        <f>SUM(D37:D44)</f>
        <v>79240000</v>
      </c>
      <c r="I44" s="133">
        <f>SUM(G44:H44)</f>
        <v>133779076.08333333</v>
      </c>
    </row>
    <row r="45" spans="1:9" ht="12.75">
      <c r="A45" s="134">
        <v>39535</v>
      </c>
      <c r="B45" s="135">
        <f t="shared" si="0"/>
        <v>88</v>
      </c>
      <c r="C45" s="60">
        <f t="shared" si="2"/>
        <v>416010000</v>
      </c>
      <c r="D45" s="60">
        <f>D43</f>
        <v>19810000</v>
      </c>
      <c r="E45" s="136"/>
      <c r="F45" s="135"/>
      <c r="G45" s="60"/>
      <c r="H45" s="135"/>
      <c r="I45" s="137"/>
    </row>
    <row r="46" spans="1:9" ht="12.75">
      <c r="A46" s="121">
        <v>39538</v>
      </c>
      <c r="B46" s="122">
        <f t="shared" si="0"/>
        <v>3</v>
      </c>
      <c r="C46" s="59">
        <f t="shared" si="2"/>
        <v>416010000</v>
      </c>
      <c r="D46" s="59"/>
      <c r="E46" s="123">
        <f>E44</f>
        <v>0.111</v>
      </c>
      <c r="F46" s="59">
        <f>((C45+D45)*E46/360*B45)+((C46+D46)*E46/360*B46)</f>
        <v>12210058.583333334</v>
      </c>
      <c r="G46" s="59"/>
      <c r="H46" s="122"/>
      <c r="I46" s="127"/>
    </row>
    <row r="47" spans="1:9" ht="12.75">
      <c r="A47" s="121">
        <v>39627</v>
      </c>
      <c r="B47" s="122">
        <f aca="true" t="shared" si="3" ref="B47:B68">A47-A46</f>
        <v>89</v>
      </c>
      <c r="C47" s="59">
        <f t="shared" si="2"/>
        <v>396200000</v>
      </c>
      <c r="D47" s="59">
        <f>D45</f>
        <v>19810000</v>
      </c>
      <c r="E47" s="126"/>
      <c r="F47" s="122"/>
      <c r="G47" s="59"/>
      <c r="H47" s="122"/>
      <c r="I47" s="127"/>
    </row>
    <row r="48" spans="1:9" ht="12.75">
      <c r="A48" s="121">
        <v>39629</v>
      </c>
      <c r="B48" s="122">
        <f t="shared" si="3"/>
        <v>2</v>
      </c>
      <c r="C48" s="59">
        <f t="shared" si="2"/>
        <v>396200000</v>
      </c>
      <c r="D48" s="59"/>
      <c r="E48" s="123">
        <f>E46</f>
        <v>0.111</v>
      </c>
      <c r="F48" s="59">
        <f>((C47+D47)*E48/360*B47)+((C48+D48)*E48/360*B48)</f>
        <v>11660331.083333334</v>
      </c>
      <c r="G48" s="59"/>
      <c r="H48" s="122"/>
      <c r="I48" s="127"/>
    </row>
    <row r="49" spans="1:9" ht="12.75">
      <c r="A49" s="121">
        <v>39719</v>
      </c>
      <c r="B49" s="122">
        <f t="shared" si="3"/>
        <v>90</v>
      </c>
      <c r="C49" s="59">
        <f t="shared" si="2"/>
        <v>376390000</v>
      </c>
      <c r="D49" s="59">
        <f>D47</f>
        <v>19810000</v>
      </c>
      <c r="E49" s="126"/>
      <c r="F49" s="122"/>
      <c r="G49" s="59"/>
      <c r="H49" s="122"/>
      <c r="I49" s="127"/>
    </row>
    <row r="50" spans="1:9" ht="12.75">
      <c r="A50" s="121">
        <v>39721</v>
      </c>
      <c r="B50" s="122">
        <f t="shared" si="3"/>
        <v>2</v>
      </c>
      <c r="C50" s="59">
        <f t="shared" si="2"/>
        <v>376390000</v>
      </c>
      <c r="D50" s="59"/>
      <c r="E50" s="123">
        <f>E48</f>
        <v>0.111</v>
      </c>
      <c r="F50" s="59">
        <f>((C49+D49)*E50/360*B49)+((C50+D50)*E50/360*B50)</f>
        <v>11226657.166666666</v>
      </c>
      <c r="G50" s="59"/>
      <c r="H50" s="122"/>
      <c r="I50" s="127"/>
    </row>
    <row r="51" spans="1:9" ht="12.75">
      <c r="A51" s="121">
        <v>39810</v>
      </c>
      <c r="B51" s="122">
        <f t="shared" si="3"/>
        <v>89</v>
      </c>
      <c r="C51" s="59">
        <f t="shared" si="2"/>
        <v>356580000</v>
      </c>
      <c r="D51" s="59">
        <f>D49</f>
        <v>19810000</v>
      </c>
      <c r="E51" s="126"/>
      <c r="F51" s="122"/>
      <c r="G51" s="59"/>
      <c r="H51" s="122"/>
      <c r="I51" s="127"/>
    </row>
    <row r="52" spans="1:9" ht="12.75">
      <c r="A52" s="128">
        <v>39813</v>
      </c>
      <c r="B52" s="129">
        <f t="shared" si="3"/>
        <v>3</v>
      </c>
      <c r="C52" s="130">
        <f t="shared" si="2"/>
        <v>356580000</v>
      </c>
      <c r="D52" s="130"/>
      <c r="E52" s="131">
        <f>E50</f>
        <v>0.111</v>
      </c>
      <c r="F52" s="130">
        <f>((C51+D51)*E52/360*B51)+((C52+D52)*E52/360*B52)</f>
        <v>10658605.416666666</v>
      </c>
      <c r="G52" s="132">
        <f>SUM(F46:F52)</f>
        <v>45755652.25</v>
      </c>
      <c r="H52" s="132">
        <f>SUM(D45:D52)</f>
        <v>79240000</v>
      </c>
      <c r="I52" s="133">
        <f>SUM(G52:H52)</f>
        <v>124995652.25</v>
      </c>
    </row>
    <row r="53" spans="1:9" ht="12.75">
      <c r="A53" s="134">
        <v>39900</v>
      </c>
      <c r="B53" s="135">
        <f t="shared" si="3"/>
        <v>87</v>
      </c>
      <c r="C53" s="60">
        <f t="shared" si="2"/>
        <v>336770000</v>
      </c>
      <c r="D53" s="60">
        <f>D51</f>
        <v>19810000</v>
      </c>
      <c r="E53" s="136"/>
      <c r="F53" s="135"/>
      <c r="G53" s="60"/>
      <c r="H53" s="135"/>
      <c r="I53" s="137"/>
    </row>
    <row r="54" spans="1:9" ht="12.75">
      <c r="A54" s="121">
        <v>39903</v>
      </c>
      <c r="B54" s="122">
        <f t="shared" si="3"/>
        <v>3</v>
      </c>
      <c r="C54" s="59">
        <f t="shared" si="2"/>
        <v>336770000</v>
      </c>
      <c r="D54" s="59"/>
      <c r="E54" s="123">
        <f>E52</f>
        <v>0.111</v>
      </c>
      <c r="F54" s="59">
        <f>((C53+D53)*E54/360*B53)+((C54+D54)*E54/360*B54)</f>
        <v>9876770.75</v>
      </c>
      <c r="G54" s="59"/>
      <c r="H54" s="122"/>
      <c r="I54" s="127"/>
    </row>
    <row r="55" spans="1:9" ht="12.75">
      <c r="A55" s="121">
        <v>39992</v>
      </c>
      <c r="B55" s="122">
        <f t="shared" si="3"/>
        <v>89</v>
      </c>
      <c r="C55" s="59">
        <f t="shared" si="2"/>
        <v>316960000</v>
      </c>
      <c r="D55" s="59">
        <f>D53</f>
        <v>19810000</v>
      </c>
      <c r="E55" s="126"/>
      <c r="F55" s="122"/>
      <c r="G55" s="59"/>
      <c r="H55" s="122"/>
      <c r="I55" s="127"/>
    </row>
    <row r="56" spans="1:9" ht="12.75">
      <c r="A56" s="121">
        <v>39994</v>
      </c>
      <c r="B56" s="122">
        <f t="shared" si="3"/>
        <v>2</v>
      </c>
      <c r="C56" s="59">
        <f t="shared" si="2"/>
        <v>316960000</v>
      </c>
      <c r="D56" s="59"/>
      <c r="E56" s="123">
        <f>E54</f>
        <v>0.111</v>
      </c>
      <c r="F56" s="59">
        <f>((C55+D55)*E56/360*B55)+((C56+D56)*E56/360*B56)</f>
        <v>9436988.75</v>
      </c>
      <c r="G56" s="59"/>
      <c r="H56" s="122"/>
      <c r="I56" s="127"/>
    </row>
    <row r="57" spans="1:9" ht="12.75">
      <c r="A57" s="121">
        <v>40084</v>
      </c>
      <c r="B57" s="122">
        <f t="shared" si="3"/>
        <v>90</v>
      </c>
      <c r="C57" s="59">
        <f t="shared" si="2"/>
        <v>297150000</v>
      </c>
      <c r="D57" s="59">
        <f>D55</f>
        <v>19810000</v>
      </c>
      <c r="E57" s="126"/>
      <c r="F57" s="122"/>
      <c r="G57" s="59"/>
      <c r="H57" s="122"/>
      <c r="I57" s="127"/>
    </row>
    <row r="58" spans="1:9" ht="12.75">
      <c r="A58" s="121">
        <v>40086</v>
      </c>
      <c r="B58" s="122">
        <f t="shared" si="3"/>
        <v>2</v>
      </c>
      <c r="C58" s="59">
        <f t="shared" si="2"/>
        <v>297150000</v>
      </c>
      <c r="D58" s="59"/>
      <c r="E58" s="123">
        <f>E56</f>
        <v>0.111</v>
      </c>
      <c r="F58" s="59">
        <f>((C57+D57)*E58/360*B57)+((C58+D58)*E58/360*B58)</f>
        <v>8978882.5</v>
      </c>
      <c r="G58" s="59"/>
      <c r="H58" s="122"/>
      <c r="I58" s="127"/>
    </row>
    <row r="59" spans="1:9" ht="12.75">
      <c r="A59" s="121">
        <v>40175</v>
      </c>
      <c r="B59" s="122">
        <f t="shared" si="3"/>
        <v>89</v>
      </c>
      <c r="C59" s="59">
        <f t="shared" si="2"/>
        <v>277340000</v>
      </c>
      <c r="D59" s="59">
        <f>D57</f>
        <v>19810000</v>
      </c>
      <c r="E59" s="126"/>
      <c r="F59" s="122"/>
      <c r="G59" s="59"/>
      <c r="H59" s="122"/>
      <c r="I59" s="127"/>
    </row>
    <row r="60" spans="1:9" ht="12.75">
      <c r="A60" s="128">
        <v>40178</v>
      </c>
      <c r="B60" s="129">
        <f t="shared" si="3"/>
        <v>3</v>
      </c>
      <c r="C60" s="130">
        <f t="shared" si="2"/>
        <v>277340000</v>
      </c>
      <c r="D60" s="130"/>
      <c r="E60" s="131">
        <f>E58</f>
        <v>0.111</v>
      </c>
      <c r="F60" s="130">
        <f>((C59+D59)*E60/360*B59)+((C60+D60)*E60/360*B60)</f>
        <v>8410830.75</v>
      </c>
      <c r="G60" s="132">
        <f>SUM(F54:F60)</f>
        <v>36703472.75</v>
      </c>
      <c r="H60" s="132">
        <f>SUM(D53:D60)</f>
        <v>79240000</v>
      </c>
      <c r="I60" s="133">
        <f>SUM(G60:H60)</f>
        <v>115943472.75</v>
      </c>
    </row>
    <row r="61" spans="1:9" ht="12.75">
      <c r="A61" s="134">
        <v>40265</v>
      </c>
      <c r="B61" s="135">
        <f t="shared" si="3"/>
        <v>87</v>
      </c>
      <c r="C61" s="60">
        <f t="shared" si="2"/>
        <v>257530000</v>
      </c>
      <c r="D61" s="60">
        <f>D59</f>
        <v>19810000</v>
      </c>
      <c r="E61" s="136"/>
      <c r="F61" s="135"/>
      <c r="G61" s="60"/>
      <c r="H61" s="135"/>
      <c r="I61" s="137"/>
    </row>
    <row r="62" spans="1:9" ht="12.75">
      <c r="A62" s="121">
        <v>40268</v>
      </c>
      <c r="B62" s="122">
        <f t="shared" si="3"/>
        <v>3</v>
      </c>
      <c r="C62" s="59">
        <f t="shared" si="2"/>
        <v>257530000</v>
      </c>
      <c r="D62" s="59"/>
      <c r="E62" s="123">
        <f>E60</f>
        <v>0.111</v>
      </c>
      <c r="F62" s="59">
        <f>((C61+D61)*E62/360*B61)+((C62+D62)*E62/360*B62)</f>
        <v>7677860.75</v>
      </c>
      <c r="G62" s="59"/>
      <c r="H62" s="122"/>
      <c r="I62" s="127"/>
    </row>
    <row r="63" spans="1:9" ht="12.75">
      <c r="A63" s="121">
        <v>40357</v>
      </c>
      <c r="B63" s="122">
        <f t="shared" si="3"/>
        <v>89</v>
      </c>
      <c r="C63" s="59">
        <f t="shared" si="2"/>
        <v>237720000</v>
      </c>
      <c r="D63" s="59">
        <f>D61</f>
        <v>19810000</v>
      </c>
      <c r="E63" s="123"/>
      <c r="F63" s="59"/>
      <c r="G63" s="59"/>
      <c r="H63" s="122"/>
      <c r="I63" s="127"/>
    </row>
    <row r="64" spans="1:9" ht="12.75">
      <c r="A64" s="121">
        <v>40359</v>
      </c>
      <c r="B64" s="122">
        <f t="shared" si="3"/>
        <v>2</v>
      </c>
      <c r="C64" s="59">
        <f t="shared" si="2"/>
        <v>237720000</v>
      </c>
      <c r="D64" s="59"/>
      <c r="E64" s="123">
        <f>E62</f>
        <v>0.111</v>
      </c>
      <c r="F64" s="59">
        <f>((C63+D63)*E64/360*B63)+((C64+D64)*E64/360*B64)</f>
        <v>7213646.416666666</v>
      </c>
      <c r="G64" s="59"/>
      <c r="H64" s="122"/>
      <c r="I64" s="127"/>
    </row>
    <row r="65" spans="1:9" ht="12.75">
      <c r="A65" s="121">
        <v>40449</v>
      </c>
      <c r="B65" s="122">
        <f t="shared" si="3"/>
        <v>90</v>
      </c>
      <c r="C65" s="59">
        <f t="shared" si="2"/>
        <v>217910000</v>
      </c>
      <c r="D65" s="59">
        <f>D63</f>
        <v>19810000</v>
      </c>
      <c r="E65" s="123"/>
      <c r="F65" s="59"/>
      <c r="G65" s="59"/>
      <c r="H65" s="122"/>
      <c r="I65" s="127"/>
    </row>
    <row r="66" spans="1:9" ht="12.75">
      <c r="A66" s="121">
        <v>40451</v>
      </c>
      <c r="B66" s="122">
        <f t="shared" si="3"/>
        <v>2</v>
      </c>
      <c r="C66" s="59">
        <f t="shared" si="2"/>
        <v>217910000</v>
      </c>
      <c r="D66" s="59"/>
      <c r="E66" s="123">
        <f>E64</f>
        <v>0.111</v>
      </c>
      <c r="F66" s="59">
        <f>((C65+D65)*E66/360*B65)+((C66+D66)*E66/360*B66)</f>
        <v>6731107.833333333</v>
      </c>
      <c r="G66" s="59"/>
      <c r="H66" s="122"/>
      <c r="I66" s="127"/>
    </row>
    <row r="67" spans="1:9" ht="12.75">
      <c r="A67" s="121">
        <v>40540</v>
      </c>
      <c r="B67" s="122">
        <f t="shared" si="3"/>
        <v>89</v>
      </c>
      <c r="C67" s="59">
        <f>C66-D67</f>
        <v>198100000</v>
      </c>
      <c r="D67" s="59">
        <f>D65</f>
        <v>19810000</v>
      </c>
      <c r="E67" s="126"/>
      <c r="F67" s="122"/>
      <c r="G67" s="59"/>
      <c r="H67" s="122"/>
      <c r="I67" s="127"/>
    </row>
    <row r="68" spans="1:9" ht="12.75">
      <c r="A68" s="128">
        <v>40543</v>
      </c>
      <c r="B68" s="129">
        <f t="shared" si="3"/>
        <v>3</v>
      </c>
      <c r="C68" s="130">
        <f>C67-D68</f>
        <v>198100000</v>
      </c>
      <c r="D68" s="130"/>
      <c r="E68" s="131">
        <f>E66</f>
        <v>0.111</v>
      </c>
      <c r="F68" s="130">
        <f>((C67+D67)*E68/360*B67)</f>
        <v>5979813.583333334</v>
      </c>
      <c r="G68" s="132">
        <f>SUM(F61:F68)</f>
        <v>27602428.583333336</v>
      </c>
      <c r="H68" s="132">
        <f>SUM(D61:D68)</f>
        <v>79240000</v>
      </c>
      <c r="I68" s="133">
        <f>SUM(G68:H68)</f>
        <v>106842428.58333334</v>
      </c>
    </row>
    <row r="69" spans="1:9" ht="12.75">
      <c r="A69" s="134">
        <v>40630</v>
      </c>
      <c r="B69" s="135">
        <f aca="true" t="shared" si="4" ref="B69:B74">A69-A68</f>
        <v>87</v>
      </c>
      <c r="C69" s="60">
        <f aca="true" t="shared" si="5" ref="C69:C74">C68-D69</f>
        <v>178290000</v>
      </c>
      <c r="D69" s="60">
        <f>D67</f>
        <v>19810000</v>
      </c>
      <c r="E69" s="136"/>
      <c r="F69" s="135"/>
      <c r="G69" s="60"/>
      <c r="H69" s="135"/>
      <c r="I69" s="137"/>
    </row>
    <row r="70" spans="1:9" ht="12.75">
      <c r="A70" s="121">
        <v>40633</v>
      </c>
      <c r="B70" s="122">
        <f t="shared" si="4"/>
        <v>3</v>
      </c>
      <c r="C70" s="59">
        <f t="shared" si="5"/>
        <v>178290000</v>
      </c>
      <c r="D70" s="59"/>
      <c r="E70" s="123">
        <f>E68</f>
        <v>0.111</v>
      </c>
      <c r="F70" s="59">
        <f>((C69+D69)*E70/360*B69)+((C70+D70)*E70/360*B70)</f>
        <v>5478950.75</v>
      </c>
      <c r="G70" s="59"/>
      <c r="H70" s="122"/>
      <c r="I70" s="127"/>
    </row>
    <row r="71" spans="1:9" ht="12.75">
      <c r="A71" s="121">
        <v>40722</v>
      </c>
      <c r="B71" s="122">
        <f t="shared" si="4"/>
        <v>89</v>
      </c>
      <c r="C71" s="59">
        <f t="shared" si="5"/>
        <v>158480000</v>
      </c>
      <c r="D71" s="59">
        <f>D69</f>
        <v>19810000</v>
      </c>
      <c r="E71" s="123"/>
      <c r="F71" s="59"/>
      <c r="G71" s="59"/>
      <c r="H71" s="122"/>
      <c r="I71" s="127"/>
    </row>
    <row r="72" spans="1:9" ht="12.75">
      <c r="A72" s="121">
        <v>40724</v>
      </c>
      <c r="B72" s="122">
        <f t="shared" si="4"/>
        <v>2</v>
      </c>
      <c r="C72" s="59">
        <f t="shared" si="5"/>
        <v>158480000</v>
      </c>
      <c r="D72" s="59"/>
      <c r="E72" s="123">
        <f>E70</f>
        <v>0.111</v>
      </c>
      <c r="F72" s="59">
        <f>((C71+D71)*E72/360*B71)+((C72+D72)*E72/360*B72)</f>
        <v>4990304.083333333</v>
      </c>
      <c r="G72" s="59"/>
      <c r="H72" s="122"/>
      <c r="I72" s="127"/>
    </row>
    <row r="73" spans="1:9" ht="12.75">
      <c r="A73" s="121">
        <v>40814</v>
      </c>
      <c r="B73" s="122">
        <f t="shared" si="4"/>
        <v>90</v>
      </c>
      <c r="C73" s="59">
        <f t="shared" si="5"/>
        <v>138670000</v>
      </c>
      <c r="D73" s="59">
        <f>D71</f>
        <v>19810000</v>
      </c>
      <c r="E73" s="123"/>
      <c r="F73" s="59"/>
      <c r="G73" s="59"/>
      <c r="H73" s="122"/>
      <c r="I73" s="127"/>
    </row>
    <row r="74" spans="1:9" ht="12.75">
      <c r="A74" s="121">
        <v>40816</v>
      </c>
      <c r="B74" s="122">
        <f t="shared" si="4"/>
        <v>2</v>
      </c>
      <c r="C74" s="59">
        <f t="shared" si="5"/>
        <v>138670000</v>
      </c>
      <c r="D74" s="59"/>
      <c r="E74" s="123">
        <f>E72</f>
        <v>0.111</v>
      </c>
      <c r="F74" s="59">
        <f>((C73+D73)*E74/360*B73)+((C74+D74)*E74/360*B74)</f>
        <v>4483333.166666667</v>
      </c>
      <c r="G74" s="59"/>
      <c r="H74" s="122"/>
      <c r="I74" s="127"/>
    </row>
    <row r="75" spans="1:9" ht="12.75">
      <c r="A75" s="121">
        <v>40905</v>
      </c>
      <c r="B75" s="122">
        <f>A75-A74</f>
        <v>89</v>
      </c>
      <c r="C75" s="59">
        <f>C74-D75</f>
        <v>118860000</v>
      </c>
      <c r="D75" s="59">
        <f>D73</f>
        <v>19810000</v>
      </c>
      <c r="E75" s="126"/>
      <c r="F75" s="122"/>
      <c r="G75" s="59"/>
      <c r="H75" s="122"/>
      <c r="I75" s="127"/>
    </row>
    <row r="76" spans="1:9" ht="12.75">
      <c r="A76" s="128">
        <v>40908</v>
      </c>
      <c r="B76" s="129">
        <f>A76-A75</f>
        <v>3</v>
      </c>
      <c r="C76" s="130">
        <f>C75-D76</f>
        <v>118860000</v>
      </c>
      <c r="D76" s="130"/>
      <c r="E76" s="131">
        <f>E74</f>
        <v>0.111</v>
      </c>
      <c r="F76" s="130">
        <f>((C75+D75)*E76/360*B75)</f>
        <v>3805335.916666667</v>
      </c>
      <c r="G76" s="132">
        <f>SUM(F69:F76)</f>
        <v>18757923.916666668</v>
      </c>
      <c r="H76" s="132">
        <f>SUM(D69:D76)</f>
        <v>79240000</v>
      </c>
      <c r="I76" s="133">
        <f>SUM(G76:H76)</f>
        <v>97997923.91666667</v>
      </c>
    </row>
    <row r="77" spans="1:9" ht="12.75">
      <c r="A77" s="134">
        <v>40996</v>
      </c>
      <c r="B77" s="135">
        <f aca="true" t="shared" si="6" ref="B77:B82">A77-A76</f>
        <v>88</v>
      </c>
      <c r="C77" s="60">
        <f aca="true" t="shared" si="7" ref="C77:C82">C76-D77</f>
        <v>99050000</v>
      </c>
      <c r="D77" s="60">
        <f>D75</f>
        <v>19810000</v>
      </c>
      <c r="E77" s="136"/>
      <c r="F77" s="135"/>
      <c r="G77" s="60"/>
      <c r="H77" s="135"/>
      <c r="I77" s="137"/>
    </row>
    <row r="78" spans="1:9" ht="12.75">
      <c r="A78" s="121">
        <v>40999</v>
      </c>
      <c r="B78" s="122">
        <f t="shared" si="6"/>
        <v>3</v>
      </c>
      <c r="C78" s="59">
        <f t="shared" si="7"/>
        <v>99050000</v>
      </c>
      <c r="D78" s="59"/>
      <c r="E78" s="123">
        <f>E76</f>
        <v>0.111</v>
      </c>
      <c r="F78" s="59">
        <f>((C77+D77)*E78/360*B77)+((C78+D78)*E78/360*B78)</f>
        <v>3316689.25</v>
      </c>
      <c r="G78" s="59"/>
      <c r="H78" s="122"/>
      <c r="I78" s="127"/>
    </row>
    <row r="79" spans="1:9" ht="12.75">
      <c r="A79" s="121">
        <v>41088</v>
      </c>
      <c r="B79" s="122">
        <f t="shared" si="6"/>
        <v>89</v>
      </c>
      <c r="C79" s="59">
        <f t="shared" si="7"/>
        <v>79240000</v>
      </c>
      <c r="D79" s="59">
        <f>D77</f>
        <v>19810000</v>
      </c>
      <c r="E79" s="123"/>
      <c r="F79" s="59"/>
      <c r="G79" s="59"/>
      <c r="H79" s="122"/>
      <c r="I79" s="127"/>
    </row>
    <row r="80" spans="1:9" ht="12.75">
      <c r="A80" s="121">
        <v>41090</v>
      </c>
      <c r="B80" s="122">
        <f t="shared" si="6"/>
        <v>2</v>
      </c>
      <c r="C80" s="59">
        <f t="shared" si="7"/>
        <v>79240000</v>
      </c>
      <c r="D80" s="59"/>
      <c r="E80" s="123">
        <f>E78</f>
        <v>0.111</v>
      </c>
      <c r="F80" s="59">
        <f>((C79+D79)*E80/360*B79)+((C80+D80)*E80/360*B80)</f>
        <v>2766961.75</v>
      </c>
      <c r="G80" s="59"/>
      <c r="H80" s="122"/>
      <c r="I80" s="127"/>
    </row>
    <row r="81" spans="1:9" ht="12.75">
      <c r="A81" s="121">
        <v>41180</v>
      </c>
      <c r="B81" s="122">
        <f t="shared" si="6"/>
        <v>90</v>
      </c>
      <c r="C81" s="59">
        <f t="shared" si="7"/>
        <v>59430000</v>
      </c>
      <c r="D81" s="59">
        <f>D79</f>
        <v>19810000</v>
      </c>
      <c r="E81" s="123"/>
      <c r="F81" s="59"/>
      <c r="G81" s="59"/>
      <c r="H81" s="122"/>
      <c r="I81" s="127"/>
    </row>
    <row r="82" spans="1:9" ht="12.75">
      <c r="A82" s="121">
        <v>41182</v>
      </c>
      <c r="B82" s="122">
        <f t="shared" si="6"/>
        <v>2</v>
      </c>
      <c r="C82" s="59">
        <f t="shared" si="7"/>
        <v>59430000</v>
      </c>
      <c r="D82" s="59"/>
      <c r="E82" s="123">
        <f>E80</f>
        <v>0.111</v>
      </c>
      <c r="F82" s="59">
        <f>((C81+D81)*E82/360*B81)+((C82+D82)*E82/360*B82)</f>
        <v>2235558.5</v>
      </c>
      <c r="G82" s="59"/>
      <c r="H82" s="122"/>
      <c r="I82" s="127"/>
    </row>
    <row r="83" spans="1:9" ht="12.75">
      <c r="A83" s="121">
        <v>41271</v>
      </c>
      <c r="B83" s="122">
        <f>A83-A82</f>
        <v>89</v>
      </c>
      <c r="C83" s="59">
        <f>C82-D83</f>
        <v>39620000</v>
      </c>
      <c r="D83" s="59">
        <f>D81</f>
        <v>19810000</v>
      </c>
      <c r="E83" s="126"/>
      <c r="F83" s="122"/>
      <c r="G83" s="59"/>
      <c r="H83" s="122"/>
      <c r="I83" s="127"/>
    </row>
    <row r="84" spans="1:9" ht="12.75">
      <c r="A84" s="128">
        <v>41274</v>
      </c>
      <c r="B84" s="129">
        <f>A84-A83</f>
        <v>3</v>
      </c>
      <c r="C84" s="130">
        <f>C83-D84</f>
        <v>39620000</v>
      </c>
      <c r="D84" s="130"/>
      <c r="E84" s="131">
        <f>E82</f>
        <v>0.111</v>
      </c>
      <c r="F84" s="130">
        <f>((C83+D83)*E84/360*B83)</f>
        <v>1630858.25</v>
      </c>
      <c r="G84" s="132">
        <f>SUM(F77:F84)</f>
        <v>9950067.75</v>
      </c>
      <c r="H84" s="132">
        <f>SUM(D77:D84)</f>
        <v>79240000</v>
      </c>
      <c r="I84" s="133">
        <f>SUM(G84:H84)</f>
        <v>89190067.75</v>
      </c>
    </row>
    <row r="85" spans="1:9" ht="12.75">
      <c r="A85" s="134">
        <v>41361</v>
      </c>
      <c r="B85" s="135">
        <f>A85-A84</f>
        <v>87</v>
      </c>
      <c r="C85" s="60">
        <f>C84-D85</f>
        <v>19810000</v>
      </c>
      <c r="D85" s="60">
        <f>D83</f>
        <v>19810000</v>
      </c>
      <c r="E85" s="136"/>
      <c r="F85" s="135"/>
      <c r="G85" s="60"/>
      <c r="H85" s="135"/>
      <c r="I85" s="137"/>
    </row>
    <row r="86" spans="1:9" ht="12.75">
      <c r="A86" s="121">
        <v>41364</v>
      </c>
      <c r="B86" s="122">
        <f>A86-A85</f>
        <v>3</v>
      </c>
      <c r="C86" s="59">
        <f>C85-D86</f>
        <v>19810000</v>
      </c>
      <c r="D86" s="59"/>
      <c r="E86" s="123">
        <f>E84</f>
        <v>0.111</v>
      </c>
      <c r="F86" s="59">
        <f>((C85+D85)*E86/360*B85)+((C86+D86)*E86/360*B86)</f>
        <v>1081130.75</v>
      </c>
      <c r="G86" s="59"/>
      <c r="H86" s="122"/>
      <c r="I86" s="127"/>
    </row>
    <row r="87" spans="1:9" ht="13.5" thickBot="1">
      <c r="A87" s="121">
        <v>41453</v>
      </c>
      <c r="B87" s="122">
        <f>A87-A86</f>
        <v>89</v>
      </c>
      <c r="C87" s="59">
        <f>C86-D87</f>
        <v>0</v>
      </c>
      <c r="D87" s="59">
        <f>D85</f>
        <v>19810000</v>
      </c>
      <c r="E87" s="123">
        <f>E86</f>
        <v>0.111</v>
      </c>
      <c r="F87" s="59">
        <f>((C87+D87)*E87/360*B87)</f>
        <v>543619.4166666666</v>
      </c>
      <c r="G87" s="335">
        <f>SUM(F85:F87)</f>
        <v>1624750.1666666665</v>
      </c>
      <c r="H87" s="335">
        <f>SUM(D85:D87)</f>
        <v>39620000</v>
      </c>
      <c r="I87" s="336">
        <f>SUM(G87:H87)</f>
        <v>41244750.166666664</v>
      </c>
    </row>
    <row r="88" spans="1:9" ht="13.5" thickTop="1">
      <c r="A88" s="353" t="s">
        <v>14</v>
      </c>
      <c r="B88" s="354"/>
      <c r="C88" s="355"/>
      <c r="D88" s="151">
        <f>SUM(D8:D87)</f>
        <v>713171000</v>
      </c>
      <c r="E88" s="152"/>
      <c r="F88" s="151">
        <f>SUM(F8:F87)</f>
        <v>414406706.45184445</v>
      </c>
      <c r="G88" s="151">
        <f>SUM(G8:G87)</f>
        <v>414406706.45184445</v>
      </c>
      <c r="H88" s="151">
        <f>SUM(H8:H87)</f>
        <v>713171000</v>
      </c>
      <c r="I88" s="153">
        <f>SUM(I8:I87)</f>
        <v>1127577706.4518445</v>
      </c>
    </row>
    <row r="89" ht="12.75">
      <c r="A89" s="154"/>
    </row>
    <row r="90" ht="12.75">
      <c r="A90" s="154"/>
    </row>
    <row r="91" spans="2:7" ht="12.75">
      <c r="B91" s="89"/>
      <c r="C91" s="89" t="s">
        <v>136</v>
      </c>
      <c r="D91" s="89"/>
      <c r="E91" s="156" t="s">
        <v>137</v>
      </c>
      <c r="G91" s="337">
        <v>301781952</v>
      </c>
    </row>
    <row r="92" spans="2:7" ht="12.75">
      <c r="B92" s="89"/>
      <c r="C92" s="89" t="s">
        <v>141</v>
      </c>
      <c r="D92" s="89"/>
      <c r="E92" s="156" t="s">
        <v>138</v>
      </c>
      <c r="G92" s="337">
        <v>312908472</v>
      </c>
    </row>
    <row r="93" spans="3:7" ht="12.75">
      <c r="C93" s="89" t="s">
        <v>142</v>
      </c>
      <c r="E93" s="156" t="s">
        <v>139</v>
      </c>
      <c r="G93" s="337">
        <v>66348184</v>
      </c>
    </row>
    <row r="94" spans="3:7" ht="12.75">
      <c r="C94" s="89" t="s">
        <v>143</v>
      </c>
      <c r="E94" s="156" t="s">
        <v>140</v>
      </c>
      <c r="G94" s="337">
        <v>13675934</v>
      </c>
    </row>
    <row r="95" spans="3:7" ht="12.75">
      <c r="C95" s="89" t="s">
        <v>144</v>
      </c>
      <c r="E95" s="156" t="s">
        <v>146</v>
      </c>
      <c r="G95" s="337">
        <v>10056414</v>
      </c>
    </row>
    <row r="96" spans="3:7" ht="13.5" thickBot="1">
      <c r="C96" s="89" t="s">
        <v>145</v>
      </c>
      <c r="E96" s="156" t="s">
        <v>147</v>
      </c>
      <c r="G96" s="337">
        <v>8400044</v>
      </c>
    </row>
    <row r="97" spans="3:7" ht="13.5" thickTop="1">
      <c r="C97" s="158" t="s">
        <v>14</v>
      </c>
      <c r="D97" s="158"/>
      <c r="E97" s="159"/>
      <c r="F97" s="160"/>
      <c r="G97" s="338">
        <f>SUM(G91:G96)</f>
        <v>713171000</v>
      </c>
    </row>
    <row r="98" ht="12.75">
      <c r="G98" s="337"/>
    </row>
    <row r="99" spans="5:7" ht="12.75">
      <c r="E99" s="156" t="s">
        <v>168</v>
      </c>
      <c r="G99" s="155">
        <f>SUM(G91:G93)</f>
        <v>681038608</v>
      </c>
    </row>
    <row r="100" spans="5:7" ht="12.75">
      <c r="E100" s="156" t="s">
        <v>170</v>
      </c>
      <c r="G100" s="155">
        <f>SUM(G94:G96)</f>
        <v>32132392</v>
      </c>
    </row>
  </sheetData>
  <mergeCells count="1">
    <mergeCell ref="A88:C88"/>
  </mergeCells>
  <printOptions horizontalCentered="1"/>
  <pageMargins left="0.5905511811023623" right="0.5905511811023623" top="0.7874015748031497" bottom="0.5905511811023623" header="0.1968503937007874" footer="0.1968503937007874"/>
  <pageSetup blackAndWhite="1" horizontalDpi="300" verticalDpi="300" orientation="portrait" paperSize="9" scale="95" r:id="rId1"/>
  <headerFooter alignWithMargins="0">
    <oddHeader xml:space="preserve">&amp;C&amp;"Times New Roman CE,Félkövér"&amp;12Adósságszolgálat számítása az OTP tájékoztatója alapján&amp;"Times New Roman CE,Félkövér dőlt"
2003. októberben és decemberben felvett 713.171 eFt  célhitel </oddHeader>
    <oddFooter>&amp;LNyomtatás dátuma: &amp;D
C:\Andi\adósságszolgálat\&amp;F\&amp;A&amp;R&amp;P/&amp;N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KMV Polgármesteri Hivatal</cp:lastModifiedBy>
  <cp:lastPrinted>2004-11-26T12:14:08Z</cp:lastPrinted>
  <dcterms:created xsi:type="dcterms:W3CDTF">2000-10-04T12:37:09Z</dcterms:created>
  <dcterms:modified xsi:type="dcterms:W3CDTF">2003-02-12T10:47:34Z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