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60" windowHeight="6165" tabRatio="602" activeTab="0"/>
  </bookViews>
  <sheets>
    <sheet name=" év össz Felhalm 9 m" sheetId="1" r:id="rId1"/>
  </sheets>
  <definedNames>
    <definedName name="_xlnm.Print_Titles" localSheetId="0">' év össz Felhalm 9 m'!$1:$2</definedName>
    <definedName name="_xlnm.Print_Area" localSheetId="0">' év össz Felhalm 9 m'!$A$1:$I$185</definedName>
  </definedNames>
  <calcPr fullCalcOnLoad="1"/>
</workbook>
</file>

<file path=xl/sharedStrings.xml><?xml version="1.0" encoding="utf-8"?>
<sst xmlns="http://schemas.openxmlformats.org/spreadsheetml/2006/main" count="388" uniqueCount="208">
  <si>
    <t>Megnevezés</t>
  </si>
  <si>
    <t>Megjegyzés</t>
  </si>
  <si>
    <t>Közlekedés</t>
  </si>
  <si>
    <t>Nyírfa utca útépítés</t>
  </si>
  <si>
    <t xml:space="preserve"> -</t>
  </si>
  <si>
    <t>Damjanich u-Szalay F.u.közti járda építése</t>
  </si>
  <si>
    <t>Munkácsy u.-Lonkahegyi u. közt gyalogút ép.</t>
  </si>
  <si>
    <t>József u. végén járda építés</t>
  </si>
  <si>
    <t>Cseri - Eger út buszöblözetpár II. ütem</t>
  </si>
  <si>
    <t>Malomhoz vezető út építése</t>
  </si>
  <si>
    <t>Taszári repülőtér polgári terminál építése I ütem</t>
  </si>
  <si>
    <t xml:space="preserve">Taszári repülőtér polgári terminál építése II. ütem </t>
  </si>
  <si>
    <t>Megvalósult út, járdaép. forg. hely.eljárási díj  2002.</t>
  </si>
  <si>
    <t>Vízgazdálkodás</t>
  </si>
  <si>
    <t>Benedek E. u. szennyvízcsatornázás  2000.év</t>
  </si>
  <si>
    <t>K.füred-Toponár végátemelő és nyomóvez.építése</t>
  </si>
  <si>
    <t>NA 600-as ivóvízvezeték rekonstrukciója</t>
  </si>
  <si>
    <t>NA 600-as ivóvízvezeték bonyolítási díja</t>
  </si>
  <si>
    <t>Szennyvíziszap tároló építése</t>
  </si>
  <si>
    <t>Szennyvízcsat. 2002.évi új induló fa-i, házi kisátem. Is</t>
  </si>
  <si>
    <t>Szennyvízcsatornázások műszaki ellenőrzése</t>
  </si>
  <si>
    <t>Cser-Kecelhegy-Mező u.szvíz elvez tervfelülvizsg.</t>
  </si>
  <si>
    <t>Thököly u. ivóvíz ellátása</t>
  </si>
  <si>
    <t>Brassó u. csapadékvíz elvezetés folytatása</t>
  </si>
  <si>
    <t>Közvilágítás</t>
  </si>
  <si>
    <t>Városgazdálkodás</t>
  </si>
  <si>
    <t>Vagyonvédelmi berendezések</t>
  </si>
  <si>
    <t>Kossuth téri Betlehem bővítése</t>
  </si>
  <si>
    <t>Tallián Gy. u-i telek vásárlás Megyei Önkorm.-tól</t>
  </si>
  <si>
    <t xml:space="preserve"> Oktatás </t>
  </si>
  <si>
    <t>Intézményi konyhák eszköz-beszerzése</t>
  </si>
  <si>
    <t>Kaposszentjakabi Óvoda bővítése</t>
  </si>
  <si>
    <t xml:space="preserve"> Sport   </t>
  </si>
  <si>
    <t>Rákóczi pálya rekonstrukciója I. ütem</t>
  </si>
  <si>
    <t>Rákóczi pálya rekonstrukciója II. ütem</t>
  </si>
  <si>
    <t>Rákóczi Stad. - parkolóhoz vez. út terv. és eljár,díj</t>
  </si>
  <si>
    <t>Rákóczi Stadion ép. -  gyalogos közlekedés</t>
  </si>
  <si>
    <t>Rákóczi pálya rekonstrukció,  első beszerzés</t>
  </si>
  <si>
    <t xml:space="preserve">Műanyag borítású atlétikai pálya </t>
  </si>
  <si>
    <t>Somogyi sportolók emlékműve</t>
  </si>
  <si>
    <t>Városi Fürdő rekonstrukció I.ütem tervezés</t>
  </si>
  <si>
    <t xml:space="preserve"> Közigazgatás  </t>
  </si>
  <si>
    <t>Városháza Teleki u-i iskolaép.bőv.tervpályázat</t>
  </si>
  <si>
    <t xml:space="preserve"> Lakásgazdálkodás </t>
  </si>
  <si>
    <t>Nyugdíjasház építése</t>
  </si>
  <si>
    <t>Berzsenyi u. 2/b 2/c 59 db lakás építése</t>
  </si>
  <si>
    <t xml:space="preserve">Művelődés, kultúra </t>
  </si>
  <si>
    <t>Töröcskei faluház építése</t>
  </si>
  <si>
    <t>Vaszari Emlékház kialakítása</t>
  </si>
  <si>
    <t>Szentjakabi Bencés Apátság rekonstrukciója</t>
  </si>
  <si>
    <t>Berzsenyi park rekonstrukciója pályázat tervei</t>
  </si>
  <si>
    <t>Töröcske kertváros közvilágítás tervezése</t>
  </si>
  <si>
    <t>Helyi védett épületek felújításához lakossági átadás</t>
  </si>
  <si>
    <t>Töröcskei városrész centrumáról RRT készítés</t>
  </si>
  <si>
    <t>Kaposvár város oktatási tömbjének rendezési terve</t>
  </si>
  <si>
    <t>Keleti Ipari Park rendezési tervének elkészítése</t>
  </si>
  <si>
    <t>Noszlopy-Áchim u sarkán levő ing. közmű tervei</t>
  </si>
  <si>
    <t>Izzó u. iparterület művelési ágból kivonása</t>
  </si>
  <si>
    <t>Tiszta virágos Kaposvárért</t>
  </si>
  <si>
    <t>Kaposvári Rendőrkapitányság eszköz fejlesztés</t>
  </si>
  <si>
    <t>Füredi II. laktanya településszerk.terv készítés</t>
  </si>
  <si>
    <t xml:space="preserve">Szennyvízcsat. 2002.évi építése 2003 évre szerz.sz.üt, </t>
  </si>
  <si>
    <t>450 fh.-es kollégium építése</t>
  </si>
  <si>
    <t xml:space="preserve">Széchenyi I. SzKI.tanétterem,tanszálló ép. </t>
  </si>
  <si>
    <t>Fecskeház építéshez önerő OM. támogatásból</t>
  </si>
  <si>
    <t xml:space="preserve">Kaposkábel Kft üzletrész megvásárlása </t>
  </si>
  <si>
    <t>Kaposvár-Toponár összekötő út saját erő</t>
  </si>
  <si>
    <t>Földút és járdaépítési program</t>
  </si>
  <si>
    <t>Lórántffy Zs.u. és Rét u. közötti lépcső átépítés és rekonstrukció</t>
  </si>
  <si>
    <t>Buszvárók telepítése</t>
  </si>
  <si>
    <t>Parkolók kialakítása volt DÉDÁSZ épület udvarán</t>
  </si>
  <si>
    <t>Szennyvízcsat. 2003. évi új ind.feladatai és bonyolítása</t>
  </si>
  <si>
    <t>K.szentjakabi városrész és Kvár elmaradt utcái szennyvízcsatornázás tervezése</t>
  </si>
  <si>
    <t xml:space="preserve">Fenyves u.64-65.csapadékvíz árok burkolása </t>
  </si>
  <si>
    <t>Koppány vezér u csapadékvíz elvezetése terv</t>
  </si>
  <si>
    <t>Füredi u. 29-39. csapadékvíz elvezetése terv</t>
  </si>
  <si>
    <t>Vásárcsarnok eng.terv</t>
  </si>
  <si>
    <t>Piac tömbjének szabályozási terve</t>
  </si>
  <si>
    <t>Nyugati temető utak és vízvételi hely építése</t>
  </si>
  <si>
    <t>Kaposfüredi temető parkoló építése</t>
  </si>
  <si>
    <t>K.szentjakabi temető WC építése</t>
  </si>
  <si>
    <t>2004.évi címzett támogatáshoz megvalósíthatósági tanulm. korszerűségi felülvizs.</t>
  </si>
  <si>
    <t>Egészségügy</t>
  </si>
  <si>
    <t>Kaposfüredi orvosi rendelő személyzeti WC kialakítása</t>
  </si>
  <si>
    <t>Terhesgondozó új helyen történő elhelyezésének tervezése</t>
  </si>
  <si>
    <t>Közműhozzájárulás</t>
  </si>
  <si>
    <t>Egyéb kisebb kiadások</t>
  </si>
  <si>
    <t>Pályázatok előkészítése, tervezési feladatok</t>
  </si>
  <si>
    <t>19106/2 hrsz. telekből területvásárlás</t>
  </si>
  <si>
    <t>III. ipari park szabályozási terv</t>
  </si>
  <si>
    <t xml:space="preserve"> KOMPENZÁCIÓS ÜGYEK</t>
  </si>
  <si>
    <t>Kisgát É-i oldal lakóterület</t>
  </si>
  <si>
    <t>Kisgát É-i oldal ( BITT Kft. )</t>
  </si>
  <si>
    <t>Ady E.u.É-i tömb</t>
  </si>
  <si>
    <t>Ady E.u.D-i tömb</t>
  </si>
  <si>
    <t>Maros u-i lakóterület</t>
  </si>
  <si>
    <t>Lonkahegy lakóterület</t>
  </si>
  <si>
    <t>Toponári lakótelkek</t>
  </si>
  <si>
    <t xml:space="preserve"> Kompenzációs ügyek összesen:</t>
  </si>
  <si>
    <t xml:space="preserve"> Oktatás összesen</t>
  </si>
  <si>
    <t>Városgazdálkodás összesen</t>
  </si>
  <si>
    <t>Közvilágítás összesen</t>
  </si>
  <si>
    <t>Közlekedés összesen</t>
  </si>
  <si>
    <t>Vízgazdálkodás összesen</t>
  </si>
  <si>
    <t xml:space="preserve"> Sport összesen</t>
  </si>
  <si>
    <t>Egészségügy összesen</t>
  </si>
  <si>
    <t xml:space="preserve"> Közigazgatás összesen  </t>
  </si>
  <si>
    <t xml:space="preserve"> Lakásgazdálkodás összesen </t>
  </si>
  <si>
    <t>Egyéb nem beruh.kiad. összesen</t>
  </si>
  <si>
    <t>Egyéb nem beruházási kiadások</t>
  </si>
  <si>
    <t>FELHALMOZÁS ÖSSZESEN</t>
  </si>
  <si>
    <t>Művelődés, kultúra összesen</t>
  </si>
  <si>
    <t>Szerződéses lekötöttség</t>
  </si>
  <si>
    <t>összege</t>
  </si>
  <si>
    <t>%-a</t>
  </si>
  <si>
    <t>Polgármesteri Hivatal informatikai fejlesztése 2002.</t>
  </si>
  <si>
    <t>DÉDÁSZ ingatlan vásárlás PH bővítése</t>
  </si>
  <si>
    <t xml:space="preserve">Rákóczi Stadion rekonstrukció  III ütem </t>
  </si>
  <si>
    <t xml:space="preserve">Lonkahegyi vízvezeték építése </t>
  </si>
  <si>
    <t xml:space="preserve">Ivánfahegyalja vízvezeték építése </t>
  </si>
  <si>
    <t>Pálvarga dülő villanyoszlop állítása</t>
  </si>
  <si>
    <t>Kanizsai u.- Malom tó között gyalogút építése</t>
  </si>
  <si>
    <t>Hajnalka u útépítés</t>
  </si>
  <si>
    <t>Szántó utcai óvoda bővítése</t>
  </si>
  <si>
    <t>Toponári futballpálya-rekonstrukció</t>
  </si>
  <si>
    <t>2003. évi eredeti előirányzat</t>
  </si>
  <si>
    <t>2003. évi módosított előirányzat</t>
  </si>
  <si>
    <t>Kanizsai u és egyéb csatornázatlan utcák szennyvízcsat.tervezése</t>
  </si>
  <si>
    <t>Önk. Bérlakásépítés I. ütem (Berzsenyi u. 69 db)</t>
  </si>
  <si>
    <t>Nádasdi-Csillag u-i. bérlakásépítés (20 db.)</t>
  </si>
  <si>
    <t>K.füredi templom kivilágítás reflektor beszerz.</t>
  </si>
  <si>
    <t>2 db robogó beszerz.Közter. Felügyelet részére</t>
  </si>
  <si>
    <t>Keret</t>
  </si>
  <si>
    <t>2002.</t>
  </si>
  <si>
    <t>2003.</t>
  </si>
  <si>
    <t>Kossuth tér üzemeltetők által nem vállalt közmű-kiváltásai</t>
  </si>
  <si>
    <t>Berzsenyi Ált.Isk. leány- és személyzeti WC kialakítása és emeleti WC rekonstrukció</t>
  </si>
  <si>
    <t>Kvár térség sz.vízvez. beruh.konc.(Töröcske)</t>
  </si>
  <si>
    <t>Kecelhegyi bérlakások kapcs. út terv. és eng.</t>
  </si>
  <si>
    <t>Arany tér körforg.átépítési terv</t>
  </si>
  <si>
    <t>Keleti temető előtt parkoló és járdaépítés terv</t>
  </si>
  <si>
    <t>Kvár ívóvízellátás értékelés és szakvélemény</t>
  </si>
  <si>
    <t>Kossuth tér látványterv</t>
  </si>
  <si>
    <t>Kossuth tér forg.szakvélemény</t>
  </si>
  <si>
    <t>Malom út: Kac beszámolóhoz szakvélemény</t>
  </si>
  <si>
    <t>VICE pályázati díj  (Szjakab stb. szvízcsat.)</t>
  </si>
  <si>
    <t>x</t>
  </si>
  <si>
    <t>Nagyváthy u. vízhálózat bővítés</t>
  </si>
  <si>
    <t>Füredi Holdingnak telep felszám. miatt fizetendő</t>
  </si>
  <si>
    <t xml:space="preserve">Toponári sz.vízcsat. M1 átemelő átalakítása </t>
  </si>
  <si>
    <t>Önkorm. intézm. rákötése szvízcsat.hálózatra</t>
  </si>
  <si>
    <t>Rákóczi pálya rek. megelőlegezett ÁFA 2002.évi</t>
  </si>
  <si>
    <t>Volt Dédász ép. vagyonvédelmi berend.</t>
  </si>
  <si>
    <t>Okmányiroda bőv. kapcs. berend beszerz.</t>
  </si>
  <si>
    <t>Polgármesteri Hivatal főépület és volt Dédász ép. közötti tel. összeköttetés kiép.</t>
  </si>
  <si>
    <t>Ady E u.1. Ép.stat. és faanyag-védelmi szakértő</t>
  </si>
  <si>
    <t>Meglevő járdák szegély-átalakítás terv és eng.</t>
  </si>
  <si>
    <t>Füredi II.laktanya körny.véd. kármentesítés</t>
  </si>
  <si>
    <t>Szentjakabi Apátsághoz vezető keleti szervízúthoz területvásárlás</t>
  </si>
  <si>
    <t>Ammóniamentesítés megvalósíthatósági tanulmány</t>
  </si>
  <si>
    <t>Közterületi illemhelyek kialakításának tervezése</t>
  </si>
  <si>
    <t>Hősök temetője II. ütem</t>
  </si>
  <si>
    <t>Rákóczi tér 1. kerítés építés 35 fm. drótfonatos</t>
  </si>
  <si>
    <t>II.Rákóczi F Ált.Isk. akadálymentesítési munkái</t>
  </si>
  <si>
    <t>Óvodai és Eü.kp.áthely. 48-as Ifjúság u 67. alá</t>
  </si>
  <si>
    <t>Jégcsarnok közműépítés</t>
  </si>
  <si>
    <t>Polgármesteri Hivatal informatikai fejlesztése 2002-2003.</t>
  </si>
  <si>
    <t>Polgármesteri Hivatal gépkocsi csere</t>
  </si>
  <si>
    <t>"Gugyuló Jézus" szobor restaurálás és másolat készítés pályázati önerő</t>
  </si>
  <si>
    <t>Szennyvízcsat. Kvár és térsége II.üt. Céltám.előkészítése</t>
  </si>
  <si>
    <r>
      <t xml:space="preserve">Töröcskei temető </t>
    </r>
    <r>
      <rPr>
        <b/>
        <sz val="9"/>
        <color indexed="8"/>
        <rFont val="Arial CE"/>
        <family val="2"/>
      </rPr>
      <t>WC</t>
    </r>
    <r>
      <rPr>
        <sz val="9"/>
        <color indexed="8"/>
        <rFont val="Arial CE"/>
        <family val="2"/>
      </rPr>
      <t xml:space="preserve"> építése</t>
    </r>
  </si>
  <si>
    <t>Kecel hegyi 72db önk. bérlakásép. (lak.ép.III.üt)</t>
  </si>
  <si>
    <t>Rákóczi Stad.belső átalakítása sportiskola elhelyezéséhez</t>
  </si>
  <si>
    <t>Külterületi hull.gyűjtő konténerek beszerzés</t>
  </si>
  <si>
    <t>Kisebb közvilágítási fejlesztések 2002-2003.</t>
  </si>
  <si>
    <t>Helyi tám. lakásép, vás, első lakás 2002-2003.</t>
  </si>
  <si>
    <t xml:space="preserve">Munkáltatói kölcsönalap  2002-2003.       </t>
  </si>
  <si>
    <t xml:space="preserve">2003.évi teljesítés </t>
  </si>
  <si>
    <t>Kodály Z. Iskola tetőrekonstrukció terv</t>
  </si>
  <si>
    <t xml:space="preserve">Házi kisátemelők </t>
  </si>
  <si>
    <t>Eltérés</t>
  </si>
  <si>
    <t>Búzavirág u. orvosi rendelő önálló hőfogadó kialakítás anyag</t>
  </si>
  <si>
    <t>Tudományos és Műszaki Park létesítése, erdőterület igénybevétele</t>
  </si>
  <si>
    <t>Lakásmobilitás  (lakás használatbavételi díj)</t>
  </si>
  <si>
    <t>Integrált helyi fejlesztések ösztönzése PHARE pályázatra</t>
  </si>
  <si>
    <t>Szennyvízcsat. Kvár és térsége II.üt. címzett tám.önrész</t>
  </si>
  <si>
    <t>PHivatal tel.központ bőv., GSM adapterek beép.</t>
  </si>
  <si>
    <t>Volt Dédász ép. átalakításával kapcs.berend.</t>
  </si>
  <si>
    <t>Útépítési kivit.és eng.terv (Kálvária, Vikár B és Gerle u.)</t>
  </si>
  <si>
    <t xml:space="preserve">Városi hulladéklerakó, komposztáló telep 1-1 db aprító, forgató,rosta beszerzése   </t>
  </si>
  <si>
    <t>Településszerkezeti konc,terv CÉDE p.önerő</t>
  </si>
  <si>
    <t>Kaposvár hosszútávú településfejlesztési koncepciójának kidolgozása</t>
  </si>
  <si>
    <t>Közintézmények akadálymentesítése PHARE pályázathoz tervek készítése</t>
  </si>
  <si>
    <t>Áthúzódó előirányzat</t>
  </si>
  <si>
    <t>Garanciális visszatartás áth.</t>
  </si>
  <si>
    <t>Áthúzódó előirányzat 75eft</t>
  </si>
  <si>
    <t>Áthúzódó előirányzat 1.500eft</t>
  </si>
  <si>
    <t xml:space="preserve">Áthúzódó előirányzat </t>
  </si>
  <si>
    <t>Áthúzódó előirányzat 19eft</t>
  </si>
  <si>
    <t xml:space="preserve">Áthúzódó előirányzat 325eft </t>
  </si>
  <si>
    <t>Áthúzódó előirányzat 2.835eft</t>
  </si>
  <si>
    <t>Áthúzódó előirányzat 825eft</t>
  </si>
  <si>
    <t>Áthúzódó előirányzat 1.200eft</t>
  </si>
  <si>
    <t>Áthúzódó előirányzat pályázatok előkészítése</t>
  </si>
  <si>
    <t>Füredi II. laktanya út és teljes körű közmű hálózat ép.engtervdok.</t>
  </si>
  <si>
    <t>SM Önkorrm: temetők haszn.jogáért történő lemondás ellenértéke</t>
  </si>
  <si>
    <t>Volt Dédász ép. átalakításával kapcs.   - szám.techn.fejl.</t>
  </si>
  <si>
    <t>Info.társadalom igényorientált inf.eszk.és rendszerei s.forrás+előleg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</si>
</sst>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,###"/>
    <numFmt numFmtId="165" formatCode="\+#,##0;\-#,##0"/>
    <numFmt numFmtId="166" formatCode="#,##0.000"/>
    <numFmt numFmtId="167" formatCode="#,##0.0000"/>
    <numFmt numFmtId="168" formatCode="#,##0.0"/>
    <numFmt numFmtId="169" formatCode="\+#,##0.0;\-#,##0.0"/>
    <numFmt numFmtId="170" formatCode="###,###"/>
    <numFmt numFmtId="171" formatCode="###,###,###"/>
    <numFmt numFmtId="172" formatCode="0;[Red]0"/>
    <numFmt numFmtId="173" formatCode="0.0%"/>
    <numFmt numFmtId="174" formatCode="0.000%"/>
    <numFmt numFmtId="175" formatCode="#,###,###.0"/>
    <numFmt numFmtId="176" formatCode="#,###,###.00"/>
    <numFmt numFmtId="177" formatCode="#,###,###.000"/>
    <numFmt numFmtId="178" formatCode="&quot;H-&quot;0000"/>
    <numFmt numFmtId="179" formatCode="0.0"/>
  </numFmts>
  <fonts count="18">
    <font>
      <sz val="10"/>
      <name val="Arial CE"/>
      <family val="0"/>
    </font>
    <font>
      <sz val="10"/>
      <name val="Times New Roman CE"/>
      <family val="0"/>
    </font>
    <font>
      <b/>
      <sz val="9"/>
      <color indexed="8"/>
      <name val="Arial CE"/>
      <family val="2"/>
    </font>
    <font>
      <sz val="9"/>
      <color indexed="8"/>
      <name val="Arial CE"/>
      <family val="2"/>
    </font>
    <font>
      <sz val="9"/>
      <color indexed="10"/>
      <name val="Arial CE"/>
      <family val="2"/>
    </font>
    <font>
      <sz val="10"/>
      <color indexed="8"/>
      <name val="Arial CE"/>
      <family val="2"/>
    </font>
    <font>
      <sz val="9"/>
      <color indexed="12"/>
      <name val="Arial CE"/>
      <family val="2"/>
    </font>
    <font>
      <b/>
      <sz val="12"/>
      <color indexed="8"/>
      <name val="Arial CE"/>
      <family val="2"/>
    </font>
    <font>
      <b/>
      <sz val="11"/>
      <color indexed="8"/>
      <name val="Arial CE"/>
      <family val="2"/>
    </font>
    <font>
      <b/>
      <sz val="10"/>
      <color indexed="8"/>
      <name val="Arial CE"/>
      <family val="2"/>
    </font>
    <font>
      <sz val="11"/>
      <color indexed="8"/>
      <name val="Arial CE"/>
      <family val="2"/>
    </font>
    <font>
      <sz val="9"/>
      <color indexed="14"/>
      <name val="Arial CE"/>
      <family val="2"/>
    </font>
    <font>
      <b/>
      <sz val="9"/>
      <color indexed="12"/>
      <name val="Arial CE"/>
      <family val="2"/>
    </font>
    <font>
      <b/>
      <sz val="10"/>
      <color indexed="12"/>
      <name val="Arial CE"/>
      <family val="2"/>
    </font>
    <font>
      <sz val="8"/>
      <color indexed="8"/>
      <name val="Arial CE"/>
      <family val="2"/>
    </font>
    <font>
      <b/>
      <sz val="10"/>
      <color indexed="10"/>
      <name val="Arial CE"/>
      <family val="2"/>
    </font>
    <font>
      <b/>
      <sz val="11"/>
      <color indexed="12"/>
      <name val="Arial CE"/>
      <family val="2"/>
    </font>
    <font>
      <b/>
      <sz val="8"/>
      <color indexed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/>
    </xf>
    <xf numFmtId="164" fontId="3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/>
    </xf>
    <xf numFmtId="164" fontId="3" fillId="0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/>
    </xf>
    <xf numFmtId="0" fontId="5" fillId="0" borderId="0" xfId="0" applyFont="1" applyFill="1" applyAlignment="1">
      <alignment/>
    </xf>
    <xf numFmtId="0" fontId="2" fillId="0" borderId="2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wrapText="1"/>
    </xf>
    <xf numFmtId="0" fontId="8" fillId="0" borderId="3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8" fillId="0" borderId="1" xfId="0" applyFont="1" applyFill="1" applyBorder="1" applyAlignment="1">
      <alignment/>
    </xf>
    <xf numFmtId="49" fontId="3" fillId="0" borderId="1" xfId="0" applyNumberFormat="1" applyFont="1" applyFill="1" applyBorder="1" applyAlignment="1">
      <alignment/>
    </xf>
    <xf numFmtId="0" fontId="8" fillId="0" borderId="3" xfId="0" applyFont="1" applyFill="1" applyBorder="1" applyAlignment="1">
      <alignment horizontal="right"/>
    </xf>
    <xf numFmtId="0" fontId="3" fillId="0" borderId="0" xfId="0" applyFont="1" applyFill="1" applyAlignment="1">
      <alignment wrapText="1"/>
    </xf>
    <xf numFmtId="0" fontId="9" fillId="0" borderId="3" xfId="0" applyFont="1" applyFill="1" applyBorder="1" applyAlignment="1">
      <alignment horizontal="center" vertical="center"/>
    </xf>
    <xf numFmtId="168" fontId="9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164" fontId="6" fillId="0" borderId="1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/>
    </xf>
    <xf numFmtId="164" fontId="9" fillId="0" borderId="3" xfId="0" applyNumberFormat="1" applyFont="1" applyFill="1" applyBorder="1" applyAlignment="1">
      <alignment/>
    </xf>
    <xf numFmtId="164" fontId="3" fillId="0" borderId="2" xfId="0" applyNumberFormat="1" applyFont="1" applyFill="1" applyBorder="1" applyAlignment="1">
      <alignment/>
    </xf>
    <xf numFmtId="164" fontId="3" fillId="0" borderId="1" xfId="0" applyNumberFormat="1" applyFont="1" applyFill="1" applyBorder="1" applyAlignment="1">
      <alignment horizontal="left"/>
    </xf>
    <xf numFmtId="164" fontId="3" fillId="0" borderId="2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left" wrapText="1"/>
    </xf>
    <xf numFmtId="0" fontId="3" fillId="0" borderId="2" xfId="0" applyFont="1" applyFill="1" applyBorder="1" applyAlignment="1">
      <alignment/>
    </xf>
    <xf numFmtId="164" fontId="8" fillId="0" borderId="3" xfId="0" applyNumberFormat="1" applyFont="1" applyFill="1" applyBorder="1" applyAlignment="1">
      <alignment/>
    </xf>
    <xf numFmtId="0" fontId="9" fillId="0" borderId="3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wrapText="1"/>
    </xf>
    <xf numFmtId="0" fontId="3" fillId="0" borderId="0" xfId="0" applyFont="1" applyFill="1" applyAlignment="1">
      <alignment horizontal="right"/>
    </xf>
    <xf numFmtId="175" fontId="3" fillId="0" borderId="1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175" fontId="9" fillId="0" borderId="3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>
      <alignment/>
    </xf>
    <xf numFmtId="168" fontId="2" fillId="0" borderId="1" xfId="0" applyNumberFormat="1" applyFont="1" applyFill="1" applyBorder="1" applyAlignment="1">
      <alignment horizontal="right" wrapText="1"/>
    </xf>
    <xf numFmtId="168" fontId="3" fillId="0" borderId="1" xfId="0" applyNumberFormat="1" applyFont="1" applyFill="1" applyBorder="1" applyAlignment="1">
      <alignment horizontal="right"/>
    </xf>
    <xf numFmtId="168" fontId="9" fillId="0" borderId="3" xfId="0" applyNumberFormat="1" applyFont="1" applyFill="1" applyBorder="1" applyAlignment="1">
      <alignment horizontal="right"/>
    </xf>
    <xf numFmtId="168" fontId="3" fillId="0" borderId="2" xfId="0" applyNumberFormat="1" applyFont="1" applyFill="1" applyBorder="1" applyAlignment="1">
      <alignment horizontal="right"/>
    </xf>
    <xf numFmtId="168" fontId="3" fillId="0" borderId="0" xfId="0" applyNumberFormat="1" applyFont="1" applyFill="1" applyAlignment="1">
      <alignment horizontal="right"/>
    </xf>
    <xf numFmtId="168" fontId="8" fillId="0" borderId="3" xfId="0" applyNumberFormat="1" applyFont="1" applyFill="1" applyBorder="1" applyAlignment="1">
      <alignment horizontal="right"/>
    </xf>
    <xf numFmtId="175" fontId="8" fillId="0" borderId="3" xfId="0" applyNumberFormat="1" applyFont="1" applyFill="1" applyBorder="1" applyAlignment="1">
      <alignment horizontal="right"/>
    </xf>
    <xf numFmtId="3" fontId="3" fillId="0" borderId="1" xfId="0" applyNumberFormat="1" applyFont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right"/>
    </xf>
    <xf numFmtId="164" fontId="3" fillId="3" borderId="1" xfId="0" applyNumberFormat="1" applyFont="1" applyFill="1" applyBorder="1" applyAlignment="1">
      <alignment horizontal="right"/>
    </xf>
    <xf numFmtId="164" fontId="9" fillId="0" borderId="3" xfId="0" applyNumberFormat="1" applyFont="1" applyFill="1" applyBorder="1" applyAlignment="1">
      <alignment horizontal="right"/>
    </xf>
    <xf numFmtId="175" fontId="3" fillId="0" borderId="1" xfId="0" applyNumberFormat="1" applyFont="1" applyFill="1" applyBorder="1" applyAlignment="1">
      <alignment horizontal="left"/>
    </xf>
    <xf numFmtId="0" fontId="12" fillId="0" borderId="2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3" fontId="6" fillId="0" borderId="1" xfId="0" applyNumberFormat="1" applyFont="1" applyBorder="1" applyAlignment="1">
      <alignment horizontal="right"/>
    </xf>
    <xf numFmtId="164" fontId="13" fillId="0" borderId="3" xfId="0" applyNumberFormat="1" applyFont="1" applyFill="1" applyBorder="1" applyAlignment="1">
      <alignment/>
    </xf>
    <xf numFmtId="3" fontId="6" fillId="0" borderId="1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168" fontId="9" fillId="0" borderId="2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right" wrapText="1"/>
    </xf>
    <xf numFmtId="164" fontId="5" fillId="0" borderId="1" xfId="0" applyNumberFormat="1" applyFont="1" applyFill="1" applyBorder="1" applyAlignment="1">
      <alignment horizontal="right"/>
    </xf>
    <xf numFmtId="175" fontId="5" fillId="0" borderId="1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164" fontId="3" fillId="4" borderId="1" xfId="0" applyNumberFormat="1" applyFont="1" applyFill="1" applyBorder="1" applyAlignment="1">
      <alignment horizontal="right"/>
    </xf>
    <xf numFmtId="164" fontId="11" fillId="4" borderId="1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8" fontId="17" fillId="0" borderId="2" xfId="0" applyNumberFormat="1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wrapText="1"/>
    </xf>
    <xf numFmtId="164" fontId="14" fillId="0" borderId="1" xfId="0" applyNumberFormat="1" applyFont="1" applyFill="1" applyBorder="1" applyAlignment="1">
      <alignment horizontal="left"/>
    </xf>
    <xf numFmtId="175" fontId="14" fillId="0" borderId="1" xfId="0" applyNumberFormat="1" applyFont="1" applyFill="1" applyBorder="1" applyAlignment="1">
      <alignment horizontal="left"/>
    </xf>
    <xf numFmtId="175" fontId="17" fillId="0" borderId="3" xfId="0" applyNumberFormat="1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175" fontId="3" fillId="0" borderId="2" xfId="0" applyNumberFormat="1" applyFont="1" applyFill="1" applyBorder="1" applyAlignment="1">
      <alignment horizontal="right"/>
    </xf>
    <xf numFmtId="164" fontId="5" fillId="0" borderId="2" xfId="0" applyNumberFormat="1" applyFont="1" applyFill="1" applyBorder="1" applyAlignment="1">
      <alignment horizontal="right"/>
    </xf>
    <xf numFmtId="175" fontId="14" fillId="0" borderId="2" xfId="0" applyNumberFormat="1" applyFont="1" applyFill="1" applyBorder="1" applyAlignment="1">
      <alignment horizontal="left"/>
    </xf>
    <xf numFmtId="164" fontId="3" fillId="2" borderId="2" xfId="0" applyNumberFormat="1" applyFont="1" applyFill="1" applyBorder="1" applyAlignment="1">
      <alignment horizontal="right"/>
    </xf>
    <xf numFmtId="0" fontId="12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vertical="center" wrapText="1"/>
    </xf>
    <xf numFmtId="168" fontId="15" fillId="0" borderId="6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164" fontId="14" fillId="0" borderId="2" xfId="0" applyNumberFormat="1" applyFont="1" applyFill="1" applyBorder="1" applyAlignment="1">
      <alignment horizontal="left"/>
    </xf>
    <xf numFmtId="164" fontId="16" fillId="0" borderId="3" xfId="0" applyNumberFormat="1" applyFont="1" applyFill="1" applyBorder="1" applyAlignment="1">
      <alignment/>
    </xf>
    <xf numFmtId="164" fontId="8" fillId="0" borderId="3" xfId="0" applyNumberFormat="1" applyFont="1" applyFill="1" applyBorder="1" applyAlignment="1">
      <alignment horizontal="right"/>
    </xf>
    <xf numFmtId="168" fontId="15" fillId="0" borderId="7" xfId="0" applyNumberFormat="1" applyFont="1" applyFill="1" applyBorder="1" applyAlignment="1">
      <alignment horizontal="center" vertical="center" wrapText="1"/>
    </xf>
    <xf numFmtId="168" fontId="15" fillId="0" borderId="8" xfId="0" applyNumberFormat="1" applyFont="1" applyFill="1" applyBorder="1" applyAlignment="1">
      <alignment horizontal="center" vertical="center" wrapText="1"/>
    </xf>
    <xf numFmtId="168" fontId="9" fillId="0" borderId="7" xfId="0" applyNumberFormat="1" applyFont="1" applyFill="1" applyBorder="1" applyAlignment="1">
      <alignment horizontal="center" vertical="center" wrapText="1"/>
    </xf>
    <xf numFmtId="168" fontId="9" fillId="0" borderId="8" xfId="0" applyNumberFormat="1" applyFont="1" applyFill="1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Normál_koncepció 2003" xfId="17"/>
    <cellStyle name="Normál_koncepció2002" xfId="18"/>
    <cellStyle name="Normál_koncepció2002_2003 tám_pály" xfId="19"/>
    <cellStyle name="Normál_Pályázatok 2002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5"/>
  <sheetViews>
    <sheetView tabSelected="1" zoomScale="75" zoomScaleNormal="75" workbookViewId="0" topLeftCell="A1">
      <pane xSplit="1" ySplit="2" topLeftCell="B17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97" sqref="D197"/>
    </sheetView>
  </sheetViews>
  <sheetFormatPr defaultColWidth="9.00390625" defaultRowHeight="12.75" outlineLevelCol="1"/>
  <cols>
    <col min="1" max="1" width="49.875" style="18" customWidth="1"/>
    <col min="2" max="2" width="11.25390625" style="10" customWidth="1"/>
    <col min="3" max="3" width="11.25390625" style="61" customWidth="1"/>
    <col min="4" max="4" width="11.625" style="10" customWidth="1"/>
    <col min="5" max="5" width="10.25390625" style="47" customWidth="1"/>
    <col min="6" max="6" width="10.125" style="38" customWidth="1"/>
    <col min="7" max="7" width="10.125" style="10" customWidth="1"/>
    <col min="8" max="8" width="11.00390625" style="66" hidden="1" customWidth="1" outlineLevel="1"/>
    <col min="9" max="9" width="39.25390625" style="75" customWidth="1" collapsed="1"/>
    <col min="10" max="10" width="12.625" style="12" customWidth="1"/>
    <col min="11" max="11" width="9.125" style="12" customWidth="1"/>
    <col min="12" max="12" width="9.25390625" style="12" bestFit="1" customWidth="1"/>
    <col min="13" max="16384" width="9.125" style="12" customWidth="1"/>
  </cols>
  <sheetData>
    <row r="1" spans="1:9" s="85" customFormat="1" ht="45" customHeight="1">
      <c r="A1" s="82" t="s">
        <v>0</v>
      </c>
      <c r="B1" s="81" t="s">
        <v>125</v>
      </c>
      <c r="C1" s="80" t="s">
        <v>126</v>
      </c>
      <c r="D1" s="91" t="s">
        <v>112</v>
      </c>
      <c r="E1" s="92"/>
      <c r="F1" s="89" t="s">
        <v>177</v>
      </c>
      <c r="G1" s="90"/>
      <c r="H1" s="83" t="s">
        <v>180</v>
      </c>
      <c r="I1" s="84" t="s">
        <v>1</v>
      </c>
    </row>
    <row r="2" spans="1:9" s="22" customFormat="1" ht="18" customHeight="1">
      <c r="A2" s="14"/>
      <c r="B2" s="13"/>
      <c r="C2" s="56"/>
      <c r="D2" s="23" t="s">
        <v>113</v>
      </c>
      <c r="E2" s="24" t="s">
        <v>114</v>
      </c>
      <c r="F2" s="36" t="s">
        <v>113</v>
      </c>
      <c r="G2" s="24" t="s">
        <v>114</v>
      </c>
      <c r="H2" s="62"/>
      <c r="I2" s="70"/>
    </row>
    <row r="3" spans="1:9" s="25" customFormat="1" ht="18" customHeight="1">
      <c r="A3" s="19" t="s">
        <v>2</v>
      </c>
      <c r="B3" s="1"/>
      <c r="C3" s="57"/>
      <c r="D3" s="1"/>
      <c r="E3" s="43"/>
      <c r="F3" s="37"/>
      <c r="G3" s="1"/>
      <c r="H3" s="63"/>
      <c r="I3" s="71"/>
    </row>
    <row r="4" spans="1:9" s="25" customFormat="1" ht="16.5" customHeight="1">
      <c r="A4" s="15" t="s">
        <v>3</v>
      </c>
      <c r="B4" s="2">
        <v>349</v>
      </c>
      <c r="C4" s="28">
        <v>349</v>
      </c>
      <c r="D4" s="6">
        <v>349</v>
      </c>
      <c r="E4" s="44">
        <f aca="true" t="shared" si="0" ref="E4:E11">+D4/C4*100</f>
        <v>100</v>
      </c>
      <c r="F4" s="4">
        <v>349</v>
      </c>
      <c r="G4" s="39">
        <f aca="true" t="shared" si="1" ref="G4:G11">+F4/C4*100</f>
        <v>100</v>
      </c>
      <c r="H4" s="64">
        <f>+C4-F4</f>
        <v>0</v>
      </c>
      <c r="I4" s="72"/>
    </row>
    <row r="5" spans="1:9" s="25" customFormat="1" ht="16.5" customHeight="1">
      <c r="A5" s="15" t="s">
        <v>5</v>
      </c>
      <c r="B5" s="2">
        <v>59</v>
      </c>
      <c r="C5" s="28">
        <v>59</v>
      </c>
      <c r="D5" s="6">
        <v>59</v>
      </c>
      <c r="E5" s="44">
        <f t="shared" si="0"/>
        <v>100</v>
      </c>
      <c r="F5" s="4">
        <v>59</v>
      </c>
      <c r="G5" s="39">
        <f t="shared" si="1"/>
        <v>100</v>
      </c>
      <c r="H5" s="64">
        <f aca="true" t="shared" si="2" ref="H5:H21">+C5-F5</f>
        <v>0</v>
      </c>
      <c r="I5" s="72"/>
    </row>
    <row r="6" spans="1:9" s="25" customFormat="1" ht="16.5" customHeight="1">
      <c r="A6" s="15" t="s">
        <v>6</v>
      </c>
      <c r="B6" s="2">
        <v>150</v>
      </c>
      <c r="C6" s="28">
        <v>150</v>
      </c>
      <c r="D6" s="6">
        <v>150</v>
      </c>
      <c r="E6" s="44">
        <f t="shared" si="0"/>
        <v>100</v>
      </c>
      <c r="F6" s="4">
        <v>150</v>
      </c>
      <c r="G6" s="39">
        <f t="shared" si="1"/>
        <v>100</v>
      </c>
      <c r="H6" s="64">
        <f t="shared" si="2"/>
        <v>0</v>
      </c>
      <c r="I6" s="72"/>
    </row>
    <row r="7" spans="1:9" s="25" customFormat="1" ht="16.5" customHeight="1">
      <c r="A7" s="15" t="s">
        <v>7</v>
      </c>
      <c r="B7" s="2">
        <v>95</v>
      </c>
      <c r="C7" s="28">
        <v>95</v>
      </c>
      <c r="D7" s="6">
        <v>95</v>
      </c>
      <c r="E7" s="44">
        <f t="shared" si="0"/>
        <v>100</v>
      </c>
      <c r="F7" s="4">
        <v>95</v>
      </c>
      <c r="G7" s="39">
        <f t="shared" si="1"/>
        <v>100</v>
      </c>
      <c r="H7" s="64">
        <f t="shared" si="2"/>
        <v>0</v>
      </c>
      <c r="I7" s="72"/>
    </row>
    <row r="8" spans="1:9" s="25" customFormat="1" ht="16.5" customHeight="1">
      <c r="A8" s="15" t="s">
        <v>8</v>
      </c>
      <c r="B8" s="2">
        <v>1717</v>
      </c>
      <c r="C8" s="28">
        <v>1717</v>
      </c>
      <c r="D8" s="6">
        <v>1717</v>
      </c>
      <c r="E8" s="44">
        <f t="shared" si="0"/>
        <v>100</v>
      </c>
      <c r="F8" s="4">
        <v>1717</v>
      </c>
      <c r="G8" s="39">
        <f t="shared" si="1"/>
        <v>100</v>
      </c>
      <c r="H8" s="64">
        <f t="shared" si="2"/>
        <v>0</v>
      </c>
      <c r="I8" s="73"/>
    </row>
    <row r="9" spans="1:9" s="25" customFormat="1" ht="16.5" customHeight="1">
      <c r="A9" s="20" t="s">
        <v>9</v>
      </c>
      <c r="B9" s="2">
        <v>2063</v>
      </c>
      <c r="C9" s="28">
        <v>2063</v>
      </c>
      <c r="D9" s="6">
        <v>2063</v>
      </c>
      <c r="E9" s="44">
        <f t="shared" si="0"/>
        <v>100</v>
      </c>
      <c r="F9" s="4">
        <v>2063</v>
      </c>
      <c r="G9" s="39">
        <f t="shared" si="1"/>
        <v>100</v>
      </c>
      <c r="H9" s="64">
        <f t="shared" si="2"/>
        <v>0</v>
      </c>
      <c r="I9" s="73"/>
    </row>
    <row r="10" spans="1:9" s="25" customFormat="1" ht="17.25" customHeight="1">
      <c r="A10" s="11" t="s">
        <v>10</v>
      </c>
      <c r="B10" s="2">
        <v>285765</v>
      </c>
      <c r="C10" s="28">
        <v>288720</v>
      </c>
      <c r="D10" s="6">
        <f>285765+2655</f>
        <v>288420</v>
      </c>
      <c r="E10" s="44">
        <f t="shared" si="0"/>
        <v>99.89609310058188</v>
      </c>
      <c r="F10" s="4">
        <f>274701-1</f>
        <v>274700</v>
      </c>
      <c r="G10" s="39">
        <f t="shared" si="1"/>
        <v>95.1440842338598</v>
      </c>
      <c r="H10" s="64">
        <f t="shared" si="2"/>
        <v>14020</v>
      </c>
      <c r="I10" s="55" t="s">
        <v>193</v>
      </c>
    </row>
    <row r="11" spans="1:9" s="25" customFormat="1" ht="17.25" customHeight="1">
      <c r="A11" s="11" t="s">
        <v>11</v>
      </c>
      <c r="B11" s="2">
        <v>248725</v>
      </c>
      <c r="C11" s="28">
        <v>248725</v>
      </c>
      <c r="D11" s="6">
        <f>(25+500+4750)-25-500-1250+101+10750+219444+750+1358+11125</f>
        <v>247028</v>
      </c>
      <c r="E11" s="44">
        <f t="shared" si="0"/>
        <v>99.31772037390692</v>
      </c>
      <c r="F11" s="4">
        <v>138133</v>
      </c>
      <c r="G11" s="39">
        <f t="shared" si="1"/>
        <v>55.53643582269575</v>
      </c>
      <c r="H11" s="64">
        <f t="shared" si="2"/>
        <v>110592</v>
      </c>
      <c r="I11" s="55" t="s">
        <v>193</v>
      </c>
    </row>
    <row r="12" spans="1:9" s="25" customFormat="1" ht="16.5" customHeight="1">
      <c r="A12" s="11" t="s">
        <v>12</v>
      </c>
      <c r="B12" s="2">
        <v>90</v>
      </c>
      <c r="C12" s="28">
        <v>90</v>
      </c>
      <c r="D12" s="6">
        <v>50</v>
      </c>
      <c r="E12" s="44">
        <f>+D12/C12*100</f>
        <v>55.55555555555556</v>
      </c>
      <c r="F12" s="4">
        <v>50</v>
      </c>
      <c r="G12" s="39">
        <f>+F12/C12*100</f>
        <v>55.55555555555556</v>
      </c>
      <c r="H12" s="64">
        <f t="shared" si="2"/>
        <v>40</v>
      </c>
      <c r="I12" s="55" t="s">
        <v>193</v>
      </c>
    </row>
    <row r="13" spans="1:9" ht="18.75" customHeight="1">
      <c r="A13" s="9" t="s">
        <v>66</v>
      </c>
      <c r="B13" s="6">
        <v>11000</v>
      </c>
      <c r="C13" s="58">
        <v>0</v>
      </c>
      <c r="D13" s="3" t="s">
        <v>4</v>
      </c>
      <c r="E13" s="44" t="s">
        <v>4</v>
      </c>
      <c r="F13" s="6"/>
      <c r="G13" s="3" t="s">
        <v>4</v>
      </c>
      <c r="H13" s="64">
        <f t="shared" si="2"/>
        <v>0</v>
      </c>
      <c r="I13" s="73"/>
    </row>
    <row r="14" spans="1:9" ht="15" customHeight="1">
      <c r="A14" s="9" t="s">
        <v>67</v>
      </c>
      <c r="B14" s="6">
        <v>10000</v>
      </c>
      <c r="C14" s="27">
        <v>10281</v>
      </c>
      <c r="D14" s="6">
        <f>3312+1611+4059+1299</f>
        <v>10281</v>
      </c>
      <c r="E14" s="44">
        <f aca="true" t="shared" si="3" ref="E14:E22">+D14/C14*100</f>
        <v>100</v>
      </c>
      <c r="F14" s="4">
        <v>9253</v>
      </c>
      <c r="G14" s="39">
        <f aca="true" t="shared" si="4" ref="G14:G22">+F14/C14*100</f>
        <v>90.0009726680284</v>
      </c>
      <c r="H14" s="64">
        <f t="shared" si="2"/>
        <v>1028</v>
      </c>
      <c r="I14" s="55" t="s">
        <v>194</v>
      </c>
    </row>
    <row r="15" spans="1:9" ht="27.75" customHeight="1">
      <c r="A15" s="15" t="s">
        <v>68</v>
      </c>
      <c r="B15" s="6">
        <v>5000</v>
      </c>
      <c r="C15" s="27">
        <v>5000</v>
      </c>
      <c r="D15" s="6">
        <v>780</v>
      </c>
      <c r="E15" s="44">
        <f t="shared" si="3"/>
        <v>15.6</v>
      </c>
      <c r="F15" s="4">
        <v>468</v>
      </c>
      <c r="G15" s="39">
        <f t="shared" si="4"/>
        <v>9.36</v>
      </c>
      <c r="H15" s="64">
        <f t="shared" si="2"/>
        <v>4532</v>
      </c>
      <c r="I15" s="55" t="s">
        <v>193</v>
      </c>
    </row>
    <row r="16" spans="1:9" ht="18" customHeight="1">
      <c r="A16" s="9" t="s">
        <v>69</v>
      </c>
      <c r="B16" s="6">
        <v>2300</v>
      </c>
      <c r="C16" s="27">
        <v>2969</v>
      </c>
      <c r="D16" s="6">
        <f>1969+989</f>
        <v>2958</v>
      </c>
      <c r="E16" s="44">
        <f t="shared" si="3"/>
        <v>99.62950488379926</v>
      </c>
      <c r="F16" s="4">
        <v>1969</v>
      </c>
      <c r="G16" s="39">
        <f t="shared" si="4"/>
        <v>66.31862579993265</v>
      </c>
      <c r="H16" s="64">
        <f t="shared" si="2"/>
        <v>1000</v>
      </c>
      <c r="I16" s="55" t="s">
        <v>193</v>
      </c>
    </row>
    <row r="17" spans="1:9" ht="27.75" customHeight="1">
      <c r="A17" s="9" t="s">
        <v>70</v>
      </c>
      <c r="B17" s="6">
        <v>6140</v>
      </c>
      <c r="C17" s="27">
        <v>6340</v>
      </c>
      <c r="D17" s="6">
        <f>6140+200</f>
        <v>6340</v>
      </c>
      <c r="E17" s="44">
        <f t="shared" si="3"/>
        <v>100</v>
      </c>
      <c r="F17" s="4">
        <f>6140+200</f>
        <v>6340</v>
      </c>
      <c r="G17" s="39">
        <f t="shared" si="4"/>
        <v>100</v>
      </c>
      <c r="H17" s="64">
        <f t="shared" si="2"/>
        <v>0</v>
      </c>
      <c r="I17" s="73"/>
    </row>
    <row r="18" spans="1:9" ht="18" customHeight="1">
      <c r="A18" s="9" t="s">
        <v>121</v>
      </c>
      <c r="B18" s="6">
        <v>1500</v>
      </c>
      <c r="C18" s="27">
        <v>1836</v>
      </c>
      <c r="D18" s="6">
        <v>1836</v>
      </c>
      <c r="E18" s="44">
        <f t="shared" si="3"/>
        <v>100</v>
      </c>
      <c r="F18" s="4">
        <v>1652</v>
      </c>
      <c r="G18" s="39">
        <f t="shared" si="4"/>
        <v>89.97821350762527</v>
      </c>
      <c r="H18" s="64">
        <f t="shared" si="2"/>
        <v>184</v>
      </c>
      <c r="I18" s="55" t="s">
        <v>194</v>
      </c>
    </row>
    <row r="19" spans="1:9" ht="18" customHeight="1">
      <c r="A19" s="9" t="s">
        <v>122</v>
      </c>
      <c r="B19" s="3" t="s">
        <v>146</v>
      </c>
      <c r="C19" s="27">
        <v>300</v>
      </c>
      <c r="D19" s="6">
        <v>300</v>
      </c>
      <c r="E19" s="44">
        <f t="shared" si="3"/>
        <v>100</v>
      </c>
      <c r="F19" s="4">
        <v>300</v>
      </c>
      <c r="G19" s="39">
        <f t="shared" si="4"/>
        <v>100</v>
      </c>
      <c r="H19" s="64">
        <f t="shared" si="2"/>
        <v>0</v>
      </c>
      <c r="I19" s="73"/>
    </row>
    <row r="20" spans="1:9" ht="30" customHeight="1">
      <c r="A20" s="9" t="s">
        <v>135</v>
      </c>
      <c r="B20" s="50">
        <v>0</v>
      </c>
      <c r="C20" s="27">
        <v>7000</v>
      </c>
      <c r="D20" s="6">
        <f>1741+25+398+571+31+19+319+589+99</f>
        <v>3792</v>
      </c>
      <c r="E20" s="44">
        <f t="shared" si="3"/>
        <v>54.17142857142857</v>
      </c>
      <c r="F20" s="6">
        <f>3843-150</f>
        <v>3693</v>
      </c>
      <c r="G20" s="39">
        <f t="shared" si="4"/>
        <v>52.75714285714286</v>
      </c>
      <c r="H20" s="64">
        <f t="shared" si="2"/>
        <v>3307</v>
      </c>
      <c r="I20" s="55" t="s">
        <v>193</v>
      </c>
    </row>
    <row r="21" spans="1:9" ht="30" customHeight="1">
      <c r="A21" s="9" t="s">
        <v>158</v>
      </c>
      <c r="B21" s="50">
        <v>0</v>
      </c>
      <c r="C21" s="27">
        <v>1052</v>
      </c>
      <c r="D21" s="6">
        <v>1052</v>
      </c>
      <c r="E21" s="44">
        <f t="shared" si="3"/>
        <v>100</v>
      </c>
      <c r="F21" s="4">
        <v>1052</v>
      </c>
      <c r="G21" s="39">
        <f t="shared" si="4"/>
        <v>100</v>
      </c>
      <c r="H21" s="64">
        <f t="shared" si="2"/>
        <v>0</v>
      </c>
      <c r="I21" s="72"/>
    </row>
    <row r="22" spans="1:9" s="40" customFormat="1" ht="27" customHeight="1">
      <c r="A22" s="21" t="s">
        <v>102</v>
      </c>
      <c r="B22" s="29">
        <f>SUM(B4:B21)</f>
        <v>574953</v>
      </c>
      <c r="C22" s="59">
        <f>SUM(C4:C21)</f>
        <v>576746</v>
      </c>
      <c r="D22" s="29">
        <f>SUM(D4:D21)</f>
        <v>567270</v>
      </c>
      <c r="E22" s="45">
        <f t="shared" si="3"/>
        <v>98.35698903850222</v>
      </c>
      <c r="F22" s="54">
        <f>SUM(F4:F21)</f>
        <v>442043</v>
      </c>
      <c r="G22" s="41">
        <f t="shared" si="4"/>
        <v>76.64431136063362</v>
      </c>
      <c r="H22" s="54">
        <f>SUM(H4:H21)</f>
        <v>134703</v>
      </c>
      <c r="I22" s="74"/>
    </row>
    <row r="23" spans="1:9" s="25" customFormat="1" ht="16.5" customHeight="1">
      <c r="A23" s="19" t="s">
        <v>13</v>
      </c>
      <c r="B23" s="2"/>
      <c r="C23" s="28"/>
      <c r="D23" s="6"/>
      <c r="E23" s="44"/>
      <c r="F23" s="6"/>
      <c r="G23" s="39"/>
      <c r="H23" s="65"/>
      <c r="I23" s="73"/>
    </row>
    <row r="24" spans="1:9" s="25" customFormat="1" ht="16.5" customHeight="1">
      <c r="A24" s="11" t="s">
        <v>14</v>
      </c>
      <c r="B24" s="2">
        <v>1328</v>
      </c>
      <c r="C24" s="28">
        <v>1329</v>
      </c>
      <c r="D24" s="6">
        <v>1329</v>
      </c>
      <c r="E24" s="44">
        <f aca="true" t="shared" si="5" ref="E24:E35">+D24/C24*100</f>
        <v>100</v>
      </c>
      <c r="F24" s="6">
        <v>1329</v>
      </c>
      <c r="G24" s="39">
        <f>+F24/C24*100</f>
        <v>100</v>
      </c>
      <c r="H24" s="64">
        <f aca="true" t="shared" si="6" ref="H24:H49">+C24-F24</f>
        <v>0</v>
      </c>
      <c r="I24" s="73"/>
    </row>
    <row r="25" spans="1:9" s="25" customFormat="1" ht="16.5" customHeight="1">
      <c r="A25" s="11" t="s">
        <v>15</v>
      </c>
      <c r="B25" s="2">
        <v>40001</v>
      </c>
      <c r="C25" s="28">
        <v>40001</v>
      </c>
      <c r="D25" s="6">
        <v>40001</v>
      </c>
      <c r="E25" s="44">
        <f t="shared" si="5"/>
        <v>100</v>
      </c>
      <c r="F25" s="6">
        <v>40001</v>
      </c>
      <c r="G25" s="39">
        <f>+F25/C25*100</f>
        <v>100</v>
      </c>
      <c r="H25" s="64">
        <f t="shared" si="6"/>
        <v>0</v>
      </c>
      <c r="I25" s="73"/>
    </row>
    <row r="26" spans="1:9" s="25" customFormat="1" ht="16.5" customHeight="1">
      <c r="A26" s="11" t="s">
        <v>16</v>
      </c>
      <c r="B26" s="2">
        <v>43125</v>
      </c>
      <c r="C26" s="28">
        <v>43125</v>
      </c>
      <c r="D26" s="6">
        <v>43125</v>
      </c>
      <c r="E26" s="44">
        <f t="shared" si="5"/>
        <v>100</v>
      </c>
      <c r="F26" s="6">
        <v>43125</v>
      </c>
      <c r="G26" s="39">
        <f>+F26/C26*100</f>
        <v>100</v>
      </c>
      <c r="H26" s="64">
        <f t="shared" si="6"/>
        <v>0</v>
      </c>
      <c r="I26" s="73"/>
    </row>
    <row r="27" spans="1:9" s="25" customFormat="1" ht="16.5" customHeight="1">
      <c r="A27" s="11" t="s">
        <v>17</v>
      </c>
      <c r="B27" s="2">
        <v>825</v>
      </c>
      <c r="C27" s="28">
        <v>825</v>
      </c>
      <c r="D27" s="6">
        <v>825</v>
      </c>
      <c r="E27" s="44">
        <f t="shared" si="5"/>
        <v>100</v>
      </c>
      <c r="F27" s="6"/>
      <c r="G27" s="3" t="s">
        <v>4</v>
      </c>
      <c r="H27" s="64">
        <f t="shared" si="6"/>
        <v>825</v>
      </c>
      <c r="I27" s="55" t="s">
        <v>193</v>
      </c>
    </row>
    <row r="28" spans="1:9" s="25" customFormat="1" ht="19.5" customHeight="1">
      <c r="A28" s="11" t="s">
        <v>18</v>
      </c>
      <c r="B28" s="2">
        <v>55422</v>
      </c>
      <c r="C28" s="28">
        <v>56156</v>
      </c>
      <c r="D28" s="6">
        <v>56156</v>
      </c>
      <c r="E28" s="44">
        <f t="shared" si="5"/>
        <v>100</v>
      </c>
      <c r="F28" s="6">
        <v>56156</v>
      </c>
      <c r="G28" s="39">
        <f aca="true" t="shared" si="7" ref="G28:G34">+F28/C28*100</f>
        <v>100</v>
      </c>
      <c r="H28" s="64">
        <f t="shared" si="6"/>
        <v>0</v>
      </c>
      <c r="I28" s="73"/>
    </row>
    <row r="29" spans="1:9" s="25" customFormat="1" ht="22.5" customHeight="1">
      <c r="A29" s="11" t="s">
        <v>19</v>
      </c>
      <c r="B29" s="2">
        <f>83255</f>
        <v>83255</v>
      </c>
      <c r="C29" s="28">
        <f>83255</f>
        <v>83255</v>
      </c>
      <c r="D29" s="6">
        <v>83255</v>
      </c>
      <c r="E29" s="44">
        <f t="shared" si="5"/>
        <v>100</v>
      </c>
      <c r="F29" s="6">
        <f>84703-F30</f>
        <v>83255</v>
      </c>
      <c r="G29" s="39">
        <f t="shared" si="7"/>
        <v>100</v>
      </c>
      <c r="H29" s="64">
        <f t="shared" si="6"/>
        <v>0</v>
      </c>
      <c r="I29" s="73"/>
    </row>
    <row r="30" spans="1:9" s="25" customFormat="1" ht="17.25" customHeight="1">
      <c r="A30" s="11" t="s">
        <v>20</v>
      </c>
      <c r="B30" s="2">
        <v>2172</v>
      </c>
      <c r="C30" s="28">
        <v>2172</v>
      </c>
      <c r="D30" s="6">
        <v>2172</v>
      </c>
      <c r="E30" s="44">
        <f t="shared" si="5"/>
        <v>100</v>
      </c>
      <c r="F30" s="6">
        <v>1448</v>
      </c>
      <c r="G30" s="39">
        <f t="shared" si="7"/>
        <v>66.66666666666666</v>
      </c>
      <c r="H30" s="64">
        <f t="shared" si="6"/>
        <v>724</v>
      </c>
      <c r="I30" s="55" t="s">
        <v>193</v>
      </c>
    </row>
    <row r="31" spans="1:9" s="25" customFormat="1" ht="16.5" customHeight="1">
      <c r="A31" s="11" t="s">
        <v>147</v>
      </c>
      <c r="B31" s="2">
        <v>994</v>
      </c>
      <c r="C31" s="28">
        <v>994</v>
      </c>
      <c r="D31" s="6">
        <v>994</v>
      </c>
      <c r="E31" s="44">
        <f t="shared" si="5"/>
        <v>100</v>
      </c>
      <c r="F31" s="6">
        <v>994</v>
      </c>
      <c r="G31" s="39">
        <f t="shared" si="7"/>
        <v>100</v>
      </c>
      <c r="H31" s="64">
        <f t="shared" si="6"/>
        <v>0</v>
      </c>
      <c r="I31" s="73"/>
    </row>
    <row r="32" spans="1:9" s="25" customFormat="1" ht="16.5" customHeight="1">
      <c r="A32" s="9" t="s">
        <v>21</v>
      </c>
      <c r="B32" s="2">
        <v>1025</v>
      </c>
      <c r="C32" s="28">
        <v>1025</v>
      </c>
      <c r="D32" s="6">
        <v>1025</v>
      </c>
      <c r="E32" s="44">
        <f t="shared" si="5"/>
        <v>100</v>
      </c>
      <c r="F32" s="6">
        <v>1025</v>
      </c>
      <c r="G32" s="39">
        <f t="shared" si="7"/>
        <v>100</v>
      </c>
      <c r="H32" s="64">
        <f t="shared" si="6"/>
        <v>0</v>
      </c>
      <c r="I32" s="73"/>
    </row>
    <row r="33" spans="1:9" s="25" customFormat="1" ht="16.5" customHeight="1">
      <c r="A33" s="11" t="s">
        <v>22</v>
      </c>
      <c r="B33" s="2">
        <v>1600</v>
      </c>
      <c r="C33" s="28">
        <v>1600</v>
      </c>
      <c r="D33" s="6">
        <v>1600</v>
      </c>
      <c r="E33" s="44">
        <f t="shared" si="5"/>
        <v>100</v>
      </c>
      <c r="F33" s="6">
        <v>1600</v>
      </c>
      <c r="G33" s="39">
        <f t="shared" si="7"/>
        <v>100</v>
      </c>
      <c r="H33" s="64">
        <f t="shared" si="6"/>
        <v>0</v>
      </c>
      <c r="I33" s="73"/>
    </row>
    <row r="34" spans="1:9" s="25" customFormat="1" ht="16.5" customHeight="1">
      <c r="A34" s="11" t="s">
        <v>23</v>
      </c>
      <c r="B34" s="2">
        <v>488</v>
      </c>
      <c r="C34" s="28">
        <v>488</v>
      </c>
      <c r="D34" s="6">
        <v>488</v>
      </c>
      <c r="E34" s="44">
        <f t="shared" si="5"/>
        <v>100</v>
      </c>
      <c r="F34" s="6">
        <v>488</v>
      </c>
      <c r="G34" s="39">
        <f t="shared" si="7"/>
        <v>100</v>
      </c>
      <c r="H34" s="64">
        <f t="shared" si="6"/>
        <v>0</v>
      </c>
      <c r="I34" s="72"/>
    </row>
    <row r="35" spans="1:9" s="25" customFormat="1" ht="22.5" customHeight="1">
      <c r="A35" s="11" t="s">
        <v>61</v>
      </c>
      <c r="B35" s="2">
        <v>66363</v>
      </c>
      <c r="C35" s="28">
        <v>66363</v>
      </c>
      <c r="D35" s="6">
        <v>66363</v>
      </c>
      <c r="E35" s="44">
        <f t="shared" si="5"/>
        <v>100</v>
      </c>
      <c r="F35" s="6">
        <v>66363</v>
      </c>
      <c r="G35" s="39">
        <f>+F35/C35*100</f>
        <v>100</v>
      </c>
      <c r="H35" s="64">
        <f t="shared" si="6"/>
        <v>0</v>
      </c>
      <c r="I35" s="73"/>
    </row>
    <row r="36" spans="1:9" ht="21.75" customHeight="1">
      <c r="A36" s="9" t="s">
        <v>185</v>
      </c>
      <c r="B36" s="6">
        <v>14745</v>
      </c>
      <c r="C36" s="58">
        <v>0</v>
      </c>
      <c r="D36" s="3" t="s">
        <v>4</v>
      </c>
      <c r="E36" s="3" t="s">
        <v>4</v>
      </c>
      <c r="F36" s="6"/>
      <c r="G36" s="3" t="s">
        <v>4</v>
      </c>
      <c r="H36" s="64">
        <f t="shared" si="6"/>
        <v>0</v>
      </c>
      <c r="I36" s="72"/>
    </row>
    <row r="37" spans="1:9" ht="19.5" customHeight="1">
      <c r="A37" s="9" t="s">
        <v>169</v>
      </c>
      <c r="B37" s="50">
        <v>0</v>
      </c>
      <c r="C37" s="27">
        <v>1745</v>
      </c>
      <c r="D37" s="3" t="s">
        <v>4</v>
      </c>
      <c r="E37" s="3" t="s">
        <v>4</v>
      </c>
      <c r="F37" s="6"/>
      <c r="G37" s="3" t="s">
        <v>4</v>
      </c>
      <c r="H37" s="64">
        <f t="shared" si="6"/>
        <v>1745</v>
      </c>
      <c r="I37" s="55" t="s">
        <v>193</v>
      </c>
    </row>
    <row r="38" spans="1:9" ht="18.75" customHeight="1">
      <c r="A38" s="9" t="s">
        <v>71</v>
      </c>
      <c r="B38" s="6">
        <f>536000+6000</f>
        <v>542000</v>
      </c>
      <c r="C38" s="27">
        <v>549987</v>
      </c>
      <c r="D38" s="6">
        <f>557512-7525</f>
        <v>549987</v>
      </c>
      <c r="E38" s="44">
        <f aca="true" t="shared" si="8" ref="E38:E46">+D38/C38*100</f>
        <v>100</v>
      </c>
      <c r="F38" s="6">
        <v>496417</v>
      </c>
      <c r="G38" s="39">
        <f>+F38/C38*100</f>
        <v>90.25976977637653</v>
      </c>
      <c r="H38" s="64">
        <f t="shared" si="6"/>
        <v>53570</v>
      </c>
      <c r="I38" s="55" t="s">
        <v>193</v>
      </c>
    </row>
    <row r="39" spans="1:9" ht="18" customHeight="1">
      <c r="A39" s="9" t="s">
        <v>179</v>
      </c>
      <c r="B39" s="6">
        <v>48000</v>
      </c>
      <c r="C39" s="27">
        <v>11825</v>
      </c>
      <c r="D39" s="6">
        <f>7525+1918+1158+75</f>
        <v>10676</v>
      </c>
      <c r="E39" s="44">
        <f t="shared" si="8"/>
        <v>90.28329809725159</v>
      </c>
      <c r="F39" s="6">
        <v>10600</v>
      </c>
      <c r="G39" s="39">
        <f>+F39/C39*100</f>
        <v>89.64059196617336</v>
      </c>
      <c r="H39" s="64">
        <f t="shared" si="6"/>
        <v>1225</v>
      </c>
      <c r="I39" s="55" t="s">
        <v>195</v>
      </c>
    </row>
    <row r="40" spans="1:9" ht="18" customHeight="1">
      <c r="A40" s="9" t="s">
        <v>149</v>
      </c>
      <c r="B40" s="50">
        <v>0</v>
      </c>
      <c r="C40" s="27">
        <v>7500</v>
      </c>
      <c r="D40" s="6">
        <v>7250</v>
      </c>
      <c r="E40" s="44">
        <f t="shared" si="8"/>
        <v>96.66666666666667</v>
      </c>
      <c r="F40" s="6">
        <v>7250</v>
      </c>
      <c r="G40" s="39">
        <f aca="true" t="shared" si="9" ref="G40:G46">+F40/C40*100</f>
        <v>96.66666666666667</v>
      </c>
      <c r="H40" s="64">
        <f t="shared" si="6"/>
        <v>250</v>
      </c>
      <c r="I40" s="72"/>
    </row>
    <row r="41" spans="1:9" ht="17.25" customHeight="1">
      <c r="A41" s="9" t="s">
        <v>150</v>
      </c>
      <c r="B41" s="6">
        <v>2000</v>
      </c>
      <c r="C41" s="27">
        <v>859</v>
      </c>
      <c r="D41" s="6">
        <v>859</v>
      </c>
      <c r="E41" s="44">
        <f t="shared" si="8"/>
        <v>100</v>
      </c>
      <c r="F41" s="6">
        <v>859</v>
      </c>
      <c r="G41" s="39">
        <f t="shared" si="9"/>
        <v>100</v>
      </c>
      <c r="H41" s="64">
        <f t="shared" si="6"/>
        <v>0</v>
      </c>
      <c r="I41" s="72"/>
    </row>
    <row r="42" spans="1:9" ht="25.5" customHeight="1">
      <c r="A42" s="9" t="s">
        <v>72</v>
      </c>
      <c r="B42" s="6">
        <v>4875</v>
      </c>
      <c r="C42" s="27">
        <v>4875</v>
      </c>
      <c r="D42" s="6">
        <v>4875</v>
      </c>
      <c r="E42" s="44">
        <f t="shared" si="8"/>
        <v>100</v>
      </c>
      <c r="F42" s="6">
        <v>4875</v>
      </c>
      <c r="G42" s="39">
        <f t="shared" si="9"/>
        <v>100</v>
      </c>
      <c r="H42" s="64">
        <f t="shared" si="6"/>
        <v>0</v>
      </c>
      <c r="I42" s="73"/>
    </row>
    <row r="43" spans="1:9" ht="15.75" customHeight="1">
      <c r="A43" s="9" t="s">
        <v>73</v>
      </c>
      <c r="B43" s="6">
        <v>500</v>
      </c>
      <c r="C43" s="27">
        <v>500</v>
      </c>
      <c r="D43" s="6">
        <v>375</v>
      </c>
      <c r="E43" s="44">
        <f t="shared" si="8"/>
        <v>75</v>
      </c>
      <c r="F43" s="6">
        <v>375</v>
      </c>
      <c r="G43" s="39">
        <f t="shared" si="9"/>
        <v>75</v>
      </c>
      <c r="H43" s="64">
        <f t="shared" si="6"/>
        <v>125</v>
      </c>
      <c r="I43" s="73"/>
    </row>
    <row r="44" spans="1:9" ht="15.75" customHeight="1">
      <c r="A44" s="9" t="s">
        <v>74</v>
      </c>
      <c r="B44" s="6">
        <v>300</v>
      </c>
      <c r="C44" s="27">
        <v>300</v>
      </c>
      <c r="D44" s="6">
        <v>250</v>
      </c>
      <c r="E44" s="44">
        <f t="shared" si="8"/>
        <v>83.33333333333334</v>
      </c>
      <c r="F44" s="6"/>
      <c r="G44" s="39">
        <f t="shared" si="9"/>
        <v>0</v>
      </c>
      <c r="H44" s="64">
        <f t="shared" si="6"/>
        <v>300</v>
      </c>
      <c r="I44" s="55" t="s">
        <v>193</v>
      </c>
    </row>
    <row r="45" spans="1:9" ht="15.75" customHeight="1">
      <c r="A45" s="9" t="s">
        <v>75</v>
      </c>
      <c r="B45" s="6">
        <v>125</v>
      </c>
      <c r="C45" s="27">
        <v>593</v>
      </c>
      <c r="D45" s="6">
        <v>593</v>
      </c>
      <c r="E45" s="44">
        <f t="shared" si="8"/>
        <v>100</v>
      </c>
      <c r="F45" s="6">
        <v>593</v>
      </c>
      <c r="G45" s="39">
        <f t="shared" si="9"/>
        <v>100</v>
      </c>
      <c r="H45" s="64">
        <f t="shared" si="6"/>
        <v>0</v>
      </c>
      <c r="I45" s="73"/>
    </row>
    <row r="46" spans="1:9" ht="15.75" customHeight="1">
      <c r="A46" s="9" t="s">
        <v>118</v>
      </c>
      <c r="B46" s="6" t="s">
        <v>146</v>
      </c>
      <c r="C46" s="27">
        <v>660</v>
      </c>
      <c r="D46" s="6">
        <v>660</v>
      </c>
      <c r="E46" s="44">
        <f t="shared" si="8"/>
        <v>100</v>
      </c>
      <c r="F46" s="6">
        <v>660</v>
      </c>
      <c r="G46" s="39">
        <f t="shared" si="9"/>
        <v>100</v>
      </c>
      <c r="H46" s="64">
        <f t="shared" si="6"/>
        <v>0</v>
      </c>
      <c r="I46" s="73"/>
    </row>
    <row r="47" spans="1:9" ht="15.75" customHeight="1">
      <c r="A47" s="9" t="s">
        <v>119</v>
      </c>
      <c r="B47" s="6" t="s">
        <v>146</v>
      </c>
      <c r="C47" s="27">
        <v>300</v>
      </c>
      <c r="D47" s="3" t="s">
        <v>4</v>
      </c>
      <c r="E47" s="3" t="s">
        <v>4</v>
      </c>
      <c r="F47" s="6"/>
      <c r="G47" s="3" t="s">
        <v>4</v>
      </c>
      <c r="H47" s="64">
        <f t="shared" si="6"/>
        <v>300</v>
      </c>
      <c r="I47" s="55" t="s">
        <v>193</v>
      </c>
    </row>
    <row r="48" spans="1:9" ht="30" customHeight="1">
      <c r="A48" s="9" t="s">
        <v>127</v>
      </c>
      <c r="B48" s="6" t="s">
        <v>146</v>
      </c>
      <c r="C48" s="27">
        <v>600</v>
      </c>
      <c r="D48" s="6">
        <v>600</v>
      </c>
      <c r="E48" s="44">
        <f>+D48/C48*100</f>
        <v>100</v>
      </c>
      <c r="F48" s="6"/>
      <c r="G48" s="3" t="s">
        <v>4</v>
      </c>
      <c r="H48" s="64">
        <f t="shared" si="6"/>
        <v>600</v>
      </c>
      <c r="I48" s="55" t="s">
        <v>193</v>
      </c>
    </row>
    <row r="49" spans="1:9" ht="18" customHeight="1">
      <c r="A49" s="9" t="s">
        <v>159</v>
      </c>
      <c r="B49" s="6" t="s">
        <v>146</v>
      </c>
      <c r="C49" s="27">
        <v>4750</v>
      </c>
      <c r="D49" s="6">
        <v>4750</v>
      </c>
      <c r="E49" s="44">
        <f>+D49/C49*100</f>
        <v>100</v>
      </c>
      <c r="F49" s="6"/>
      <c r="G49" s="3" t="s">
        <v>4</v>
      </c>
      <c r="H49" s="64">
        <f t="shared" si="6"/>
        <v>4750</v>
      </c>
      <c r="I49" s="55" t="s">
        <v>193</v>
      </c>
    </row>
    <row r="50" spans="1:9" s="25" customFormat="1" ht="19.5" customHeight="1">
      <c r="A50" s="21" t="s">
        <v>103</v>
      </c>
      <c r="B50" s="29">
        <f>SUM(B24:B49)</f>
        <v>909143</v>
      </c>
      <c r="C50" s="59">
        <f>SUM(C24:C49)</f>
        <v>881827</v>
      </c>
      <c r="D50" s="29">
        <f>SUM(D24:D49)</f>
        <v>878208</v>
      </c>
      <c r="E50" s="45">
        <f>+D50/C50*100</f>
        <v>99.5896020421239</v>
      </c>
      <c r="F50" s="54">
        <f>SUM(F24:F49)</f>
        <v>817413</v>
      </c>
      <c r="G50" s="41">
        <f>+F50/C50*100</f>
        <v>92.69539263370254</v>
      </c>
      <c r="H50" s="54">
        <f>SUM(H24:H49)</f>
        <v>64414</v>
      </c>
      <c r="I50" s="74"/>
    </row>
    <row r="51" spans="1:9" s="25" customFormat="1" ht="16.5" customHeight="1">
      <c r="A51" s="19" t="s">
        <v>24</v>
      </c>
      <c r="B51" s="2"/>
      <c r="C51" s="28"/>
      <c r="D51" s="6"/>
      <c r="E51" s="44"/>
      <c r="F51" s="6"/>
      <c r="G51" s="39"/>
      <c r="H51" s="65"/>
      <c r="I51" s="73"/>
    </row>
    <row r="52" spans="1:9" ht="15" customHeight="1">
      <c r="A52" s="11" t="s">
        <v>174</v>
      </c>
      <c r="B52" s="6">
        <f>150+2000</f>
        <v>2150</v>
      </c>
      <c r="C52" s="27">
        <v>2025</v>
      </c>
      <c r="D52" s="6">
        <f>625+1188</f>
        <v>1813</v>
      </c>
      <c r="E52" s="44">
        <f>+D52/C52*100</f>
        <v>89.53086419753087</v>
      </c>
      <c r="F52" s="6">
        <v>1188</v>
      </c>
      <c r="G52" s="39">
        <f>+F52/C52*100</f>
        <v>58.666666666666664</v>
      </c>
      <c r="H52" s="64">
        <f>+C52-F52</f>
        <v>837</v>
      </c>
      <c r="I52" s="31"/>
    </row>
    <row r="53" spans="1:9" ht="15" customHeight="1">
      <c r="A53" s="11" t="s">
        <v>120</v>
      </c>
      <c r="B53" s="6" t="s">
        <v>146</v>
      </c>
      <c r="C53" s="27">
        <v>250</v>
      </c>
      <c r="D53" s="6">
        <v>250</v>
      </c>
      <c r="E53" s="44">
        <f>+D53/C53*100</f>
        <v>100</v>
      </c>
      <c r="F53" s="6">
        <v>250</v>
      </c>
      <c r="G53" s="39">
        <f>+F53/C53*100</f>
        <v>100</v>
      </c>
      <c r="H53" s="64">
        <f>+C53-F53</f>
        <v>0</v>
      </c>
      <c r="I53" s="73"/>
    </row>
    <row r="54" spans="1:9" s="25" customFormat="1" ht="16.5" customHeight="1">
      <c r="A54" s="21" t="s">
        <v>101</v>
      </c>
      <c r="B54" s="29">
        <f>SUM(B52:B53)</f>
        <v>2150</v>
      </c>
      <c r="C54" s="59">
        <f>SUM(C52:C53)</f>
        <v>2275</v>
      </c>
      <c r="D54" s="29">
        <f>SUM(D52:D53)</f>
        <v>2063</v>
      </c>
      <c r="E54" s="45">
        <f>+D54/C54*100</f>
        <v>90.68131868131869</v>
      </c>
      <c r="F54" s="54">
        <f>SUM(F52:F53)</f>
        <v>1438</v>
      </c>
      <c r="G54" s="41">
        <f>+F54/C54*100</f>
        <v>63.208791208791204</v>
      </c>
      <c r="H54" s="54">
        <f>SUM(H52:H53)</f>
        <v>837</v>
      </c>
      <c r="I54" s="74"/>
    </row>
    <row r="55" spans="1:9" s="25" customFormat="1" ht="16.5" customHeight="1">
      <c r="A55" s="19" t="s">
        <v>25</v>
      </c>
      <c r="B55" s="2"/>
      <c r="C55" s="28"/>
      <c r="D55" s="6"/>
      <c r="E55" s="44"/>
      <c r="F55" s="6"/>
      <c r="G55" s="39"/>
      <c r="H55" s="65"/>
      <c r="I55" s="73"/>
    </row>
    <row r="56" spans="1:9" s="25" customFormat="1" ht="16.5" customHeight="1">
      <c r="A56" s="11" t="s">
        <v>26</v>
      </c>
      <c r="B56" s="2">
        <v>194</v>
      </c>
      <c r="C56" s="28">
        <v>194</v>
      </c>
      <c r="D56" s="6">
        <v>167</v>
      </c>
      <c r="E56" s="44">
        <f aca="true" t="shared" si="10" ref="E56:E61">+D56/C56*100</f>
        <v>86.08247422680412</v>
      </c>
      <c r="F56" s="6">
        <v>167</v>
      </c>
      <c r="G56" s="39">
        <f>+F56/C56*100</f>
        <v>86.08247422680412</v>
      </c>
      <c r="H56" s="64">
        <f aca="true" t="shared" si="11" ref="H56:H72">+C56-F56</f>
        <v>27</v>
      </c>
      <c r="I56" s="73"/>
    </row>
    <row r="57" spans="1:9" s="25" customFormat="1" ht="16.5" customHeight="1">
      <c r="A57" s="11" t="s">
        <v>27</v>
      </c>
      <c r="B57" s="2">
        <v>185</v>
      </c>
      <c r="C57" s="28">
        <v>185</v>
      </c>
      <c r="D57" s="6">
        <v>185</v>
      </c>
      <c r="E57" s="44">
        <f t="shared" si="10"/>
        <v>100</v>
      </c>
      <c r="F57" s="6">
        <v>185</v>
      </c>
      <c r="G57" s="39">
        <f>+F57/C57*100</f>
        <v>100</v>
      </c>
      <c r="H57" s="64">
        <f t="shared" si="11"/>
        <v>0</v>
      </c>
      <c r="I57" s="73"/>
    </row>
    <row r="58" spans="1:9" s="25" customFormat="1" ht="16.5" customHeight="1">
      <c r="A58" s="11" t="s">
        <v>28</v>
      </c>
      <c r="B58" s="2">
        <v>83</v>
      </c>
      <c r="C58" s="28">
        <v>83</v>
      </c>
      <c r="D58" s="6">
        <v>83</v>
      </c>
      <c r="E58" s="44">
        <f t="shared" si="10"/>
        <v>100</v>
      </c>
      <c r="F58" s="6">
        <v>83</v>
      </c>
      <c r="G58" s="39">
        <f>+F58/C58*100</f>
        <v>100</v>
      </c>
      <c r="H58" s="64">
        <f t="shared" si="11"/>
        <v>0</v>
      </c>
      <c r="I58" s="72"/>
    </row>
    <row r="59" spans="1:9" ht="17.25" customHeight="1">
      <c r="A59" s="9" t="s">
        <v>65</v>
      </c>
      <c r="B59" s="2">
        <v>6750</v>
      </c>
      <c r="C59" s="28">
        <v>6750</v>
      </c>
      <c r="D59" s="2">
        <v>6750</v>
      </c>
      <c r="E59" s="44">
        <f t="shared" si="10"/>
        <v>100</v>
      </c>
      <c r="F59" s="6">
        <v>6750</v>
      </c>
      <c r="G59" s="39">
        <f>+F59/C59*100</f>
        <v>100</v>
      </c>
      <c r="H59" s="64">
        <f t="shared" si="11"/>
        <v>0</v>
      </c>
      <c r="I59" s="73"/>
    </row>
    <row r="60" spans="1:9" ht="18" customHeight="1">
      <c r="A60" s="9" t="s">
        <v>148</v>
      </c>
      <c r="B60" s="2">
        <v>2000</v>
      </c>
      <c r="C60" s="28">
        <v>2000</v>
      </c>
      <c r="D60" s="2">
        <v>2000</v>
      </c>
      <c r="E60" s="44">
        <f t="shared" si="10"/>
        <v>100</v>
      </c>
      <c r="F60" s="6">
        <v>2000</v>
      </c>
      <c r="G60" s="39">
        <f>+F60/C60*100</f>
        <v>100</v>
      </c>
      <c r="H60" s="64">
        <f t="shared" si="11"/>
        <v>0</v>
      </c>
      <c r="I60" s="73"/>
    </row>
    <row r="61" spans="1:9" ht="17.25" customHeight="1" collapsed="1">
      <c r="A61" s="11" t="s">
        <v>76</v>
      </c>
      <c r="B61" s="6">
        <v>2000</v>
      </c>
      <c r="C61" s="27">
        <v>2500</v>
      </c>
      <c r="D61" s="6">
        <v>1500</v>
      </c>
      <c r="E61" s="44">
        <f t="shared" si="10"/>
        <v>60</v>
      </c>
      <c r="F61" s="6"/>
      <c r="G61" s="3" t="s">
        <v>4</v>
      </c>
      <c r="H61" s="64">
        <f t="shared" si="11"/>
        <v>2500</v>
      </c>
      <c r="I61" s="55" t="s">
        <v>196</v>
      </c>
    </row>
    <row r="62" spans="1:9" ht="17.25" customHeight="1">
      <c r="A62" s="11" t="s">
        <v>77</v>
      </c>
      <c r="B62" s="6">
        <v>500</v>
      </c>
      <c r="C62" s="60">
        <v>0</v>
      </c>
      <c r="D62" s="3" t="s">
        <v>4</v>
      </c>
      <c r="E62" s="3" t="s">
        <v>4</v>
      </c>
      <c r="F62" s="6"/>
      <c r="G62" s="3" t="s">
        <v>4</v>
      </c>
      <c r="H62" s="64">
        <f t="shared" si="11"/>
        <v>0</v>
      </c>
      <c r="I62" s="73"/>
    </row>
    <row r="63" spans="1:9" ht="17.25" customHeight="1">
      <c r="A63" s="11" t="s">
        <v>173</v>
      </c>
      <c r="B63" s="6">
        <v>1800</v>
      </c>
      <c r="C63" s="27">
        <v>5500</v>
      </c>
      <c r="D63" s="6">
        <v>5037</v>
      </c>
      <c r="E63" s="44">
        <f>+D63/C63*100</f>
        <v>91.58181818181819</v>
      </c>
      <c r="F63" s="6">
        <v>5037</v>
      </c>
      <c r="G63" s="39">
        <f>+F63/C63*100</f>
        <v>91.58181818181819</v>
      </c>
      <c r="H63" s="64">
        <f t="shared" si="11"/>
        <v>463</v>
      </c>
      <c r="I63" s="73"/>
    </row>
    <row r="64" spans="1:9" ht="17.25" customHeight="1">
      <c r="A64" s="11" t="s">
        <v>78</v>
      </c>
      <c r="B64" s="6">
        <v>4000</v>
      </c>
      <c r="C64" s="27">
        <v>4222</v>
      </c>
      <c r="D64" s="6">
        <v>4222</v>
      </c>
      <c r="E64" s="44">
        <f>+D64/C64*100</f>
        <v>100</v>
      </c>
      <c r="F64" s="6">
        <v>4011</v>
      </c>
      <c r="G64" s="39">
        <f>+F64/C64*100</f>
        <v>95.00236854571294</v>
      </c>
      <c r="H64" s="64">
        <f t="shared" si="11"/>
        <v>211</v>
      </c>
      <c r="I64" s="55" t="s">
        <v>194</v>
      </c>
    </row>
    <row r="65" spans="1:9" ht="17.25" customHeight="1">
      <c r="A65" s="11" t="s">
        <v>79</v>
      </c>
      <c r="B65" s="6">
        <v>1000</v>
      </c>
      <c r="C65" s="27">
        <v>1757</v>
      </c>
      <c r="D65" s="6">
        <v>1757</v>
      </c>
      <c r="E65" s="44">
        <f>+D65/C65*100</f>
        <v>100</v>
      </c>
      <c r="F65" s="6"/>
      <c r="G65" s="3" t="s">
        <v>4</v>
      </c>
      <c r="H65" s="64">
        <f t="shared" si="11"/>
        <v>1757</v>
      </c>
      <c r="I65" s="55" t="s">
        <v>197</v>
      </c>
    </row>
    <row r="66" spans="1:9" ht="17.25" customHeight="1">
      <c r="A66" s="11" t="s">
        <v>170</v>
      </c>
      <c r="B66" s="6">
        <v>800</v>
      </c>
      <c r="C66" s="27">
        <v>1600</v>
      </c>
      <c r="D66" s="6">
        <f>764+763</f>
        <v>1527</v>
      </c>
      <c r="E66" s="44">
        <f>+D66/C66*100</f>
        <v>95.4375</v>
      </c>
      <c r="F66" s="6">
        <v>1527</v>
      </c>
      <c r="G66" s="39">
        <f>+F66/C66*100</f>
        <v>95.4375</v>
      </c>
      <c r="H66" s="64">
        <f t="shared" si="11"/>
        <v>73</v>
      </c>
      <c r="I66" s="73"/>
    </row>
    <row r="67" spans="1:9" ht="17.25" customHeight="1">
      <c r="A67" s="11" t="s">
        <v>80</v>
      </c>
      <c r="B67" s="6">
        <v>800</v>
      </c>
      <c r="C67" s="60">
        <v>0</v>
      </c>
      <c r="D67" s="3" t="s">
        <v>4</v>
      </c>
      <c r="E67" s="3" t="s">
        <v>4</v>
      </c>
      <c r="F67" s="6"/>
      <c r="G67" s="3" t="s">
        <v>4</v>
      </c>
      <c r="H67" s="64">
        <f t="shared" si="11"/>
        <v>0</v>
      </c>
      <c r="I67" s="73"/>
    </row>
    <row r="68" spans="1:9" ht="29.25" customHeight="1">
      <c r="A68" s="9" t="s">
        <v>189</v>
      </c>
      <c r="B68" s="50">
        <v>0</v>
      </c>
      <c r="C68" s="27">
        <v>26250</v>
      </c>
      <c r="D68" s="3" t="s">
        <v>4</v>
      </c>
      <c r="E68" s="3" t="s">
        <v>4</v>
      </c>
      <c r="F68" s="6"/>
      <c r="G68" s="3" t="s">
        <v>4</v>
      </c>
      <c r="H68" s="64">
        <f t="shared" si="11"/>
        <v>26250</v>
      </c>
      <c r="I68" s="55" t="s">
        <v>197</v>
      </c>
    </row>
    <row r="69" spans="1:9" ht="17.25" customHeight="1">
      <c r="A69" s="9" t="s">
        <v>130</v>
      </c>
      <c r="B69" s="50">
        <v>0</v>
      </c>
      <c r="C69" s="27">
        <v>90</v>
      </c>
      <c r="D69" s="6">
        <v>90</v>
      </c>
      <c r="E69" s="44">
        <f>+D69/C69*100</f>
        <v>100</v>
      </c>
      <c r="F69" s="6">
        <v>90</v>
      </c>
      <c r="G69" s="39">
        <f>+F69/C69*100</f>
        <v>100</v>
      </c>
      <c r="H69" s="64">
        <f t="shared" si="11"/>
        <v>0</v>
      </c>
      <c r="I69" s="73"/>
    </row>
    <row r="70" spans="1:9" ht="18" customHeight="1">
      <c r="A70" s="9" t="s">
        <v>160</v>
      </c>
      <c r="B70" s="50">
        <v>0</v>
      </c>
      <c r="C70" s="27">
        <v>300</v>
      </c>
      <c r="D70" s="3" t="s">
        <v>4</v>
      </c>
      <c r="E70" s="3" t="s">
        <v>4</v>
      </c>
      <c r="F70" s="6"/>
      <c r="G70" s="3" t="s">
        <v>4</v>
      </c>
      <c r="H70" s="64">
        <f t="shared" si="11"/>
        <v>300</v>
      </c>
      <c r="I70" s="73"/>
    </row>
    <row r="71" spans="1:9" ht="22.5" customHeight="1">
      <c r="A71" s="9" t="s">
        <v>161</v>
      </c>
      <c r="B71" s="50">
        <v>0</v>
      </c>
      <c r="C71" s="27">
        <v>900</v>
      </c>
      <c r="D71" s="3" t="s">
        <v>4</v>
      </c>
      <c r="E71" s="3" t="s">
        <v>4</v>
      </c>
      <c r="F71" s="6"/>
      <c r="G71" s="3" t="s">
        <v>4</v>
      </c>
      <c r="H71" s="64">
        <f t="shared" si="11"/>
        <v>900</v>
      </c>
      <c r="I71" s="55" t="s">
        <v>197</v>
      </c>
    </row>
    <row r="72" spans="1:9" ht="16.5" customHeight="1">
      <c r="A72" s="9" t="s">
        <v>162</v>
      </c>
      <c r="B72" s="50">
        <v>0</v>
      </c>
      <c r="C72" s="27">
        <v>45</v>
      </c>
      <c r="D72" s="3" t="s">
        <v>4</v>
      </c>
      <c r="E72" s="3" t="s">
        <v>4</v>
      </c>
      <c r="F72" s="6">
        <v>45</v>
      </c>
      <c r="G72" s="39">
        <f>+F72/C72*100</f>
        <v>100</v>
      </c>
      <c r="H72" s="64">
        <f t="shared" si="11"/>
        <v>0</v>
      </c>
      <c r="I72" s="72"/>
    </row>
    <row r="73" spans="1:9" ht="17.25" customHeight="1">
      <c r="A73" s="21" t="s">
        <v>100</v>
      </c>
      <c r="B73" s="29">
        <f>SUM(B56:B72)</f>
        <v>20112</v>
      </c>
      <c r="C73" s="59">
        <f>SUM(C56:C72)</f>
        <v>52376</v>
      </c>
      <c r="D73" s="29">
        <f>SUM(D56:D72)</f>
        <v>23318</v>
      </c>
      <c r="E73" s="45">
        <f>+D73/C73*100</f>
        <v>44.52039101878723</v>
      </c>
      <c r="F73" s="54">
        <f>SUM(F56:F72)</f>
        <v>19895</v>
      </c>
      <c r="G73" s="41">
        <f>+F73/C73*100</f>
        <v>37.98495494119444</v>
      </c>
      <c r="H73" s="29">
        <f>SUM(H56:H72)</f>
        <v>32481</v>
      </c>
      <c r="I73" s="74"/>
    </row>
    <row r="74" spans="1:9" s="25" customFormat="1" ht="16.5" customHeight="1">
      <c r="A74" s="19" t="s">
        <v>29</v>
      </c>
      <c r="B74" s="2"/>
      <c r="C74" s="28"/>
      <c r="D74" s="6"/>
      <c r="E74" s="44"/>
      <c r="F74" s="6"/>
      <c r="G74" s="39"/>
      <c r="H74" s="65"/>
      <c r="I74" s="73"/>
    </row>
    <row r="75" spans="1:9" s="25" customFormat="1" ht="16.5" customHeight="1">
      <c r="A75" s="11" t="s">
        <v>30</v>
      </c>
      <c r="B75" s="2">
        <v>11351</v>
      </c>
      <c r="C75" s="28">
        <v>11351</v>
      </c>
      <c r="D75" s="6">
        <v>11350</v>
      </c>
      <c r="E75" s="44">
        <f aca="true" t="shared" si="12" ref="E75:E84">+D75/C75*100</f>
        <v>99.99119020350629</v>
      </c>
      <c r="F75" s="6">
        <v>11350</v>
      </c>
      <c r="G75" s="39">
        <f aca="true" t="shared" si="13" ref="G75:G82">+F75/C75*100</f>
        <v>99.99119020350629</v>
      </c>
      <c r="H75" s="64">
        <f aca="true" t="shared" si="14" ref="H75:H83">+C75-F75</f>
        <v>1</v>
      </c>
      <c r="I75" s="73"/>
    </row>
    <row r="76" spans="1:9" s="25" customFormat="1" ht="24.75" customHeight="1">
      <c r="A76" s="11" t="s">
        <v>31</v>
      </c>
      <c r="B76" s="2">
        <v>1193</v>
      </c>
      <c r="C76" s="28">
        <v>1193</v>
      </c>
      <c r="D76" s="6">
        <f>1103+19</f>
        <v>1122</v>
      </c>
      <c r="E76" s="44">
        <f t="shared" si="12"/>
        <v>94.04861693210394</v>
      </c>
      <c r="F76" s="6">
        <v>1103</v>
      </c>
      <c r="G76" s="39">
        <f t="shared" si="13"/>
        <v>92.45599329421627</v>
      </c>
      <c r="H76" s="64">
        <f t="shared" si="14"/>
        <v>90</v>
      </c>
      <c r="I76" s="55" t="s">
        <v>198</v>
      </c>
    </row>
    <row r="77" spans="1:11" s="25" customFormat="1" ht="27" customHeight="1">
      <c r="A77" s="11" t="s">
        <v>62</v>
      </c>
      <c r="B77" s="2">
        <v>1365124</v>
      </c>
      <c r="C77" s="28">
        <v>1381124</v>
      </c>
      <c r="D77" s="6">
        <f>1219772+12177+826+825+4789+113+98+62+136+139+8105+26950+6050+4193+50+45191+1075+1192+32335+1015+19+948+2055+50+557+33+374+31+100+244+700+3125+3435+1000+763+699+264+302</f>
        <v>1379792</v>
      </c>
      <c r="E77" s="44">
        <f t="shared" si="12"/>
        <v>99.9035568131464</v>
      </c>
      <c r="F77" s="6">
        <v>1357996</v>
      </c>
      <c r="G77" s="39">
        <f t="shared" si="13"/>
        <v>98.32542190274009</v>
      </c>
      <c r="H77" s="64">
        <f t="shared" si="14"/>
        <v>23128</v>
      </c>
      <c r="I77" s="55" t="s">
        <v>197</v>
      </c>
      <c r="J77" s="6">
        <v>2014082</v>
      </c>
      <c r="K77" s="25" t="s">
        <v>132</v>
      </c>
    </row>
    <row r="78" spans="1:11" s="25" customFormat="1" ht="23.25" customHeight="1">
      <c r="A78" s="34" t="s">
        <v>63</v>
      </c>
      <c r="B78" s="30">
        <f>45809+977123</f>
        <v>1022932</v>
      </c>
      <c r="C78" s="42">
        <f>45809+977123</f>
        <v>1022932</v>
      </c>
      <c r="D78" s="32">
        <f>5352+7500+482277+313+442+375+275</f>
        <v>496534</v>
      </c>
      <c r="E78" s="46">
        <f t="shared" si="12"/>
        <v>48.540274426843624</v>
      </c>
      <c r="F78" s="32">
        <v>85949</v>
      </c>
      <c r="G78" s="76">
        <f t="shared" si="13"/>
        <v>8.402220284437284</v>
      </c>
      <c r="H78" s="77">
        <f t="shared" si="14"/>
        <v>936983</v>
      </c>
      <c r="I78" s="78"/>
      <c r="J78" s="6">
        <v>652788</v>
      </c>
      <c r="K78" s="25" t="s">
        <v>133</v>
      </c>
    </row>
    <row r="79" spans="1:12" ht="33" customHeight="1">
      <c r="A79" s="9" t="s">
        <v>136</v>
      </c>
      <c r="B79" s="6">
        <v>2500</v>
      </c>
      <c r="C79" s="27">
        <v>3488</v>
      </c>
      <c r="D79" s="6">
        <v>3487</v>
      </c>
      <c r="E79" s="44">
        <f t="shared" si="12"/>
        <v>99.97133027522935</v>
      </c>
      <c r="F79" s="6">
        <v>3487</v>
      </c>
      <c r="G79" s="39">
        <f t="shared" si="13"/>
        <v>99.97133027522935</v>
      </c>
      <c r="H79" s="64">
        <f t="shared" si="14"/>
        <v>1</v>
      </c>
      <c r="I79" s="73"/>
      <c r="J79" s="6">
        <f>+J77-J78</f>
        <v>1361294</v>
      </c>
      <c r="K79" s="12" t="s">
        <v>134</v>
      </c>
      <c r="L79" s="12">
        <v>1244273</v>
      </c>
    </row>
    <row r="80" spans="1:12" ht="31.5" customHeight="1">
      <c r="A80" s="9" t="s">
        <v>81</v>
      </c>
      <c r="B80" s="6">
        <v>240</v>
      </c>
      <c r="C80" s="27">
        <v>240</v>
      </c>
      <c r="D80" s="6">
        <v>240</v>
      </c>
      <c r="E80" s="44">
        <f t="shared" si="12"/>
        <v>100</v>
      </c>
      <c r="F80" s="6">
        <v>240</v>
      </c>
      <c r="G80" s="39">
        <f t="shared" si="13"/>
        <v>100</v>
      </c>
      <c r="H80" s="64">
        <f t="shared" si="14"/>
        <v>0</v>
      </c>
      <c r="I80" s="73"/>
      <c r="L80" s="6">
        <f>113+98+63+136+139+3399+822+8105+26950+6050+4193+50+45191+1075</f>
        <v>96384</v>
      </c>
    </row>
    <row r="81" spans="1:12" ht="21" customHeight="1">
      <c r="A81" s="9" t="s">
        <v>123</v>
      </c>
      <c r="B81" s="50">
        <v>0</v>
      </c>
      <c r="C81" s="27">
        <v>8150</v>
      </c>
      <c r="D81" s="6">
        <v>4839</v>
      </c>
      <c r="E81" s="44">
        <f t="shared" si="12"/>
        <v>59.374233128834355</v>
      </c>
      <c r="F81" s="6">
        <v>4839</v>
      </c>
      <c r="G81" s="39">
        <f t="shared" si="13"/>
        <v>59.374233128834355</v>
      </c>
      <c r="H81" s="64">
        <f t="shared" si="14"/>
        <v>3311</v>
      </c>
      <c r="I81" s="55" t="s">
        <v>197</v>
      </c>
      <c r="L81" s="12">
        <f>SUM(L78:L79)</f>
        <v>1244273</v>
      </c>
    </row>
    <row r="82" spans="1:12" ht="21.75" customHeight="1">
      <c r="A82" s="9" t="s">
        <v>163</v>
      </c>
      <c r="B82" s="50">
        <v>0</v>
      </c>
      <c r="C82" s="27">
        <v>3048</v>
      </c>
      <c r="D82" s="6">
        <v>3048</v>
      </c>
      <c r="E82" s="44">
        <f>+D82/C82*100</f>
        <v>100</v>
      </c>
      <c r="F82" s="6">
        <v>3048</v>
      </c>
      <c r="G82" s="39">
        <f t="shared" si="13"/>
        <v>100</v>
      </c>
      <c r="H82" s="64">
        <f t="shared" si="14"/>
        <v>0</v>
      </c>
      <c r="I82" s="72"/>
      <c r="L82" s="12">
        <f>SUM(L78:L79)</f>
        <v>1244273</v>
      </c>
    </row>
    <row r="83" spans="1:12" ht="23.25" customHeight="1">
      <c r="A83" s="9" t="s">
        <v>178</v>
      </c>
      <c r="B83" s="50">
        <v>0</v>
      </c>
      <c r="C83" s="50">
        <v>0</v>
      </c>
      <c r="D83" s="3"/>
      <c r="E83" s="3" t="s">
        <v>4</v>
      </c>
      <c r="F83" s="3"/>
      <c r="G83" s="3" t="s">
        <v>4</v>
      </c>
      <c r="H83" s="64">
        <f t="shared" si="14"/>
        <v>0</v>
      </c>
      <c r="I83" s="72"/>
      <c r="L83" s="12">
        <f>SUM(L79:L80)</f>
        <v>1340657</v>
      </c>
    </row>
    <row r="84" spans="1:9" s="25" customFormat="1" ht="16.5" customHeight="1">
      <c r="A84" s="21" t="s">
        <v>99</v>
      </c>
      <c r="B84" s="29">
        <f>SUM(B75:B83)</f>
        <v>2403340</v>
      </c>
      <c r="C84" s="59">
        <f>SUM(C75:C83)</f>
        <v>2431526</v>
      </c>
      <c r="D84" s="29">
        <f>SUM(D75:D83)</f>
        <v>1900412</v>
      </c>
      <c r="E84" s="45">
        <f t="shared" si="12"/>
        <v>78.15717372547117</v>
      </c>
      <c r="F84" s="54">
        <f>SUM(F75:F83)</f>
        <v>1468012</v>
      </c>
      <c r="G84" s="41">
        <f>+F84/C84*100</f>
        <v>60.37410251833622</v>
      </c>
      <c r="H84" s="29">
        <f>SUM(H75:H83)</f>
        <v>963514</v>
      </c>
      <c r="I84" s="74"/>
    </row>
    <row r="85" spans="1:9" ht="16.5" customHeight="1" collapsed="1">
      <c r="A85" s="19" t="s">
        <v>82</v>
      </c>
      <c r="B85" s="6"/>
      <c r="C85" s="27"/>
      <c r="D85" s="6"/>
      <c r="E85" s="44"/>
      <c r="F85" s="6"/>
      <c r="G85" s="39"/>
      <c r="H85" s="65"/>
      <c r="I85" s="73"/>
    </row>
    <row r="86" spans="1:9" ht="26.25" customHeight="1">
      <c r="A86" s="9" t="s">
        <v>83</v>
      </c>
      <c r="B86" s="6">
        <v>700</v>
      </c>
      <c r="C86" s="27">
        <v>598</v>
      </c>
      <c r="D86" s="6">
        <v>598</v>
      </c>
      <c r="E86" s="44">
        <f>+D86/C86*100</f>
        <v>100</v>
      </c>
      <c r="F86" s="6">
        <v>598</v>
      </c>
      <c r="G86" s="39">
        <f>+F86/C86*100</f>
        <v>100</v>
      </c>
      <c r="H86" s="64">
        <f>+C86-F86</f>
        <v>0</v>
      </c>
      <c r="I86" s="72"/>
    </row>
    <row r="87" spans="1:9" ht="24" customHeight="1">
      <c r="A87" s="9" t="s">
        <v>84</v>
      </c>
      <c r="B87" s="6">
        <v>1000</v>
      </c>
      <c r="C87" s="27">
        <v>1000</v>
      </c>
      <c r="D87" s="6">
        <v>325</v>
      </c>
      <c r="E87" s="44">
        <f>+D87/C87*100</f>
        <v>32.5</v>
      </c>
      <c r="F87" s="6"/>
      <c r="G87" s="3" t="s">
        <v>4</v>
      </c>
      <c r="H87" s="64">
        <f>+C87-F87</f>
        <v>1000</v>
      </c>
      <c r="I87" s="55" t="s">
        <v>199</v>
      </c>
    </row>
    <row r="88" spans="1:9" ht="16.5" customHeight="1">
      <c r="A88" s="9" t="s">
        <v>164</v>
      </c>
      <c r="B88" s="50">
        <v>0</v>
      </c>
      <c r="C88" s="27">
        <v>8358</v>
      </c>
      <c r="D88" s="6">
        <f>6007+116+353+393+183+26</f>
        <v>7078</v>
      </c>
      <c r="E88" s="44">
        <f>+D88/C88*100</f>
        <v>84.68533141899977</v>
      </c>
      <c r="F88" s="6">
        <v>6516</v>
      </c>
      <c r="G88" s="39">
        <f>+F88/C88*100</f>
        <v>77.96123474515434</v>
      </c>
      <c r="H88" s="64">
        <f>+C88-F88</f>
        <v>1842</v>
      </c>
      <c r="I88" s="55" t="s">
        <v>197</v>
      </c>
    </row>
    <row r="89" spans="1:9" ht="26.25" customHeight="1">
      <c r="A89" s="9" t="s">
        <v>181</v>
      </c>
      <c r="B89" s="50">
        <v>0</v>
      </c>
      <c r="C89" s="27">
        <v>275</v>
      </c>
      <c r="D89" s="6">
        <v>275</v>
      </c>
      <c r="E89" s="44">
        <f>+D89/C89*100</f>
        <v>100</v>
      </c>
      <c r="F89" s="6"/>
      <c r="G89" s="3" t="s">
        <v>4</v>
      </c>
      <c r="H89" s="64">
        <f>+C89-F89</f>
        <v>275</v>
      </c>
      <c r="I89" s="55" t="s">
        <v>197</v>
      </c>
    </row>
    <row r="90" spans="1:9" s="25" customFormat="1" ht="16.5" customHeight="1">
      <c r="A90" s="21" t="s">
        <v>105</v>
      </c>
      <c r="B90" s="29">
        <f>SUM(B86:B89)</f>
        <v>1700</v>
      </c>
      <c r="C90" s="59">
        <f>SUM(C86:C89)</f>
        <v>10231</v>
      </c>
      <c r="D90" s="29">
        <f>SUM(D86:D89)</f>
        <v>8276</v>
      </c>
      <c r="E90" s="45">
        <f>+D90/C90*100</f>
        <v>80.89140846447073</v>
      </c>
      <c r="F90" s="54">
        <f>SUM(F86:F89)</f>
        <v>7114</v>
      </c>
      <c r="G90" s="41">
        <f>+F90/C90*100</f>
        <v>69.53376991496432</v>
      </c>
      <c r="H90" s="54">
        <f>SUM(H86:H89)</f>
        <v>3117</v>
      </c>
      <c r="I90" s="74"/>
    </row>
    <row r="91" spans="1:9" s="25" customFormat="1" ht="16.5" customHeight="1">
      <c r="A91" s="19" t="s">
        <v>32</v>
      </c>
      <c r="B91" s="2"/>
      <c r="C91" s="28"/>
      <c r="D91" s="6"/>
      <c r="E91" s="44"/>
      <c r="F91" s="6"/>
      <c r="G91" s="39"/>
      <c r="H91" s="65"/>
      <c r="I91" s="73"/>
    </row>
    <row r="92" spans="1:9" s="25" customFormat="1" ht="16.5" customHeight="1">
      <c r="A92" s="11" t="s">
        <v>33</v>
      </c>
      <c r="B92" s="2">
        <v>32532</v>
      </c>
      <c r="C92" s="28">
        <v>32532</v>
      </c>
      <c r="D92" s="6">
        <f>+C92-213</f>
        <v>32319</v>
      </c>
      <c r="E92" s="44">
        <f aca="true" t="shared" si="15" ref="E92:E101">+D92/C92*100</f>
        <v>99.34526005164146</v>
      </c>
      <c r="F92" s="6">
        <f>34022-454-459-918</f>
        <v>32191</v>
      </c>
      <c r="G92" s="39">
        <f>+F92/C92*100</f>
        <v>98.9518013033321</v>
      </c>
      <c r="H92" s="64">
        <f aca="true" t="shared" si="16" ref="H92:H104">+C92-F92</f>
        <v>341</v>
      </c>
      <c r="I92" s="55" t="s">
        <v>197</v>
      </c>
    </row>
    <row r="93" spans="1:9" s="25" customFormat="1" ht="16.5" customHeight="1">
      <c r="A93" s="11" t="s">
        <v>34</v>
      </c>
      <c r="B93" s="2">
        <v>179647</v>
      </c>
      <c r="C93" s="28">
        <v>183890</v>
      </c>
      <c r="D93" s="6">
        <v>183884</v>
      </c>
      <c r="E93" s="44">
        <f t="shared" si="15"/>
        <v>99.99673717983578</v>
      </c>
      <c r="F93" s="6">
        <v>150003</v>
      </c>
      <c r="G93" s="39">
        <f>+F93/C93*100</f>
        <v>81.57213551579748</v>
      </c>
      <c r="H93" s="64">
        <f t="shared" si="16"/>
        <v>33887</v>
      </c>
      <c r="I93" s="55" t="s">
        <v>197</v>
      </c>
    </row>
    <row r="94" spans="1:9" ht="17.25" customHeight="1">
      <c r="A94" s="9" t="s">
        <v>117</v>
      </c>
      <c r="B94" s="6">
        <v>52500</v>
      </c>
      <c r="C94" s="27">
        <v>192632</v>
      </c>
      <c r="D94" s="6">
        <f>2753+7349+6921+81654+5675</f>
        <v>104352</v>
      </c>
      <c r="E94" s="44">
        <f t="shared" si="15"/>
        <v>54.17168487063416</v>
      </c>
      <c r="F94" s="6">
        <v>45144</v>
      </c>
      <c r="G94" s="39">
        <f>+F94/C94*100</f>
        <v>23.43535861123801</v>
      </c>
      <c r="H94" s="64">
        <f t="shared" si="16"/>
        <v>147488</v>
      </c>
      <c r="I94" s="55" t="s">
        <v>197</v>
      </c>
    </row>
    <row r="95" spans="1:9" s="25" customFormat="1" ht="18" customHeight="1">
      <c r="A95" s="5" t="s">
        <v>35</v>
      </c>
      <c r="B95" s="2">
        <v>2000</v>
      </c>
      <c r="C95" s="28">
        <v>2000</v>
      </c>
      <c r="D95" s="6">
        <f>1875+115-57+25</f>
        <v>1958</v>
      </c>
      <c r="E95" s="44">
        <f t="shared" si="15"/>
        <v>97.89999999999999</v>
      </c>
      <c r="F95" s="6">
        <v>1207</v>
      </c>
      <c r="G95" s="39">
        <f aca="true" t="shared" si="17" ref="G95:G100">+F95/C95*100</f>
        <v>60.35</v>
      </c>
      <c r="H95" s="64">
        <f t="shared" si="16"/>
        <v>793</v>
      </c>
      <c r="I95" s="55"/>
    </row>
    <row r="96" spans="1:9" s="25" customFormat="1" ht="16.5" customHeight="1">
      <c r="A96" s="5" t="s">
        <v>36</v>
      </c>
      <c r="B96" s="2">
        <v>10000</v>
      </c>
      <c r="C96" s="28">
        <v>2327</v>
      </c>
      <c r="D96" s="6">
        <f>2063+112+94+44</f>
        <v>2313</v>
      </c>
      <c r="E96" s="44">
        <f t="shared" si="15"/>
        <v>99.39836699613235</v>
      </c>
      <c r="F96" s="6">
        <v>2269</v>
      </c>
      <c r="G96" s="39">
        <f t="shared" si="17"/>
        <v>97.50752041254835</v>
      </c>
      <c r="H96" s="64">
        <f t="shared" si="16"/>
        <v>58</v>
      </c>
      <c r="I96" s="55"/>
    </row>
    <row r="97" spans="1:9" s="25" customFormat="1" ht="16.5" customHeight="1">
      <c r="A97" s="11" t="s">
        <v>37</v>
      </c>
      <c r="B97" s="2">
        <v>1275</v>
      </c>
      <c r="C97" s="28">
        <v>1275</v>
      </c>
      <c r="D97" s="6">
        <v>44</v>
      </c>
      <c r="E97" s="44">
        <f t="shared" si="15"/>
        <v>3.4509803921568625</v>
      </c>
      <c r="F97" s="6">
        <v>44</v>
      </c>
      <c r="G97" s="39">
        <f t="shared" si="17"/>
        <v>3.4509803921568625</v>
      </c>
      <c r="H97" s="64">
        <f t="shared" si="16"/>
        <v>1231</v>
      </c>
      <c r="I97" s="55" t="s">
        <v>197</v>
      </c>
    </row>
    <row r="98" spans="1:9" s="25" customFormat="1" ht="16.5" customHeight="1">
      <c r="A98" s="11" t="s">
        <v>151</v>
      </c>
      <c r="B98" s="2">
        <v>59436</v>
      </c>
      <c r="C98" s="28">
        <v>55987</v>
      </c>
      <c r="D98" s="6">
        <v>55987</v>
      </c>
      <c r="E98" s="44">
        <f t="shared" si="15"/>
        <v>100</v>
      </c>
      <c r="F98" s="6">
        <v>55987</v>
      </c>
      <c r="G98" s="39">
        <f t="shared" si="17"/>
        <v>100</v>
      </c>
      <c r="H98" s="64">
        <f t="shared" si="16"/>
        <v>0</v>
      </c>
      <c r="I98" s="73"/>
    </row>
    <row r="99" spans="1:9" s="25" customFormat="1" ht="17.25" customHeight="1">
      <c r="A99" s="11" t="s">
        <v>38</v>
      </c>
      <c r="B99" s="2">
        <v>9051</v>
      </c>
      <c r="C99" s="28">
        <v>9051</v>
      </c>
      <c r="D99" s="6">
        <v>6432</v>
      </c>
      <c r="E99" s="44">
        <f t="shared" si="15"/>
        <v>71.06397083195228</v>
      </c>
      <c r="F99" s="6">
        <v>6432</v>
      </c>
      <c r="G99" s="39">
        <f t="shared" si="17"/>
        <v>71.06397083195228</v>
      </c>
      <c r="H99" s="64">
        <f t="shared" si="16"/>
        <v>2619</v>
      </c>
      <c r="I99" s="73"/>
    </row>
    <row r="100" spans="1:9" s="25" customFormat="1" ht="16.5" customHeight="1">
      <c r="A100" s="11" t="s">
        <v>39</v>
      </c>
      <c r="B100" s="2">
        <v>2355</v>
      </c>
      <c r="C100" s="28">
        <v>911</v>
      </c>
      <c r="D100" s="6">
        <v>911</v>
      </c>
      <c r="E100" s="44">
        <f t="shared" si="15"/>
        <v>100</v>
      </c>
      <c r="F100" s="6">
        <v>911</v>
      </c>
      <c r="G100" s="39">
        <f t="shared" si="17"/>
        <v>100</v>
      </c>
      <c r="H100" s="64">
        <f t="shared" si="16"/>
        <v>0</v>
      </c>
      <c r="I100" s="73"/>
    </row>
    <row r="101" spans="1:9" s="25" customFormat="1" ht="16.5" customHeight="1">
      <c r="A101" s="11" t="s">
        <v>40</v>
      </c>
      <c r="B101" s="2">
        <v>28000</v>
      </c>
      <c r="C101" s="28">
        <v>28000</v>
      </c>
      <c r="D101" s="6">
        <v>7900</v>
      </c>
      <c r="E101" s="44">
        <f t="shared" si="15"/>
        <v>28.214285714285715</v>
      </c>
      <c r="F101" s="6">
        <v>5530</v>
      </c>
      <c r="G101" s="39">
        <f>+F101/C101*100</f>
        <v>19.75</v>
      </c>
      <c r="H101" s="64">
        <f t="shared" si="16"/>
        <v>22470</v>
      </c>
      <c r="I101" s="55" t="s">
        <v>197</v>
      </c>
    </row>
    <row r="102" spans="1:9" ht="18.75" customHeight="1">
      <c r="A102" s="11" t="s">
        <v>124</v>
      </c>
      <c r="B102" s="6">
        <v>3000</v>
      </c>
      <c r="C102" s="27">
        <v>3000</v>
      </c>
      <c r="D102" s="3" t="s">
        <v>4</v>
      </c>
      <c r="E102" s="3" t="s">
        <v>4</v>
      </c>
      <c r="F102" s="6"/>
      <c r="G102" s="3" t="s">
        <v>4</v>
      </c>
      <c r="H102" s="64">
        <f t="shared" si="16"/>
        <v>3000</v>
      </c>
      <c r="I102" s="73"/>
    </row>
    <row r="103" spans="1:9" s="25" customFormat="1" ht="16.5" customHeight="1">
      <c r="A103" s="9" t="s">
        <v>165</v>
      </c>
      <c r="B103" s="50">
        <v>0</v>
      </c>
      <c r="C103" s="28">
        <f>10276-253</f>
        <v>10023</v>
      </c>
      <c r="D103" s="6">
        <f>276+69</f>
        <v>345</v>
      </c>
      <c r="E103" s="44">
        <f>+D103/C103*100</f>
        <v>3.442083208620174</v>
      </c>
      <c r="F103" s="6"/>
      <c r="G103" s="3" t="s">
        <v>4</v>
      </c>
      <c r="H103" s="64">
        <f t="shared" si="16"/>
        <v>10023</v>
      </c>
      <c r="I103" s="55" t="s">
        <v>197</v>
      </c>
    </row>
    <row r="104" spans="1:9" ht="18" customHeight="1">
      <c r="A104" s="9" t="s">
        <v>172</v>
      </c>
      <c r="B104" s="50">
        <v>0</v>
      </c>
      <c r="C104" s="27">
        <v>892</v>
      </c>
      <c r="D104" s="6">
        <v>892</v>
      </c>
      <c r="E104" s="44">
        <f>+D104/C104*100</f>
        <v>100</v>
      </c>
      <c r="F104" s="6">
        <v>892</v>
      </c>
      <c r="G104" s="39">
        <f>+F104/C104*100</f>
        <v>100</v>
      </c>
      <c r="H104" s="64">
        <f t="shared" si="16"/>
        <v>0</v>
      </c>
      <c r="I104" s="72"/>
    </row>
    <row r="105" spans="1:9" s="25" customFormat="1" ht="16.5" customHeight="1">
      <c r="A105" s="21" t="s">
        <v>104</v>
      </c>
      <c r="B105" s="29">
        <f>SUM(B92:B104)</f>
        <v>379796</v>
      </c>
      <c r="C105" s="59">
        <f>SUM(C92:C104)</f>
        <v>522520</v>
      </c>
      <c r="D105" s="29">
        <f>SUM(D92:D104)</f>
        <v>397337</v>
      </c>
      <c r="E105" s="45">
        <f>+D105/C105*100</f>
        <v>76.04244813595652</v>
      </c>
      <c r="F105" s="54">
        <f>SUM(F92:F104)</f>
        <v>300610</v>
      </c>
      <c r="G105" s="41">
        <f>+F105/C105*100</f>
        <v>57.53081221771416</v>
      </c>
      <c r="H105" s="29">
        <f>SUM(H92:H104)</f>
        <v>221910</v>
      </c>
      <c r="I105" s="74"/>
    </row>
    <row r="106" spans="1:9" s="25" customFormat="1" ht="17.25" customHeight="1">
      <c r="A106" s="19" t="s">
        <v>41</v>
      </c>
      <c r="B106" s="2"/>
      <c r="C106" s="28"/>
      <c r="D106" s="6"/>
      <c r="E106" s="44"/>
      <c r="F106" s="6"/>
      <c r="G106" s="39"/>
      <c r="H106" s="65"/>
      <c r="I106" s="73"/>
    </row>
    <row r="107" spans="1:9" s="25" customFormat="1" ht="17.25" customHeight="1">
      <c r="A107" s="11" t="s">
        <v>115</v>
      </c>
      <c r="B107" s="2">
        <f>1641+12255</f>
        <v>13896</v>
      </c>
      <c r="C107" s="60">
        <v>0</v>
      </c>
      <c r="D107" s="3" t="s">
        <v>4</v>
      </c>
      <c r="E107" s="3" t="s">
        <v>4</v>
      </c>
      <c r="F107" s="6" t="s">
        <v>4</v>
      </c>
      <c r="G107" s="3" t="s">
        <v>4</v>
      </c>
      <c r="H107" s="64"/>
      <c r="I107" s="72"/>
    </row>
    <row r="108" spans="1:9" ht="17.25" customHeight="1">
      <c r="A108" s="11" t="s">
        <v>166</v>
      </c>
      <c r="B108" s="6">
        <v>7200</v>
      </c>
      <c r="C108" s="27">
        <f>13896+7200</f>
        <v>21096</v>
      </c>
      <c r="D108" s="6">
        <f>11592+580+365+38+222+196+1607+100+174+5172</f>
        <v>20046</v>
      </c>
      <c r="E108" s="44">
        <f>+D108/C108*100</f>
        <v>95.02275312855518</v>
      </c>
      <c r="F108" s="6">
        <v>14700</v>
      </c>
      <c r="G108" s="39">
        <f>+F108/C108*100</f>
        <v>69.68145620022753</v>
      </c>
      <c r="H108" s="64">
        <f aca="true" t="shared" si="18" ref="H108:H119">+C108-F108</f>
        <v>6396</v>
      </c>
      <c r="I108" s="55" t="s">
        <v>197</v>
      </c>
    </row>
    <row r="109" spans="1:9" s="25" customFormat="1" ht="17.25" customHeight="1">
      <c r="A109" s="11" t="s">
        <v>42</v>
      </c>
      <c r="B109" s="2">
        <v>9000</v>
      </c>
      <c r="C109" s="28">
        <f>9000-504-352</f>
        <v>8144</v>
      </c>
      <c r="D109" s="6">
        <f>563+125+5400</f>
        <v>6088</v>
      </c>
      <c r="E109" s="44">
        <f>+D109/C109*100</f>
        <v>74.75442043222003</v>
      </c>
      <c r="F109" s="6">
        <v>5688</v>
      </c>
      <c r="G109" s="39">
        <f>+F109/C109*100</f>
        <v>69.84282907662083</v>
      </c>
      <c r="H109" s="64">
        <f t="shared" si="18"/>
        <v>2456</v>
      </c>
      <c r="I109" s="55" t="s">
        <v>197</v>
      </c>
    </row>
    <row r="110" spans="1:9" ht="22.5" customHeight="1" collapsed="1">
      <c r="A110" s="9" t="s">
        <v>207</v>
      </c>
      <c r="B110" s="6">
        <f>13644+20000</f>
        <v>33644</v>
      </c>
      <c r="C110" s="27">
        <v>51250</v>
      </c>
      <c r="D110" s="3" t="s">
        <v>4</v>
      </c>
      <c r="E110" s="3" t="s">
        <v>4</v>
      </c>
      <c r="F110" s="6"/>
      <c r="G110" s="3" t="s">
        <v>4</v>
      </c>
      <c r="H110" s="64">
        <f t="shared" si="18"/>
        <v>51250</v>
      </c>
      <c r="I110" s="55" t="s">
        <v>197</v>
      </c>
    </row>
    <row r="111" spans="1:9" ht="17.25" customHeight="1" collapsed="1">
      <c r="A111" s="9" t="s">
        <v>116</v>
      </c>
      <c r="B111" s="6">
        <v>20000</v>
      </c>
      <c r="C111" s="27">
        <v>20000</v>
      </c>
      <c r="D111" s="6">
        <v>20000</v>
      </c>
      <c r="E111" s="44">
        <f>+D111/C111*100</f>
        <v>100</v>
      </c>
      <c r="F111" s="6">
        <v>20000</v>
      </c>
      <c r="G111" s="39">
        <f>+F111/C111*100</f>
        <v>100</v>
      </c>
      <c r="H111" s="64">
        <f t="shared" si="18"/>
        <v>0</v>
      </c>
      <c r="I111" s="73"/>
    </row>
    <row r="112" spans="1:9" ht="17.25" customHeight="1">
      <c r="A112" s="11" t="s">
        <v>131</v>
      </c>
      <c r="B112" s="6">
        <v>1220</v>
      </c>
      <c r="C112" s="27">
        <v>1220</v>
      </c>
      <c r="D112" s="3" t="s">
        <v>4</v>
      </c>
      <c r="E112" s="3" t="s">
        <v>4</v>
      </c>
      <c r="F112" s="6"/>
      <c r="G112" s="3" t="s">
        <v>4</v>
      </c>
      <c r="H112" s="64">
        <f t="shared" si="18"/>
        <v>1220</v>
      </c>
      <c r="I112" s="55" t="s">
        <v>197</v>
      </c>
    </row>
    <row r="113" spans="1:9" ht="15.75" customHeight="1">
      <c r="A113" s="9" t="s">
        <v>186</v>
      </c>
      <c r="B113" s="50">
        <v>0</v>
      </c>
      <c r="C113" s="27">
        <v>7188</v>
      </c>
      <c r="D113" s="6">
        <v>7187</v>
      </c>
      <c r="E113" s="44">
        <f aca="true" t="shared" si="19" ref="E113:E120">+D113/C113*100</f>
        <v>99.98608792431831</v>
      </c>
      <c r="F113" s="6">
        <v>7187</v>
      </c>
      <c r="G113" s="39">
        <f aca="true" t="shared" si="20" ref="G113:G118">+F113/C113*100</f>
        <v>99.98608792431831</v>
      </c>
      <c r="H113" s="64">
        <f t="shared" si="18"/>
        <v>1</v>
      </c>
      <c r="I113" s="73"/>
    </row>
    <row r="114" spans="1:9" ht="19.5" customHeight="1">
      <c r="A114" s="9" t="s">
        <v>206</v>
      </c>
      <c r="B114" s="3" t="s">
        <v>146</v>
      </c>
      <c r="C114" s="27">
        <v>3826</v>
      </c>
      <c r="D114" s="6">
        <v>3826</v>
      </c>
      <c r="E114" s="44">
        <f t="shared" si="19"/>
        <v>100</v>
      </c>
      <c r="F114" s="6">
        <v>3826</v>
      </c>
      <c r="G114" s="39">
        <f t="shared" si="20"/>
        <v>100</v>
      </c>
      <c r="H114" s="64">
        <f t="shared" si="18"/>
        <v>0</v>
      </c>
      <c r="I114" s="73"/>
    </row>
    <row r="115" spans="1:9" ht="17.25" customHeight="1">
      <c r="A115" s="9" t="s">
        <v>187</v>
      </c>
      <c r="B115" s="3" t="s">
        <v>146</v>
      </c>
      <c r="C115" s="27">
        <v>4352</v>
      </c>
      <c r="D115" s="6">
        <f>1801+2550</f>
        <v>4351</v>
      </c>
      <c r="E115" s="44">
        <f t="shared" si="19"/>
        <v>99.97702205882352</v>
      </c>
      <c r="F115" s="6">
        <f>1801+1748+329+473</f>
        <v>4351</v>
      </c>
      <c r="G115" s="39">
        <f t="shared" si="20"/>
        <v>99.97702205882352</v>
      </c>
      <c r="H115" s="64">
        <f t="shared" si="18"/>
        <v>1</v>
      </c>
      <c r="I115" s="73"/>
    </row>
    <row r="116" spans="1:9" ht="17.25" customHeight="1">
      <c r="A116" s="9" t="s">
        <v>152</v>
      </c>
      <c r="B116" s="3" t="s">
        <v>146</v>
      </c>
      <c r="C116" s="27">
        <v>350</v>
      </c>
      <c r="D116" s="6">
        <v>350</v>
      </c>
      <c r="E116" s="44">
        <f t="shared" si="19"/>
        <v>100</v>
      </c>
      <c r="F116" s="6">
        <v>350</v>
      </c>
      <c r="G116" s="39">
        <f t="shared" si="20"/>
        <v>100</v>
      </c>
      <c r="H116" s="64">
        <f t="shared" si="18"/>
        <v>0</v>
      </c>
      <c r="I116" s="73"/>
    </row>
    <row r="117" spans="1:9" ht="17.25" customHeight="1">
      <c r="A117" s="9" t="s">
        <v>153</v>
      </c>
      <c r="B117" s="3" t="s">
        <v>146</v>
      </c>
      <c r="C117" s="27">
        <v>2982</v>
      </c>
      <c r="D117" s="52">
        <f>766+2216</f>
        <v>2982</v>
      </c>
      <c r="E117" s="44">
        <f t="shared" si="19"/>
        <v>100</v>
      </c>
      <c r="F117" s="6">
        <v>2982</v>
      </c>
      <c r="G117" s="39">
        <f t="shared" si="20"/>
        <v>100</v>
      </c>
      <c r="H117" s="64">
        <f t="shared" si="18"/>
        <v>0</v>
      </c>
      <c r="I117" s="73"/>
    </row>
    <row r="118" spans="1:9" ht="26.25" customHeight="1">
      <c r="A118" s="9" t="s">
        <v>154</v>
      </c>
      <c r="B118" s="3" t="s">
        <v>146</v>
      </c>
      <c r="C118" s="27">
        <v>1180</v>
      </c>
      <c r="D118" s="52">
        <f>944+236</f>
        <v>1180</v>
      </c>
      <c r="E118" s="44">
        <f t="shared" si="19"/>
        <v>100</v>
      </c>
      <c r="F118" s="6">
        <v>1180</v>
      </c>
      <c r="G118" s="39">
        <f t="shared" si="20"/>
        <v>100</v>
      </c>
      <c r="H118" s="64">
        <f t="shared" si="18"/>
        <v>0</v>
      </c>
      <c r="I118" s="73"/>
    </row>
    <row r="119" spans="1:9" ht="16.5" customHeight="1">
      <c r="A119" s="11" t="s">
        <v>167</v>
      </c>
      <c r="B119" s="50">
        <v>0</v>
      </c>
      <c r="C119" s="27">
        <v>8000</v>
      </c>
      <c r="D119" s="6">
        <v>8000</v>
      </c>
      <c r="E119" s="44">
        <f t="shared" si="19"/>
        <v>100</v>
      </c>
      <c r="F119" s="6"/>
      <c r="G119" s="3" t="s">
        <v>4</v>
      </c>
      <c r="H119" s="64">
        <f t="shared" si="18"/>
        <v>8000</v>
      </c>
      <c r="I119" s="55" t="s">
        <v>197</v>
      </c>
    </row>
    <row r="120" spans="1:9" s="25" customFormat="1" ht="17.25" customHeight="1">
      <c r="A120" s="21" t="s">
        <v>106</v>
      </c>
      <c r="B120" s="29">
        <f>SUM(B107:B119)</f>
        <v>84960</v>
      </c>
      <c r="C120" s="59">
        <f>SUM(C107:C119)</f>
        <v>129588</v>
      </c>
      <c r="D120" s="29">
        <f>SUM(D107:D119)</f>
        <v>74010</v>
      </c>
      <c r="E120" s="45">
        <f t="shared" si="19"/>
        <v>57.11176960829707</v>
      </c>
      <c r="F120" s="54">
        <f>SUM(F107:F119)</f>
        <v>60264</v>
      </c>
      <c r="G120" s="41">
        <f>+F120/C120*100</f>
        <v>46.504305954255024</v>
      </c>
      <c r="H120" s="29">
        <f>SUM(H107:H119)</f>
        <v>69324</v>
      </c>
      <c r="I120" s="74"/>
    </row>
    <row r="121" spans="1:9" s="25" customFormat="1" ht="22.5" customHeight="1">
      <c r="A121" s="19" t="s">
        <v>43</v>
      </c>
      <c r="B121" s="2"/>
      <c r="C121" s="28"/>
      <c r="D121" s="6"/>
      <c r="E121" s="44"/>
      <c r="F121" s="6"/>
      <c r="G121" s="39"/>
      <c r="H121" s="65"/>
      <c r="I121" s="73"/>
    </row>
    <row r="122" spans="1:9" s="25" customFormat="1" ht="18.75" customHeight="1">
      <c r="A122" s="11" t="s">
        <v>44</v>
      </c>
      <c r="B122" s="2">
        <f>39230+125</f>
        <v>39355</v>
      </c>
      <c r="C122" s="28">
        <f>39230+125</f>
        <v>39355</v>
      </c>
      <c r="D122" s="6">
        <f>14412+88</f>
        <v>14500</v>
      </c>
      <c r="E122" s="44">
        <f>+D122/C122*100</f>
        <v>36.84411129462584</v>
      </c>
      <c r="F122" s="6">
        <v>14412</v>
      </c>
      <c r="G122" s="39">
        <f>+F122/C122*100</f>
        <v>36.620505653665354</v>
      </c>
      <c r="H122" s="64">
        <f>+C122-F122</f>
        <v>24943</v>
      </c>
      <c r="I122" s="55" t="s">
        <v>200</v>
      </c>
    </row>
    <row r="123" spans="1:9" s="25" customFormat="1" ht="15.75" customHeight="1">
      <c r="A123" s="11" t="s">
        <v>45</v>
      </c>
      <c r="B123" s="2">
        <v>2398</v>
      </c>
      <c r="C123" s="28">
        <f>5348-1038</f>
        <v>4310</v>
      </c>
      <c r="D123" s="6">
        <f>19+406+1022+2763+100</f>
        <v>4310</v>
      </c>
      <c r="E123" s="44">
        <f>+D123/C123*100</f>
        <v>100</v>
      </c>
      <c r="F123" s="6">
        <v>4310</v>
      </c>
      <c r="G123" s="39">
        <f>+F123/C123*100</f>
        <v>100</v>
      </c>
      <c r="H123" s="64">
        <f>+C123-F123</f>
        <v>0</v>
      </c>
      <c r="I123" s="73"/>
    </row>
    <row r="124" spans="1:9" s="25" customFormat="1" ht="15.75" customHeight="1">
      <c r="A124" s="11" t="s">
        <v>128</v>
      </c>
      <c r="B124" s="2">
        <v>268</v>
      </c>
      <c r="C124" s="28">
        <v>268</v>
      </c>
      <c r="D124" s="6">
        <v>268</v>
      </c>
      <c r="E124" s="44">
        <f>+D124/C124*100</f>
        <v>100</v>
      </c>
      <c r="F124" s="6">
        <v>188</v>
      </c>
      <c r="G124" s="39">
        <f>+F124/C124*100</f>
        <v>70.1492537313433</v>
      </c>
      <c r="H124" s="64">
        <f>+C124-F124</f>
        <v>80</v>
      </c>
      <c r="I124" s="55" t="s">
        <v>197</v>
      </c>
    </row>
    <row r="125" spans="1:9" s="25" customFormat="1" ht="15.75" customHeight="1">
      <c r="A125" s="11" t="s">
        <v>129</v>
      </c>
      <c r="B125" s="2">
        <v>538</v>
      </c>
      <c r="C125" s="28">
        <v>538</v>
      </c>
      <c r="D125" s="6">
        <f>38+280</f>
        <v>318</v>
      </c>
      <c r="E125" s="44">
        <f>+D125/C125*100</f>
        <v>59.10780669144982</v>
      </c>
      <c r="F125" s="6">
        <v>37</v>
      </c>
      <c r="G125" s="39">
        <f>+F125/C125*100</f>
        <v>6.877323420074349</v>
      </c>
      <c r="H125" s="64">
        <f>+C125-F125</f>
        <v>501</v>
      </c>
      <c r="I125" s="55" t="s">
        <v>197</v>
      </c>
    </row>
    <row r="126" spans="1:9" s="25" customFormat="1" ht="18.75" customHeight="1" collapsed="1">
      <c r="A126" s="11" t="s">
        <v>171</v>
      </c>
      <c r="B126" s="2">
        <f>93195+597067</f>
        <v>690262</v>
      </c>
      <c r="C126" s="28">
        <v>690262</v>
      </c>
      <c r="D126" s="6">
        <f>679088+6250+50+125+2337+450+138</f>
        <v>688438</v>
      </c>
      <c r="E126" s="44">
        <f>+D126/C126*100</f>
        <v>99.73575251136525</v>
      </c>
      <c r="F126" s="6">
        <v>653914</v>
      </c>
      <c r="G126" s="39">
        <f>+F126/C126*100</f>
        <v>94.73417340082462</v>
      </c>
      <c r="H126" s="64">
        <f>+C126-F126</f>
        <v>36348</v>
      </c>
      <c r="I126" s="55" t="s">
        <v>201</v>
      </c>
    </row>
    <row r="127" spans="1:9" s="25" customFormat="1" ht="15.75" customHeight="1">
      <c r="A127" s="11" t="s">
        <v>64</v>
      </c>
      <c r="B127" s="2">
        <f>39+7707</f>
        <v>7746</v>
      </c>
      <c r="C127" s="60">
        <v>0</v>
      </c>
      <c r="D127" s="3" t="s">
        <v>4</v>
      </c>
      <c r="E127" s="3" t="s">
        <v>4</v>
      </c>
      <c r="F127" s="6" t="s">
        <v>4</v>
      </c>
      <c r="G127" s="3" t="s">
        <v>4</v>
      </c>
      <c r="H127" s="64"/>
      <c r="I127" s="72"/>
    </row>
    <row r="128" spans="1:9" s="25" customFormat="1" ht="18" customHeight="1">
      <c r="A128" s="21" t="s">
        <v>107</v>
      </c>
      <c r="B128" s="29">
        <f>SUM(B122:B127)</f>
        <v>740567</v>
      </c>
      <c r="C128" s="59">
        <f>SUM(C122:C127)</f>
        <v>734733</v>
      </c>
      <c r="D128" s="29">
        <f>SUM(D122:D127)</f>
        <v>707834</v>
      </c>
      <c r="E128" s="45">
        <f>+D128/C128*100</f>
        <v>96.33894217355147</v>
      </c>
      <c r="F128" s="54">
        <f>SUM(F122:F127)</f>
        <v>672861</v>
      </c>
      <c r="G128" s="41">
        <f>+F128/C128*100</f>
        <v>91.57898175255501</v>
      </c>
      <c r="H128" s="29">
        <f>SUM(H122:H127)</f>
        <v>61872</v>
      </c>
      <c r="I128" s="74"/>
    </row>
    <row r="129" spans="1:9" s="25" customFormat="1" ht="17.25" customHeight="1">
      <c r="A129" s="19" t="s">
        <v>46</v>
      </c>
      <c r="B129" s="2"/>
      <c r="C129" s="28"/>
      <c r="D129" s="6"/>
      <c r="E129" s="44"/>
      <c r="F129" s="6"/>
      <c r="G129" s="39"/>
      <c r="H129" s="65"/>
      <c r="I129" s="73"/>
    </row>
    <row r="130" spans="1:9" s="25" customFormat="1" ht="17.25" customHeight="1">
      <c r="A130" s="11" t="s">
        <v>47</v>
      </c>
      <c r="B130" s="2">
        <v>154</v>
      </c>
      <c r="C130" s="28">
        <v>68</v>
      </c>
      <c r="D130" s="6">
        <v>68</v>
      </c>
      <c r="E130" s="44">
        <f>+D130/C130*100</f>
        <v>100</v>
      </c>
      <c r="F130" s="6">
        <v>68</v>
      </c>
      <c r="G130" s="39">
        <f>+F130/C130*100</f>
        <v>100</v>
      </c>
      <c r="H130" s="64">
        <f>+C130-F130</f>
        <v>0</v>
      </c>
      <c r="I130" s="73"/>
    </row>
    <row r="131" spans="1:9" s="25" customFormat="1" ht="17.25" customHeight="1">
      <c r="A131" s="11" t="s">
        <v>48</v>
      </c>
      <c r="B131" s="2">
        <v>6023</v>
      </c>
      <c r="C131" s="28">
        <v>2190</v>
      </c>
      <c r="D131" s="6">
        <v>2190</v>
      </c>
      <c r="E131" s="44">
        <f>+D131/C131*100</f>
        <v>100</v>
      </c>
      <c r="F131" s="6">
        <v>2190</v>
      </c>
      <c r="G131" s="39">
        <f>+F131/C131*100</f>
        <v>100</v>
      </c>
      <c r="H131" s="64">
        <f>+C131-F131</f>
        <v>0</v>
      </c>
      <c r="I131" s="73"/>
    </row>
    <row r="132" spans="1:9" s="25" customFormat="1" ht="17.25" customHeight="1">
      <c r="A132" s="11" t="s">
        <v>49</v>
      </c>
      <c r="B132" s="2">
        <v>2225</v>
      </c>
      <c r="C132" s="28">
        <v>2225</v>
      </c>
      <c r="D132" s="3" t="s">
        <v>4</v>
      </c>
      <c r="E132" s="3" t="s">
        <v>4</v>
      </c>
      <c r="F132" s="6"/>
      <c r="G132" s="3" t="s">
        <v>4</v>
      </c>
      <c r="H132" s="64">
        <f>+C132-F132</f>
        <v>2225</v>
      </c>
      <c r="I132" s="55" t="s">
        <v>197</v>
      </c>
    </row>
    <row r="133" spans="1:9" s="25" customFormat="1" ht="27" customHeight="1">
      <c r="A133" s="9" t="s">
        <v>168</v>
      </c>
      <c r="B133" s="50">
        <v>0</v>
      </c>
      <c r="C133" s="28">
        <v>745</v>
      </c>
      <c r="D133" s="6">
        <v>745</v>
      </c>
      <c r="E133" s="44">
        <f>+D133/C133*100</f>
        <v>100</v>
      </c>
      <c r="F133" s="6"/>
      <c r="G133" s="3" t="s">
        <v>4</v>
      </c>
      <c r="H133" s="64">
        <f>+C133-F133</f>
        <v>745</v>
      </c>
      <c r="I133" s="55" t="s">
        <v>197</v>
      </c>
    </row>
    <row r="134" spans="1:9" s="25" customFormat="1" ht="17.25" customHeight="1">
      <c r="A134" s="21" t="s">
        <v>111</v>
      </c>
      <c r="B134" s="29">
        <f>SUM(B130:B133)</f>
        <v>8402</v>
      </c>
      <c r="C134" s="59">
        <f>SUM(C130:C133)</f>
        <v>5228</v>
      </c>
      <c r="D134" s="29">
        <f>SUM(D130:D133)</f>
        <v>3003</v>
      </c>
      <c r="E134" s="45">
        <f>+D134/C134*100</f>
        <v>57.440703902065806</v>
      </c>
      <c r="F134" s="54">
        <f>SUM(F130:F133)</f>
        <v>2258</v>
      </c>
      <c r="G134" s="41">
        <f>+F134/C134*100</f>
        <v>43.19051262433053</v>
      </c>
      <c r="H134" s="29">
        <f>SUM(H130:H133)</f>
        <v>2970</v>
      </c>
      <c r="I134" s="74"/>
    </row>
    <row r="135" spans="1:9" s="25" customFormat="1" ht="19.5" customHeight="1">
      <c r="A135" s="19" t="s">
        <v>109</v>
      </c>
      <c r="B135" s="2"/>
      <c r="C135" s="28"/>
      <c r="D135" s="6"/>
      <c r="E135" s="44"/>
      <c r="F135" s="6"/>
      <c r="G135" s="39"/>
      <c r="H135" s="65"/>
      <c r="I135" s="73"/>
    </row>
    <row r="136" spans="1:9" s="25" customFormat="1" ht="19.5" customHeight="1">
      <c r="A136" s="9" t="s">
        <v>175</v>
      </c>
      <c r="B136" s="2">
        <f>12093+20000</f>
        <v>32093</v>
      </c>
      <c r="C136" s="28">
        <f>12093+20000</f>
        <v>32093</v>
      </c>
      <c r="D136" s="6">
        <v>14800</v>
      </c>
      <c r="E136" s="44">
        <f>+D136/C136*100</f>
        <v>46.11597544635902</v>
      </c>
      <c r="F136" s="67">
        <v>14800</v>
      </c>
      <c r="G136" s="39">
        <f>+F136/C136*100</f>
        <v>46.11597544635902</v>
      </c>
      <c r="H136" s="64">
        <f aca="true" t="shared" si="21" ref="H136:H174">+C136-F136</f>
        <v>17293</v>
      </c>
      <c r="I136" s="55" t="s">
        <v>202</v>
      </c>
    </row>
    <row r="137" spans="1:9" ht="19.5" customHeight="1">
      <c r="A137" s="9" t="s">
        <v>183</v>
      </c>
      <c r="B137" s="2">
        <v>4000</v>
      </c>
      <c r="C137" s="28">
        <f>4000-363</f>
        <v>3637</v>
      </c>
      <c r="D137" s="2">
        <v>153</v>
      </c>
      <c r="E137" s="44">
        <f>+D137/C137*100</f>
        <v>4.206763816332142</v>
      </c>
      <c r="F137" s="67">
        <v>153</v>
      </c>
      <c r="G137" s="39">
        <f>+F137/C137*100</f>
        <v>4.206763816332142</v>
      </c>
      <c r="H137" s="64">
        <f t="shared" si="21"/>
        <v>3484</v>
      </c>
      <c r="I137" s="73"/>
    </row>
    <row r="138" spans="1:9" ht="19.5" customHeight="1">
      <c r="A138" s="9" t="s">
        <v>85</v>
      </c>
      <c r="B138" s="2">
        <v>7500</v>
      </c>
      <c r="C138" s="28">
        <f>23749+6167</f>
        <v>29916</v>
      </c>
      <c r="D138" s="6">
        <v>29916</v>
      </c>
      <c r="E138" s="44">
        <f>+D138/C138*100</f>
        <v>100</v>
      </c>
      <c r="F138" s="68">
        <v>29916</v>
      </c>
      <c r="G138" s="39">
        <f>+F138/C138*100</f>
        <v>100</v>
      </c>
      <c r="H138" s="64">
        <f t="shared" si="21"/>
        <v>0</v>
      </c>
      <c r="I138" s="73"/>
    </row>
    <row r="139" spans="1:9" ht="19.5" customHeight="1">
      <c r="A139" s="9" t="s">
        <v>86</v>
      </c>
      <c r="B139" s="6">
        <v>6000</v>
      </c>
      <c r="C139" s="27">
        <f>7421+363</f>
        <v>7784</v>
      </c>
      <c r="D139" s="6">
        <v>7784</v>
      </c>
      <c r="E139" s="44">
        <f>+D139/C139*100</f>
        <v>100</v>
      </c>
      <c r="F139" s="67">
        <v>7784</v>
      </c>
      <c r="G139" s="39">
        <f>+F139/C139*100</f>
        <v>100</v>
      </c>
      <c r="H139" s="64">
        <f t="shared" si="21"/>
        <v>0</v>
      </c>
      <c r="I139" s="73"/>
    </row>
    <row r="140" spans="1:9" s="25" customFormat="1" ht="19.5" customHeight="1">
      <c r="A140" s="11" t="s">
        <v>176</v>
      </c>
      <c r="B140" s="2">
        <v>5460</v>
      </c>
      <c r="C140" s="28">
        <f>460+5000</f>
        <v>5460</v>
      </c>
      <c r="D140" s="6">
        <v>3950</v>
      </c>
      <c r="E140" s="44">
        <f>+D140/C140*100</f>
        <v>72.34432234432234</v>
      </c>
      <c r="F140" s="68">
        <v>2850</v>
      </c>
      <c r="G140" s="39">
        <f>+F140/C140*100</f>
        <v>52.197802197802204</v>
      </c>
      <c r="H140" s="64">
        <f t="shared" si="21"/>
        <v>2610</v>
      </c>
      <c r="I140" s="55" t="s">
        <v>197</v>
      </c>
    </row>
    <row r="141" spans="1:9" ht="19.5" customHeight="1" collapsed="1">
      <c r="A141" s="9" t="s">
        <v>87</v>
      </c>
      <c r="B141" s="2">
        <v>8000</v>
      </c>
      <c r="C141" s="28">
        <f>4917-4903</f>
        <v>14</v>
      </c>
      <c r="D141" s="3" t="s">
        <v>4</v>
      </c>
      <c r="E141" s="3" t="s">
        <v>4</v>
      </c>
      <c r="F141" s="7"/>
      <c r="G141" s="3" t="s">
        <v>4</v>
      </c>
      <c r="H141" s="64">
        <f t="shared" si="21"/>
        <v>14</v>
      </c>
      <c r="I141" s="55"/>
    </row>
    <row r="142" spans="1:9" ht="19.5" customHeight="1">
      <c r="A142" s="9" t="s">
        <v>137</v>
      </c>
      <c r="B142" s="3" t="s">
        <v>146</v>
      </c>
      <c r="C142" s="28">
        <v>38</v>
      </c>
      <c r="D142" s="6">
        <v>38</v>
      </c>
      <c r="E142" s="44">
        <f aca="true" t="shared" si="22" ref="E142:E153">+D142/C142*100</f>
        <v>100</v>
      </c>
      <c r="F142" s="7">
        <v>38</v>
      </c>
      <c r="G142" s="39">
        <f>+F142/C142*100</f>
        <v>100</v>
      </c>
      <c r="H142" s="64">
        <f t="shared" si="21"/>
        <v>0</v>
      </c>
      <c r="I142" s="73"/>
    </row>
    <row r="143" spans="1:9" ht="19.5" customHeight="1">
      <c r="A143" s="9" t="s">
        <v>138</v>
      </c>
      <c r="B143" s="3" t="s">
        <v>146</v>
      </c>
      <c r="C143" s="28">
        <v>187</v>
      </c>
      <c r="D143" s="6">
        <v>150</v>
      </c>
      <c r="E143" s="44">
        <f t="shared" si="22"/>
        <v>80.21390374331551</v>
      </c>
      <c r="F143" s="7"/>
      <c r="G143" s="3" t="s">
        <v>4</v>
      </c>
      <c r="H143" s="64">
        <f t="shared" si="21"/>
        <v>187</v>
      </c>
      <c r="I143" s="55" t="s">
        <v>197</v>
      </c>
    </row>
    <row r="144" spans="1:9" ht="19.5" customHeight="1">
      <c r="A144" s="9" t="s">
        <v>139</v>
      </c>
      <c r="B144" s="3" t="s">
        <v>146</v>
      </c>
      <c r="C144" s="28">
        <v>1500</v>
      </c>
      <c r="D144" s="6">
        <v>1500</v>
      </c>
      <c r="E144" s="44">
        <f t="shared" si="22"/>
        <v>100</v>
      </c>
      <c r="F144" s="7">
        <f>900+600</f>
        <v>1500</v>
      </c>
      <c r="G144" s="39">
        <f>+F144/C144*100</f>
        <v>100</v>
      </c>
      <c r="H144" s="64">
        <f t="shared" si="21"/>
        <v>0</v>
      </c>
      <c r="I144" s="72"/>
    </row>
    <row r="145" spans="1:9" ht="19.5" customHeight="1">
      <c r="A145" s="9" t="s">
        <v>140</v>
      </c>
      <c r="B145" s="3" t="s">
        <v>146</v>
      </c>
      <c r="C145" s="28">
        <f>580+216</f>
        <v>796</v>
      </c>
      <c r="D145" s="6">
        <v>796</v>
      </c>
      <c r="E145" s="44">
        <f t="shared" si="22"/>
        <v>100</v>
      </c>
      <c r="F145" s="7">
        <f>348+216+232</f>
        <v>796</v>
      </c>
      <c r="G145" s="39">
        <f>+F145/C145*100</f>
        <v>100</v>
      </c>
      <c r="H145" s="64">
        <f t="shared" si="21"/>
        <v>0</v>
      </c>
      <c r="I145" s="73"/>
    </row>
    <row r="146" spans="1:9" ht="19.5" customHeight="1">
      <c r="A146" s="9" t="s">
        <v>141</v>
      </c>
      <c r="B146" s="3" t="s">
        <v>146</v>
      </c>
      <c r="C146" s="28">
        <v>1250</v>
      </c>
      <c r="D146" s="6">
        <v>1250</v>
      </c>
      <c r="E146" s="44">
        <f t="shared" si="22"/>
        <v>100</v>
      </c>
      <c r="F146" s="7">
        <v>1250</v>
      </c>
      <c r="G146" s="39">
        <f>+F146/C146*100</f>
        <v>100</v>
      </c>
      <c r="H146" s="64">
        <f t="shared" si="21"/>
        <v>0</v>
      </c>
      <c r="I146" s="72"/>
    </row>
    <row r="147" spans="1:9" ht="19.5" customHeight="1">
      <c r="A147" s="9" t="s">
        <v>142</v>
      </c>
      <c r="B147" s="3" t="s">
        <v>146</v>
      </c>
      <c r="C147" s="28">
        <v>250</v>
      </c>
      <c r="D147" s="6">
        <v>250</v>
      </c>
      <c r="E147" s="44">
        <f t="shared" si="22"/>
        <v>100</v>
      </c>
      <c r="F147" s="7">
        <v>250</v>
      </c>
      <c r="G147" s="39">
        <f>+F147/C147*100</f>
        <v>100</v>
      </c>
      <c r="H147" s="64">
        <f t="shared" si="21"/>
        <v>0</v>
      </c>
      <c r="I147" s="72"/>
    </row>
    <row r="148" spans="1:9" ht="19.5" customHeight="1">
      <c r="A148" s="9" t="s">
        <v>143</v>
      </c>
      <c r="B148" s="3" t="s">
        <v>146</v>
      </c>
      <c r="C148" s="28">
        <v>150</v>
      </c>
      <c r="D148" s="6">
        <v>150</v>
      </c>
      <c r="E148" s="44">
        <f t="shared" si="22"/>
        <v>100</v>
      </c>
      <c r="F148" s="7">
        <v>150</v>
      </c>
      <c r="G148" s="39">
        <f>+F148/C148*100</f>
        <v>100</v>
      </c>
      <c r="H148" s="64">
        <f t="shared" si="21"/>
        <v>0</v>
      </c>
      <c r="I148" s="72"/>
    </row>
    <row r="149" spans="1:9" ht="19.5" customHeight="1">
      <c r="A149" s="9" t="s">
        <v>144</v>
      </c>
      <c r="B149" s="3" t="s">
        <v>146</v>
      </c>
      <c r="C149" s="58">
        <v>0</v>
      </c>
      <c r="D149" s="3" t="s">
        <v>4</v>
      </c>
      <c r="E149" s="3" t="s">
        <v>4</v>
      </c>
      <c r="F149" s="7" t="s">
        <v>4</v>
      </c>
      <c r="G149" s="3" t="s">
        <v>4</v>
      </c>
      <c r="H149" s="64"/>
      <c r="I149" s="72"/>
    </row>
    <row r="150" spans="1:9" ht="19.5" customHeight="1">
      <c r="A150" s="9" t="s">
        <v>145</v>
      </c>
      <c r="B150" s="3" t="s">
        <v>146</v>
      </c>
      <c r="C150" s="28">
        <v>125</v>
      </c>
      <c r="D150" s="6">
        <v>125</v>
      </c>
      <c r="E150" s="44">
        <f t="shared" si="22"/>
        <v>100</v>
      </c>
      <c r="F150" s="7">
        <f>100+25</f>
        <v>125</v>
      </c>
      <c r="G150" s="39">
        <f>+F150/C150*100</f>
        <v>100</v>
      </c>
      <c r="H150" s="64">
        <f t="shared" si="21"/>
        <v>0</v>
      </c>
      <c r="I150" s="72"/>
    </row>
    <row r="151" spans="1:9" ht="19.5" customHeight="1">
      <c r="A151" s="9" t="s">
        <v>157</v>
      </c>
      <c r="B151" s="6">
        <v>8000</v>
      </c>
      <c r="C151" s="27">
        <v>8000</v>
      </c>
      <c r="D151" s="6">
        <f>650</f>
        <v>650</v>
      </c>
      <c r="E151" s="44">
        <f t="shared" si="22"/>
        <v>8.125</v>
      </c>
      <c r="F151" s="69"/>
      <c r="G151" s="39">
        <f>+F151/C151*100</f>
        <v>0</v>
      </c>
      <c r="H151" s="64">
        <f t="shared" si="21"/>
        <v>8000</v>
      </c>
      <c r="I151" s="31"/>
    </row>
    <row r="152" spans="1:9" ht="19.5" customHeight="1">
      <c r="A152" s="9" t="s">
        <v>190</v>
      </c>
      <c r="B152" s="6">
        <v>10500</v>
      </c>
      <c r="C152" s="27">
        <v>11410</v>
      </c>
      <c r="D152" s="6">
        <f>850+438+19688</f>
        <v>20976</v>
      </c>
      <c r="E152" s="44">
        <f t="shared" si="22"/>
        <v>183.8387379491674</v>
      </c>
      <c r="F152" s="7">
        <v>1287</v>
      </c>
      <c r="G152" s="39">
        <f>+F152/C152*100</f>
        <v>11.279579316389132</v>
      </c>
      <c r="H152" s="64">
        <f t="shared" si="21"/>
        <v>10123</v>
      </c>
      <c r="I152" s="55" t="s">
        <v>197</v>
      </c>
    </row>
    <row r="153" spans="1:9" ht="19.5" customHeight="1">
      <c r="A153" s="9" t="s">
        <v>88</v>
      </c>
      <c r="B153" s="6">
        <v>56</v>
      </c>
      <c r="C153" s="27">
        <v>56</v>
      </c>
      <c r="D153" s="6">
        <v>55</v>
      </c>
      <c r="E153" s="44">
        <f t="shared" si="22"/>
        <v>98.21428571428571</v>
      </c>
      <c r="F153" s="7">
        <v>55</v>
      </c>
      <c r="G153" s="39">
        <f>+F153/C153*100</f>
        <v>98.21428571428571</v>
      </c>
      <c r="H153" s="64">
        <f t="shared" si="21"/>
        <v>1</v>
      </c>
      <c r="I153" s="72"/>
    </row>
    <row r="154" spans="1:9" ht="19.5" customHeight="1">
      <c r="A154" s="9" t="s">
        <v>89</v>
      </c>
      <c r="B154" s="6">
        <v>3000</v>
      </c>
      <c r="C154" s="27">
        <v>3000</v>
      </c>
      <c r="D154" s="3" t="s">
        <v>4</v>
      </c>
      <c r="E154" s="3" t="s">
        <v>4</v>
      </c>
      <c r="F154" s="7"/>
      <c r="G154" s="3" t="s">
        <v>4</v>
      </c>
      <c r="H154" s="64">
        <f t="shared" si="21"/>
        <v>3000</v>
      </c>
      <c r="I154" s="55" t="s">
        <v>197</v>
      </c>
    </row>
    <row r="155" spans="1:9" s="25" customFormat="1" ht="19.5" customHeight="1">
      <c r="A155" s="9" t="s">
        <v>156</v>
      </c>
      <c r="B155" s="2">
        <v>140</v>
      </c>
      <c r="C155" s="28">
        <v>140</v>
      </c>
      <c r="D155" s="6">
        <v>140</v>
      </c>
      <c r="E155" s="44">
        <f>+D155/C155*100</f>
        <v>100</v>
      </c>
      <c r="F155" s="7">
        <v>100</v>
      </c>
      <c r="G155" s="39">
        <f>+F155/C155*100</f>
        <v>71.42857142857143</v>
      </c>
      <c r="H155" s="64">
        <f t="shared" si="21"/>
        <v>40</v>
      </c>
      <c r="I155" s="73"/>
    </row>
    <row r="156" spans="1:9" s="25" customFormat="1" ht="19.5" customHeight="1">
      <c r="A156" s="9" t="s">
        <v>50</v>
      </c>
      <c r="B156" s="2">
        <v>250</v>
      </c>
      <c r="C156" s="28">
        <v>250</v>
      </c>
      <c r="D156" s="3" t="s">
        <v>4</v>
      </c>
      <c r="E156" s="3" t="s">
        <v>4</v>
      </c>
      <c r="F156" s="7"/>
      <c r="G156" s="3" t="s">
        <v>4</v>
      </c>
      <c r="H156" s="64">
        <f t="shared" si="21"/>
        <v>250</v>
      </c>
      <c r="I156" s="72"/>
    </row>
    <row r="157" spans="1:9" s="25" customFormat="1" ht="19.5" customHeight="1">
      <c r="A157" s="9" t="s">
        <v>188</v>
      </c>
      <c r="B157" s="2">
        <v>2072</v>
      </c>
      <c r="C157" s="28">
        <v>2149</v>
      </c>
      <c r="D157" s="6">
        <f>625+1062+261+201</f>
        <v>2149</v>
      </c>
      <c r="E157" s="44">
        <f>+D157/C157*100</f>
        <v>100</v>
      </c>
      <c r="F157" s="53">
        <f>637+261+425+375+201+250</f>
        <v>2149</v>
      </c>
      <c r="G157" s="39">
        <f>+F157/C157*100</f>
        <v>100</v>
      </c>
      <c r="H157" s="64">
        <f t="shared" si="21"/>
        <v>0</v>
      </c>
      <c r="I157" s="73"/>
    </row>
    <row r="158" spans="1:9" s="25" customFormat="1" ht="19.5" customHeight="1">
      <c r="A158" s="9" t="s">
        <v>51</v>
      </c>
      <c r="B158" s="2">
        <v>500</v>
      </c>
      <c r="C158" s="28">
        <v>625</v>
      </c>
      <c r="D158" s="6">
        <v>625</v>
      </c>
      <c r="E158" s="44">
        <f>+D158/C158*100</f>
        <v>100</v>
      </c>
      <c r="F158" s="7">
        <v>625</v>
      </c>
      <c r="G158" s="39">
        <f>+F158/C158*100</f>
        <v>100</v>
      </c>
      <c r="H158" s="64">
        <f t="shared" si="21"/>
        <v>0</v>
      </c>
      <c r="I158" s="73"/>
    </row>
    <row r="159" spans="1:9" s="25" customFormat="1" ht="19.5" customHeight="1">
      <c r="A159" s="11" t="s">
        <v>52</v>
      </c>
      <c r="B159" s="2">
        <v>988</v>
      </c>
      <c r="C159" s="28">
        <v>1488</v>
      </c>
      <c r="D159" s="6">
        <v>1338</v>
      </c>
      <c r="E159" s="44">
        <f>+D159/C159*100</f>
        <v>89.91935483870968</v>
      </c>
      <c r="F159" s="7">
        <f>377+117+117+150+377+200</f>
        <v>1338</v>
      </c>
      <c r="G159" s="39">
        <f>+F159/C159*100</f>
        <v>89.91935483870968</v>
      </c>
      <c r="H159" s="64">
        <f t="shared" si="21"/>
        <v>150</v>
      </c>
      <c r="I159" s="55" t="s">
        <v>197</v>
      </c>
    </row>
    <row r="160" spans="1:9" s="25" customFormat="1" ht="19.5" customHeight="1">
      <c r="A160" s="11" t="s">
        <v>53</v>
      </c>
      <c r="B160" s="2">
        <v>131</v>
      </c>
      <c r="C160" s="58">
        <v>0</v>
      </c>
      <c r="D160" s="3" t="s">
        <v>4</v>
      </c>
      <c r="E160" s="3" t="s">
        <v>4</v>
      </c>
      <c r="F160" s="7"/>
      <c r="G160" s="3" t="s">
        <v>4</v>
      </c>
      <c r="H160" s="64">
        <f t="shared" si="21"/>
        <v>0</v>
      </c>
      <c r="I160" s="72"/>
    </row>
    <row r="161" spans="1:9" s="25" customFormat="1" ht="22.5" customHeight="1">
      <c r="A161" s="34" t="s">
        <v>54</v>
      </c>
      <c r="B161" s="30">
        <v>100</v>
      </c>
      <c r="C161" s="42">
        <v>100</v>
      </c>
      <c r="D161" s="51" t="s">
        <v>4</v>
      </c>
      <c r="E161" s="51" t="s">
        <v>4</v>
      </c>
      <c r="F161" s="79"/>
      <c r="G161" s="51" t="s">
        <v>4</v>
      </c>
      <c r="H161" s="77">
        <f t="shared" si="21"/>
        <v>100</v>
      </c>
      <c r="I161" s="86"/>
    </row>
    <row r="162" spans="1:9" s="25" customFormat="1" ht="19.5" customHeight="1">
      <c r="A162" s="11" t="s">
        <v>55</v>
      </c>
      <c r="B162" s="2">
        <v>140</v>
      </c>
      <c r="C162" s="28">
        <v>140</v>
      </c>
      <c r="D162" s="3" t="s">
        <v>4</v>
      </c>
      <c r="E162" s="3" t="s">
        <v>4</v>
      </c>
      <c r="F162" s="7"/>
      <c r="G162" s="3" t="s">
        <v>4</v>
      </c>
      <c r="H162" s="64">
        <f t="shared" si="21"/>
        <v>140</v>
      </c>
      <c r="I162" s="72"/>
    </row>
    <row r="163" spans="1:9" s="25" customFormat="1" ht="19.5" customHeight="1">
      <c r="A163" s="11" t="s">
        <v>56</v>
      </c>
      <c r="B163" s="2">
        <v>320</v>
      </c>
      <c r="C163" s="28">
        <v>320</v>
      </c>
      <c r="D163" s="3" t="s">
        <v>4</v>
      </c>
      <c r="E163" s="3" t="s">
        <v>4</v>
      </c>
      <c r="F163" s="7"/>
      <c r="G163" s="3" t="s">
        <v>4</v>
      </c>
      <c r="H163" s="64">
        <f t="shared" si="21"/>
        <v>320</v>
      </c>
      <c r="I163" s="72"/>
    </row>
    <row r="164" spans="1:9" s="25" customFormat="1" ht="19.5" customHeight="1">
      <c r="A164" s="9" t="s">
        <v>57</v>
      </c>
      <c r="B164" s="2">
        <v>500</v>
      </c>
      <c r="C164" s="28">
        <v>1045</v>
      </c>
      <c r="D164" s="6">
        <v>1045</v>
      </c>
      <c r="E164" s="44">
        <f>+D164/C164*100</f>
        <v>100</v>
      </c>
      <c r="F164" s="7">
        <f>644+401</f>
        <v>1045</v>
      </c>
      <c r="G164" s="39">
        <f>+F164/C164*100</f>
        <v>100</v>
      </c>
      <c r="H164" s="64">
        <f t="shared" si="21"/>
        <v>0</v>
      </c>
      <c r="I164" s="72"/>
    </row>
    <row r="165" spans="1:9" s="25" customFormat="1" ht="25.5" customHeight="1">
      <c r="A165" s="9" t="s">
        <v>182</v>
      </c>
      <c r="B165" s="3">
        <v>0</v>
      </c>
      <c r="C165" s="28">
        <v>493</v>
      </c>
      <c r="D165" s="6">
        <v>493</v>
      </c>
      <c r="E165" s="44">
        <f>+D165/C165*100</f>
        <v>100</v>
      </c>
      <c r="F165" s="7">
        <v>493</v>
      </c>
      <c r="G165" s="39">
        <f>+F165/C165*100</f>
        <v>100</v>
      </c>
      <c r="H165" s="64">
        <f>+C165-F165</f>
        <v>0</v>
      </c>
      <c r="I165" s="72"/>
    </row>
    <row r="166" spans="1:9" s="25" customFormat="1" ht="19.5" customHeight="1">
      <c r="A166" s="11" t="s">
        <v>58</v>
      </c>
      <c r="B166" s="2">
        <v>62</v>
      </c>
      <c r="C166" s="28">
        <v>62</v>
      </c>
      <c r="D166" s="3" t="s">
        <v>4</v>
      </c>
      <c r="E166" s="3" t="s">
        <v>4</v>
      </c>
      <c r="F166" s="7"/>
      <c r="G166" s="3" t="s">
        <v>4</v>
      </c>
      <c r="H166" s="64">
        <f t="shared" si="21"/>
        <v>62</v>
      </c>
      <c r="I166" s="72"/>
    </row>
    <row r="167" spans="1:9" s="25" customFormat="1" ht="19.5" customHeight="1">
      <c r="A167" s="11" t="s">
        <v>59</v>
      </c>
      <c r="B167" s="2">
        <v>50</v>
      </c>
      <c r="C167" s="28">
        <v>50</v>
      </c>
      <c r="D167" s="6">
        <v>48</v>
      </c>
      <c r="E167" s="44">
        <f>+D167/C167*100</f>
        <v>96</v>
      </c>
      <c r="F167" s="7">
        <v>48</v>
      </c>
      <c r="G167" s="39">
        <f>+F167/C167*100</f>
        <v>96</v>
      </c>
      <c r="H167" s="64">
        <f t="shared" si="21"/>
        <v>2</v>
      </c>
      <c r="I167" s="73"/>
    </row>
    <row r="168" spans="1:9" s="25" customFormat="1" ht="19.5" customHeight="1">
      <c r="A168" s="11" t="s">
        <v>60</v>
      </c>
      <c r="B168" s="2">
        <v>289</v>
      </c>
      <c r="C168" s="28">
        <v>289</v>
      </c>
      <c r="D168" s="6">
        <v>289</v>
      </c>
      <c r="E168" s="44">
        <f>+D168/C168*100</f>
        <v>100</v>
      </c>
      <c r="F168" s="7">
        <v>289</v>
      </c>
      <c r="G168" s="39">
        <f>+F168/C168*100</f>
        <v>100</v>
      </c>
      <c r="H168" s="64">
        <f t="shared" si="21"/>
        <v>0</v>
      </c>
      <c r="I168" s="73"/>
    </row>
    <row r="169" spans="1:9" s="25" customFormat="1" ht="24.75" customHeight="1">
      <c r="A169" s="33" t="s">
        <v>204</v>
      </c>
      <c r="B169" s="2"/>
      <c r="C169" s="28">
        <v>12375</v>
      </c>
      <c r="D169" s="6">
        <v>12375</v>
      </c>
      <c r="E169" s="44">
        <f>+D169/C169*100</f>
        <v>100</v>
      </c>
      <c r="F169" s="7">
        <v>8662</v>
      </c>
      <c r="G169" s="39">
        <f>+F169/C169*100</f>
        <v>69.9959595959596</v>
      </c>
      <c r="H169" s="64">
        <f t="shared" si="21"/>
        <v>3713</v>
      </c>
      <c r="I169" s="55" t="s">
        <v>197</v>
      </c>
    </row>
    <row r="170" spans="1:9" s="25" customFormat="1" ht="25.5" customHeight="1">
      <c r="A170" s="33" t="s">
        <v>205</v>
      </c>
      <c r="B170" s="2"/>
      <c r="C170" s="28">
        <v>390</v>
      </c>
      <c r="D170" s="6">
        <v>390</v>
      </c>
      <c r="E170" s="44">
        <f>+D170/C170*100</f>
        <v>100</v>
      </c>
      <c r="F170" s="7">
        <v>390</v>
      </c>
      <c r="G170" s="39">
        <f>+F170/C170*100</f>
        <v>100</v>
      </c>
      <c r="H170" s="64">
        <f t="shared" si="21"/>
        <v>0</v>
      </c>
      <c r="I170" s="73"/>
    </row>
    <row r="171" spans="1:9" s="25" customFormat="1" ht="19.5" customHeight="1">
      <c r="A171" s="9" t="s">
        <v>155</v>
      </c>
      <c r="B171" s="3" t="s">
        <v>146</v>
      </c>
      <c r="C171" s="28">
        <f>438-225</f>
        <v>213</v>
      </c>
      <c r="D171" s="6">
        <f>225+160-225</f>
        <v>160</v>
      </c>
      <c r="E171" s="44">
        <f>+D171/C171*100</f>
        <v>75.11737089201877</v>
      </c>
      <c r="F171" s="7">
        <v>160</v>
      </c>
      <c r="G171" s="39">
        <f>+F171/C171*100</f>
        <v>75.11737089201877</v>
      </c>
      <c r="H171" s="64">
        <f>+C171-F171</f>
        <v>53</v>
      </c>
      <c r="I171" s="72"/>
    </row>
    <row r="172" spans="1:9" s="25" customFormat="1" ht="24.75" customHeight="1">
      <c r="A172" s="33" t="s">
        <v>191</v>
      </c>
      <c r="B172" s="3"/>
      <c r="C172" s="28">
        <v>1250</v>
      </c>
      <c r="D172" s="3" t="s">
        <v>4</v>
      </c>
      <c r="E172" s="3" t="s">
        <v>4</v>
      </c>
      <c r="F172" s="6"/>
      <c r="G172" s="3" t="s">
        <v>4</v>
      </c>
      <c r="H172" s="64">
        <f>+C172-F172</f>
        <v>1250</v>
      </c>
      <c r="I172" s="55" t="s">
        <v>197</v>
      </c>
    </row>
    <row r="173" spans="1:9" s="25" customFormat="1" ht="28.5" customHeight="1">
      <c r="A173" s="33" t="s">
        <v>192</v>
      </c>
      <c r="B173" s="3"/>
      <c r="C173" s="28">
        <v>1563</v>
      </c>
      <c r="D173" s="3" t="s">
        <v>4</v>
      </c>
      <c r="E173" s="3" t="s">
        <v>4</v>
      </c>
      <c r="F173" s="6"/>
      <c r="G173" s="3" t="s">
        <v>4</v>
      </c>
      <c r="H173" s="64">
        <f>+C173-F173</f>
        <v>1563</v>
      </c>
      <c r="I173" s="55" t="s">
        <v>197</v>
      </c>
    </row>
    <row r="174" spans="1:9" s="25" customFormat="1" ht="25.5" customHeight="1">
      <c r="A174" s="9" t="s">
        <v>184</v>
      </c>
      <c r="B174" s="3"/>
      <c r="C174" s="28">
        <v>1874</v>
      </c>
      <c r="D174" s="6">
        <v>1874</v>
      </c>
      <c r="E174" s="44">
        <f>+D174/C174*100</f>
        <v>100</v>
      </c>
      <c r="F174" s="7">
        <v>937</v>
      </c>
      <c r="G174" s="39">
        <f>+F174/C174*100</f>
        <v>50</v>
      </c>
      <c r="H174" s="64">
        <f t="shared" si="21"/>
        <v>937</v>
      </c>
      <c r="I174" s="73" t="s">
        <v>203</v>
      </c>
    </row>
    <row r="175" spans="1:9" s="25" customFormat="1" ht="19.5" customHeight="1">
      <c r="A175" s="21" t="s">
        <v>108</v>
      </c>
      <c r="B175" s="29">
        <f>SUM(B136:B174)</f>
        <v>90151</v>
      </c>
      <c r="C175" s="59">
        <f>SUM(C136:C174)</f>
        <v>130482</v>
      </c>
      <c r="D175" s="29">
        <f>SUM(D136:D174)</f>
        <v>103469</v>
      </c>
      <c r="E175" s="45">
        <f>+D175/C175*100</f>
        <v>79.29752762833188</v>
      </c>
      <c r="F175" s="54">
        <f>SUM(F136:F174)</f>
        <v>77190</v>
      </c>
      <c r="G175" s="41">
        <f>+F175/C175*100</f>
        <v>59.157584954246566</v>
      </c>
      <c r="H175" s="29">
        <f>SUM(H136:H174)</f>
        <v>53292</v>
      </c>
      <c r="I175" s="74"/>
    </row>
    <row r="176" spans="1:9" s="26" customFormat="1" ht="17.25" customHeight="1">
      <c r="A176" s="16" t="s">
        <v>90</v>
      </c>
      <c r="B176" s="2"/>
      <c r="C176" s="28"/>
      <c r="D176" s="2"/>
      <c r="E176" s="44"/>
      <c r="F176" s="6"/>
      <c r="G176" s="39"/>
      <c r="H176" s="65"/>
      <c r="I176" s="73"/>
    </row>
    <row r="177" spans="1:9" ht="16.5" customHeight="1">
      <c r="A177" s="8" t="s">
        <v>91</v>
      </c>
      <c r="B177" s="2">
        <v>50000</v>
      </c>
      <c r="C177" s="28">
        <v>50000</v>
      </c>
      <c r="D177" s="3" t="s">
        <v>4</v>
      </c>
      <c r="E177" s="3" t="s">
        <v>4</v>
      </c>
      <c r="F177" s="6"/>
      <c r="G177" s="3" t="s">
        <v>4</v>
      </c>
      <c r="H177" s="64">
        <f aca="true" t="shared" si="23" ref="H177:H183">+C177-F177</f>
        <v>50000</v>
      </c>
      <c r="I177" s="72"/>
    </row>
    <row r="178" spans="1:9" ht="16.5" customHeight="1">
      <c r="A178" s="8" t="s">
        <v>92</v>
      </c>
      <c r="B178" s="2">
        <v>95766</v>
      </c>
      <c r="C178" s="28">
        <v>95766</v>
      </c>
      <c r="D178" s="6">
        <v>95750</v>
      </c>
      <c r="E178" s="44">
        <f>+D178/C178*100</f>
        <v>99.98329260906795</v>
      </c>
      <c r="F178" s="6"/>
      <c r="G178" s="3" t="s">
        <v>4</v>
      </c>
      <c r="H178" s="64">
        <f t="shared" si="23"/>
        <v>95766</v>
      </c>
      <c r="I178" s="72"/>
    </row>
    <row r="179" spans="1:9" ht="16.5" customHeight="1">
      <c r="A179" s="8" t="s">
        <v>93</v>
      </c>
      <c r="B179" s="2">
        <v>12000</v>
      </c>
      <c r="C179" s="58">
        <v>0</v>
      </c>
      <c r="D179" s="3" t="s">
        <v>4</v>
      </c>
      <c r="E179" s="3" t="s">
        <v>4</v>
      </c>
      <c r="F179" s="6"/>
      <c r="G179" s="3" t="s">
        <v>4</v>
      </c>
      <c r="H179" s="64">
        <f t="shared" si="23"/>
        <v>0</v>
      </c>
      <c r="I179" s="72"/>
    </row>
    <row r="180" spans="1:9" ht="16.5" customHeight="1">
      <c r="A180" s="8" t="s">
        <v>94</v>
      </c>
      <c r="B180" s="2">
        <v>50000</v>
      </c>
      <c r="C180" s="28">
        <v>50000</v>
      </c>
      <c r="D180" s="3" t="s">
        <v>4</v>
      </c>
      <c r="E180" s="3" t="s">
        <v>4</v>
      </c>
      <c r="F180" s="6"/>
      <c r="G180" s="3" t="s">
        <v>4</v>
      </c>
      <c r="H180" s="64">
        <f t="shared" si="23"/>
        <v>50000</v>
      </c>
      <c r="I180" s="72"/>
    </row>
    <row r="181" spans="1:9" ht="16.5" customHeight="1">
      <c r="A181" s="8" t="s">
        <v>95</v>
      </c>
      <c r="B181" s="2">
        <v>125000</v>
      </c>
      <c r="C181" s="28">
        <v>125000</v>
      </c>
      <c r="D181" s="3" t="s">
        <v>4</v>
      </c>
      <c r="E181" s="3" t="s">
        <v>4</v>
      </c>
      <c r="F181" s="6"/>
      <c r="G181" s="3" t="s">
        <v>4</v>
      </c>
      <c r="H181" s="64">
        <f t="shared" si="23"/>
        <v>125000</v>
      </c>
      <c r="I181" s="72"/>
    </row>
    <row r="182" spans="1:9" ht="16.5" customHeight="1">
      <c r="A182" s="8" t="s">
        <v>96</v>
      </c>
      <c r="B182" s="2">
        <v>80000</v>
      </c>
      <c r="C182" s="58">
        <v>0</v>
      </c>
      <c r="D182" s="3" t="s">
        <v>4</v>
      </c>
      <c r="E182" s="3" t="s">
        <v>4</v>
      </c>
      <c r="F182" s="6"/>
      <c r="G182" s="3" t="s">
        <v>4</v>
      </c>
      <c r="H182" s="64">
        <f t="shared" si="23"/>
        <v>0</v>
      </c>
      <c r="I182" s="72"/>
    </row>
    <row r="183" spans="1:9" ht="16.5" customHeight="1">
      <c r="A183" s="8" t="s">
        <v>97</v>
      </c>
      <c r="B183" s="2">
        <v>33000</v>
      </c>
      <c r="C183" s="58">
        <v>0</v>
      </c>
      <c r="D183" s="3" t="s">
        <v>4</v>
      </c>
      <c r="E183" s="3" t="s">
        <v>4</v>
      </c>
      <c r="F183" s="6"/>
      <c r="G183" s="3" t="s">
        <v>4</v>
      </c>
      <c r="H183" s="64">
        <f t="shared" si="23"/>
        <v>0</v>
      </c>
      <c r="I183" s="72"/>
    </row>
    <row r="184" spans="1:9" s="26" customFormat="1" ht="17.25" customHeight="1">
      <c r="A184" s="17" t="s">
        <v>98</v>
      </c>
      <c r="B184" s="29">
        <f>SUM(B177:B183)</f>
        <v>445766</v>
      </c>
      <c r="C184" s="59">
        <f>SUM(C177:C183)</f>
        <v>320766</v>
      </c>
      <c r="D184" s="54">
        <f>SUM(D177:D183)</f>
        <v>95750</v>
      </c>
      <c r="E184" s="45">
        <f>+D184/C184*100</f>
        <v>29.850420555794564</v>
      </c>
      <c r="F184" s="54">
        <f>SUM(F177:F183)</f>
        <v>0</v>
      </c>
      <c r="G184" s="41">
        <f>+F184/C184*100</f>
        <v>0</v>
      </c>
      <c r="H184" s="54">
        <f>SUM(H177:H183)</f>
        <v>320766</v>
      </c>
      <c r="I184" s="74"/>
    </row>
    <row r="185" spans="1:9" s="26" customFormat="1" ht="27" customHeight="1">
      <c r="A185" s="17" t="s">
        <v>110</v>
      </c>
      <c r="B185" s="35">
        <f>+B22+B50+B54+B73+B84+B90+B105+B120+B128+B134+B175+B184</f>
        <v>5661040</v>
      </c>
      <c r="C185" s="87">
        <f>+C22+C50+C54+C73+C84+C90+C105+C120+C128+C134+C175+C184</f>
        <v>5798298</v>
      </c>
      <c r="D185" s="35">
        <f>+D22+D50+D54+D73+D84+D90+D105+D120+D128+D134+D175+D184</f>
        <v>4760950</v>
      </c>
      <c r="E185" s="48">
        <f>+D185/C185*100</f>
        <v>82.1094397010985</v>
      </c>
      <c r="F185" s="88">
        <f>+F22+F50+F54+F73+F84+F90+F105+F120+F128+F134+F175+F184</f>
        <v>3869098</v>
      </c>
      <c r="G185" s="49">
        <f>+F185/C185*100</f>
        <v>66.72816747259282</v>
      </c>
      <c r="H185" s="29">
        <f>+H22+H50+H54+H73+H84+H90+H105+H120+H128+H134+H175+H184</f>
        <v>1929200</v>
      </c>
      <c r="I185" s="74"/>
    </row>
  </sheetData>
  <mergeCells count="2">
    <mergeCell ref="F1:G1"/>
    <mergeCell ref="D1:E1"/>
  </mergeCells>
  <printOptions horizontalCentered="1"/>
  <pageMargins left="0.5905511811023623" right="0.2362204724409449" top="0.8267716535433072" bottom="0.4330708661417323" header="0.4330708661417323" footer="0.2362204724409449"/>
  <pageSetup blackAndWhite="1" horizontalDpi="300" verticalDpi="300" orientation="landscape" paperSize="9" scale="85" r:id="rId1"/>
  <headerFooter alignWithMargins="0">
    <oddHeader>&amp;C&amp;"Arial CE,Félkövér"&amp;14FELHALMOZÁSI KIADÁSOK&amp;R9.sz. táblázat
&amp;9ezer Ft-ban</oddHeader>
    <oddFooter>&amp;L&amp;8Kaposvár, Nyomt: &amp;D  &amp;T&amp;C&amp;8 &amp;F &amp;A     &amp;"Arial CE,Félkövér"  &amp;"Arial CE,Félkövér dőlt"Szabó Tiborné&amp;R&amp;8&amp;P/&amp;N</oddFooter>
  </headerFooter>
  <rowBreaks count="6" manualBreakCount="6">
    <brk id="22" max="255" man="1"/>
    <brk id="50" max="255" man="1"/>
    <brk id="78" max="255" man="1"/>
    <brk id="105" max="255" man="1"/>
    <brk id="134" max="255" man="1"/>
    <brk id="1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KMV Polgármesteri Hivatal</dc:creator>
  <cp:keywords/>
  <dc:description/>
  <cp:lastModifiedBy>KMV Polgármesteri Hivatal</cp:lastModifiedBy>
  <cp:lastPrinted>2004-03-10T11:56:53Z</cp:lastPrinted>
  <dcterms:created xsi:type="dcterms:W3CDTF">2003-04-01T13:59:10Z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