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elhalm kiad 9 mell " sheetId="1" r:id="rId1"/>
    <sheet name="Tám pály 4 kimutatás" sheetId="2" r:id="rId2"/>
    <sheet name="Források" sheetId="3" r:id="rId3"/>
  </sheets>
  <definedNames>
    <definedName name="_xlnm.Print_Titles" localSheetId="0">'Felhalm kiad 9 mell '!$1:$2</definedName>
    <definedName name="_xlnm.Print_Titles" localSheetId="2">'Források'!$1:$1</definedName>
    <definedName name="_xlnm.Print_Titles" localSheetId="1">'Tám pály 4 kimutatás'!$1:$4</definedName>
    <definedName name="_xlnm.Print_Area" localSheetId="0">'Felhalm kiad 9 mell '!$A$1:$I$152</definedName>
    <definedName name="_xlnm.Print_Area" localSheetId="2">'Források'!$A$1:$M$41</definedName>
    <definedName name="_xlnm.Print_Area" localSheetId="1">'Tám pály 4 kimutatás'!$A$1:$L$42</definedName>
  </definedNames>
  <calcPr fullCalcOnLoad="1"/>
</workbook>
</file>

<file path=xl/sharedStrings.xml><?xml version="1.0" encoding="utf-8"?>
<sst xmlns="http://schemas.openxmlformats.org/spreadsheetml/2006/main" count="886" uniqueCount="295">
  <si>
    <t>Felhalmozási kiadások</t>
  </si>
  <si>
    <t>Megnevezés</t>
  </si>
  <si>
    <t>Összesen</t>
  </si>
  <si>
    <t>2003.dec.31-ig várható teljesítés</t>
  </si>
  <si>
    <t>2004. évi  terv összesen</t>
  </si>
  <si>
    <t>Ebből önkorm. forrás</t>
  </si>
  <si>
    <t xml:space="preserve">2005. évi számítás </t>
  </si>
  <si>
    <t>2006. évi számítás</t>
  </si>
  <si>
    <t>2007. évi számítás</t>
  </si>
  <si>
    <t>Megjegyzés</t>
  </si>
  <si>
    <t>Áthúzódó kiadások</t>
  </si>
  <si>
    <t>Közlekedés</t>
  </si>
  <si>
    <t>Taszári repülőtér polgári terminál építése I ütem</t>
  </si>
  <si>
    <t xml:space="preserve"> - </t>
  </si>
  <si>
    <t>Tám.10.790+1.806=12.596 eft</t>
  </si>
  <si>
    <t xml:space="preserve">Taszári repülőtér polgári terminál építése II. ütem </t>
  </si>
  <si>
    <t>Tám.85.980+26.144+4.073=116.197eft</t>
  </si>
  <si>
    <t>Lórántffy Zs.u. és Rét u. közötti lépcső átépítés és rekonstrukció</t>
  </si>
  <si>
    <t>Áthúzódó kiadás 4.532 többletigény 1.468 eft</t>
  </si>
  <si>
    <t>Földút és járdaépítési program</t>
  </si>
  <si>
    <t>garanciális visszatartás</t>
  </si>
  <si>
    <t>Buszvárók telepítése</t>
  </si>
  <si>
    <t>Kanizsai u.- Malom tó között gyalogút építése</t>
  </si>
  <si>
    <t>Kossuth tér üzemeltetők által nem vállalt közmű-kiváltásai</t>
  </si>
  <si>
    <t>Kecelhegyi bérlakások kapcs. út terv. és eng.</t>
  </si>
  <si>
    <t>Közlekedés összesen</t>
  </si>
  <si>
    <t>Vízgazdálkodás</t>
  </si>
  <si>
    <t>céltám.112+4.323+ VICE 4.188               +KAC11.266+áfa10.714eft</t>
  </si>
  <si>
    <t>Szennyvízcsatornázások műszaki ellenőrzése</t>
  </si>
  <si>
    <t>céltám.174+VICE 64+KAC168+ áfa 145 eft</t>
  </si>
  <si>
    <t>NA 600-as ivóvízvezeték bonyolítási díja</t>
  </si>
  <si>
    <t>Szennyvízcsat. Kvár és térsége II.üt.              céltámogatási pályázat.előkészítése</t>
  </si>
  <si>
    <t xml:space="preserve">Házi kisátemelők </t>
  </si>
  <si>
    <t>Koppány vezér u csapadékvíz elvez. terv</t>
  </si>
  <si>
    <t xml:space="preserve">Ivánfahegyalja vízvezeték építése </t>
  </si>
  <si>
    <t>Kanizsai u és egyéb csatornázatlan utcák szennyvízcsat.tervezése</t>
  </si>
  <si>
    <t>Ammóniamentesítés megvalósíthatósági tanulmány</t>
  </si>
  <si>
    <t>Vízgazdálkodás összesen</t>
  </si>
  <si>
    <t>Városgazdálkodás</t>
  </si>
  <si>
    <t>Vásárcsarnok eng.terv és piac tömb szab.terv</t>
  </si>
  <si>
    <t>Nyugati temető utak és vízvételi hely építése</t>
  </si>
  <si>
    <t>Kaposfüredi temető parkoló építése</t>
  </si>
  <si>
    <t>Városi hulladéklerakó, komposztáló telep gépi berendezések</t>
  </si>
  <si>
    <t>2003-ban elnyert és kiutalt 14.700 eft kp.tám.+ átvett pénzeszköz 6.300 KVG + 5.250 áfa</t>
  </si>
  <si>
    <t>Hősök temetője II. ütem</t>
  </si>
  <si>
    <t>2003-ban elnyert és kiutalt 500 eft kp.tám.</t>
  </si>
  <si>
    <t xml:space="preserve">Településszerkezeti terv </t>
  </si>
  <si>
    <t>CÉDE tám. 9.666eft</t>
  </si>
  <si>
    <t>Füredi II. laktanya út és teljes körő közmű hálózat ép.eng.tervdok.</t>
  </si>
  <si>
    <t>Városgazdálkodás összesen</t>
  </si>
  <si>
    <t xml:space="preserve"> Oktatás </t>
  </si>
  <si>
    <t>Kaposszentjakabi Óvoda bővítése</t>
  </si>
  <si>
    <t>450 fh.-es kollégium építése</t>
  </si>
  <si>
    <t>Szántó utcai óvoda bővítése</t>
  </si>
  <si>
    <t>Áthúzódó kiadás 3.311eft, tornaszoba kialakítása többletigény 1.189 eft</t>
  </si>
  <si>
    <t xml:space="preserve"> Oktatás összesen</t>
  </si>
  <si>
    <t>Egészségügy</t>
  </si>
  <si>
    <t>Terhesgondozó új helyen történő elhelyezésének tervezése</t>
  </si>
  <si>
    <t>Óvodai és Eü.kp.áthely. 48-as Ifjúság u 67. alá</t>
  </si>
  <si>
    <t>Búzavirág u. orvosi rendelő önálló hőfogadó kialakítás anyag</t>
  </si>
  <si>
    <t>Egészségügy összesen</t>
  </si>
  <si>
    <t xml:space="preserve"> Sport   </t>
  </si>
  <si>
    <t>Rákóczi pálya rekonstrukciója I-II. ütem</t>
  </si>
  <si>
    <t>Tám. 17.813eft +  áfa megtérülés 6.846eft</t>
  </si>
  <si>
    <t xml:space="preserve">Rákóczi Stadion rekonstrukció  III ütem </t>
  </si>
  <si>
    <t>Tám. 78.660eft + áfa megtérülés 29.498eft,</t>
  </si>
  <si>
    <t xml:space="preserve">Rákóczi pálya rekonstrukció,  első besz. </t>
  </si>
  <si>
    <t>Rákóczi pálya rek. megelőlegezett 2003.évi ÁFA visszafizetése</t>
  </si>
  <si>
    <t>Városi Fürdő rekonstrukció I.ütem terv és kivitelezés</t>
  </si>
  <si>
    <t>Tám. 11.335eft</t>
  </si>
  <si>
    <t>Jégcsarnok közműépítés</t>
  </si>
  <si>
    <t xml:space="preserve"> Sport összesen</t>
  </si>
  <si>
    <t xml:space="preserve"> Közigazgatás  </t>
  </si>
  <si>
    <t>Pm Hivatal informatikai fejlesztése 2003.</t>
  </si>
  <si>
    <t>Városháza Teleki u-i iskolaép.bőv.tervpályázat</t>
  </si>
  <si>
    <t>Info.társadalom igényorientált inf.eszk.és rendszerei saját forrás és előleg</t>
  </si>
  <si>
    <t>Tám: 22.182 eft</t>
  </si>
  <si>
    <t>2 db robogó beszerz.Közter. Felügyelet részére</t>
  </si>
  <si>
    <t>Polgármesteri Hivatal gépkocsi csere</t>
  </si>
  <si>
    <t xml:space="preserve"> Közigazgatás összesen  </t>
  </si>
  <si>
    <t xml:space="preserve"> Lakásgazdálkodás </t>
  </si>
  <si>
    <t>Nyugdíjasház építése</t>
  </si>
  <si>
    <t>Tám. 112 eft</t>
  </si>
  <si>
    <t>Záróegy korr  1267</t>
  </si>
  <si>
    <t>Önk.bérlakásépítés I. Berzsenyi u. 69 db</t>
  </si>
  <si>
    <t>Nádasdi-Csillag u-i. bérlakásépítés 20 db</t>
  </si>
  <si>
    <t xml:space="preserve">Kecel hegyi 72db önk.bérlakás építés </t>
  </si>
  <si>
    <t xml:space="preserve"> Lakásgazdálkodás összesen </t>
  </si>
  <si>
    <t xml:space="preserve">Művelődés, kultúra </t>
  </si>
  <si>
    <t>Szentjakabi Bencés Apátság rekonstrukciója</t>
  </si>
  <si>
    <t>"Gugyuló Jézus" szobor restaurálás és másolat készítés pályázati önerő</t>
  </si>
  <si>
    <t>Tám.440eft + lakossági felajánlás 305eft</t>
  </si>
  <si>
    <t>Művelődés, kultúra összesen</t>
  </si>
  <si>
    <t>Egyéb nem beruházási kiadások</t>
  </si>
  <si>
    <t>Helyi tám. lakásép, vás, első lakás 2003.</t>
  </si>
  <si>
    <t xml:space="preserve">Munkáltatói kölcsönalap 2003.       </t>
  </si>
  <si>
    <t>Kaposvár hosszútávú településfejlesztési koncepciójának kidolgozása</t>
  </si>
  <si>
    <t>Pályázatok előkészítése, tervezési feladatok</t>
  </si>
  <si>
    <t>Közintézmények akadálymentesítése PHARE pályázathoz tervek készítése</t>
  </si>
  <si>
    <t>III. ipari park szabályozási terv</t>
  </si>
  <si>
    <t>Helyi védett épületek felújítása</t>
  </si>
  <si>
    <t>Egyéb nem beruh.kiad. összesen</t>
  </si>
  <si>
    <t>Áthúzódó összesen</t>
  </si>
  <si>
    <t xml:space="preserve"> SZERZŐDÖTT FELADATOK</t>
  </si>
  <si>
    <t>Széchenyi SZKI tanétterem és tanszálló</t>
  </si>
  <si>
    <t>99/2001.(IV.26.) önk hat.                                                               tám 1.091.969eft</t>
  </si>
  <si>
    <t>DÉDÁSZ ingatlan vásárlás</t>
  </si>
  <si>
    <t xml:space="preserve">273/2002.(IX.12.) önk.hat. 2007.lejár </t>
  </si>
  <si>
    <t xml:space="preserve">Kaposkábel Kft üzletrész megvásárlása </t>
  </si>
  <si>
    <t>557/2000.(XII.14.) önk.hat.  2005.lejár</t>
  </si>
  <si>
    <t>Füredi Holding  társaságnak Füredi sertéstelep felszámolása miatt fizetendő kártérítés</t>
  </si>
  <si>
    <t>487/1999.(XI.18.) önk.hat. 2005.lejár</t>
  </si>
  <si>
    <t xml:space="preserve"> Szerződött feladatok összesen:</t>
  </si>
  <si>
    <t xml:space="preserve"> KÖTELEZETTSÉGVÁLLALÁSOK</t>
  </si>
  <si>
    <t xml:space="preserve"> Kötelezettségvállalások összesen:</t>
  </si>
  <si>
    <t xml:space="preserve"> ÚJ INDULÓ FELADATOK</t>
  </si>
  <si>
    <t>Buszvárók telepítése  7db</t>
  </si>
  <si>
    <t>Finomságok Kft-nél buszforduló   kialakítása  önerő</t>
  </si>
  <si>
    <t>Finomságok Kft és Purina Rt támogatásával (5.500eft)</t>
  </si>
  <si>
    <t>Szennyvízcsat. Sz.jakab és egyéb utcák                        céltám.pályázathoz önerő</t>
  </si>
  <si>
    <t>Teljes bekerülési érték 501.588 eft                                                               40 % céltám.</t>
  </si>
  <si>
    <t>Szennyvízcsat.Töröcske városrész                                          céltám.pályázathoz önerő</t>
  </si>
  <si>
    <t>Teljes bekerülési érték 144.204 eft                                                               50 % céltám.</t>
  </si>
  <si>
    <t>Ammónia-mentesítés eng.tervei</t>
  </si>
  <si>
    <t>Toponári víztoronynál védterület megvásárlása</t>
  </si>
  <si>
    <t>Csapadékvíz elvezetés és vízrendezési feladatok</t>
  </si>
  <si>
    <t>Cseri úton 3 db rácsos áteresz építése</t>
  </si>
  <si>
    <t>Szegfű u.59. csapadékvíz elvezetési terv és építés</t>
  </si>
  <si>
    <t xml:space="preserve">Cseri út É-i oldal csapadékvíz elvezetési terv </t>
  </si>
  <si>
    <t xml:space="preserve">Baross G. u.csapadékvíz elvezetési terv </t>
  </si>
  <si>
    <t>Közvilágítás</t>
  </si>
  <si>
    <t>Kisebb közvilágítási fejlesztések</t>
  </si>
  <si>
    <t>Füredi II laktanya körny.véd.kármentesítése</t>
  </si>
  <si>
    <t>Tám.13.616eft</t>
  </si>
  <si>
    <t>Keleti temető: parkoló bővítése</t>
  </si>
  <si>
    <t>Nyugati temető: parcella kialakításhoz infrastruktúra kiépítése</t>
  </si>
  <si>
    <t>Vásárcsarnok bővítéshez terület biztosítása   I.ütem Baross G. u. 11.</t>
  </si>
  <si>
    <t>Kisajátítás és murvázott parkoló kialakítása</t>
  </si>
  <si>
    <t>Városi hulladéklerakó környezetvéd. előírt kötelezettségek teljesítése</t>
  </si>
  <si>
    <t>Rekultivációs terv, víz-szivattyú csere, csapvíz-elvezető rendszer</t>
  </si>
  <si>
    <t>Németh István fasor és térsége zöldterület rekonstrukció</t>
  </si>
  <si>
    <t>Tám. 5.000 eft</t>
  </si>
  <si>
    <t>Tűzoltóság részére vízszállító gépjármű beszerzés önerő biztosítása</t>
  </si>
  <si>
    <t>Tűzoltóság részére tűzoltó fecskendő beszerzés önerő biztosítása</t>
  </si>
  <si>
    <t>Átvett pénzeszköz 12.000 eft</t>
  </si>
  <si>
    <t>Töröcskei feluház díszkút kialakítása</t>
  </si>
  <si>
    <t>DRV Rt-től térítésmentesen átvett kerítés áthelyezése</t>
  </si>
  <si>
    <t>Vagyonvédelmi berendezések</t>
  </si>
  <si>
    <t>Kinizsi Élelmiszeripari SZKI áthely.                                             volt Baross Koll. épületébe  saját erő</t>
  </si>
  <si>
    <t>223/2003.(IX.18.) önk.hat.                                                              Bruttó beruh.2.061.900eFt,tám.1.911.900eFt</t>
  </si>
  <si>
    <t>Kaposfüredi Ált.iskola tornaterem építése önerő</t>
  </si>
  <si>
    <t>Teljes bekerülési érték 75.000eft, pályázandó CÉDE támogatás 32.250 eft, egyéni felajánlás 10.000 eft,</t>
  </si>
  <si>
    <t>Orvosi rendelők kialakítása terv                             Pécsi u. 97/b    Húskombinát</t>
  </si>
  <si>
    <t>4 rendelő teljes bekerülési költsége 91.200 eft, 20.000eft átvett pénzeszközzel, központi támogatás elnyerése esetén önerő nélkül indítható beruházás</t>
  </si>
  <si>
    <t>30 db önkormányzati bérlakás építése                     Fő u. 84.       Önerő (30%)</t>
  </si>
  <si>
    <t>Központi pályázat függvénye, teljes bekerülési érték 236.808 eft, tám. 165.766 eft</t>
  </si>
  <si>
    <t>Bors István kisplasztikák kiöntése</t>
  </si>
  <si>
    <t>Egyéb fejlesztési célu kiadások</t>
  </si>
  <si>
    <t>Helyi támogatás: lakásép. vás.</t>
  </si>
  <si>
    <t>Lakásmobilitás</t>
  </si>
  <si>
    <t>Közműhozzájárulás</t>
  </si>
  <si>
    <t>Egyéb kisebb kiadások</t>
  </si>
  <si>
    <t xml:space="preserve">Munkáltatói kölcsönalap </t>
  </si>
  <si>
    <t>Engedélyezési és használatbavételi eng.eljárási díjak</t>
  </si>
  <si>
    <t>Kaposvár szabályozási tervének elkészíttetése</t>
  </si>
  <si>
    <t>III. ipari park művelési ágból kivonása</t>
  </si>
  <si>
    <t>Izzó u. iparterületművelési ágból kivonása</t>
  </si>
  <si>
    <t>Továbbszámlázott szolgáltatás 2.469eft</t>
  </si>
  <si>
    <t>Kaposvár Kisgáti városrész II. ütem rendezési terv módosítás</t>
  </si>
  <si>
    <t>Pénzeszköz átvétel 100 eft</t>
  </si>
  <si>
    <t>Kaposfüred ÉNY-i lakóterület rendezési terv mód.</t>
  </si>
  <si>
    <t>Pénzeszköz átvétel 1.875 eft</t>
  </si>
  <si>
    <t xml:space="preserve"> Új induló feladatok összesen:</t>
  </si>
  <si>
    <t>Felhalmozási kiadások összesen:</t>
  </si>
  <si>
    <t xml:space="preserve"> KOMPENZÁCIÓS ÜGYLETEK</t>
  </si>
  <si>
    <t>Ady E.u.D-i tömb  közmű beruházás</t>
  </si>
  <si>
    <t>Ady E.u.D-i tömb  ingatlanvásárlás</t>
  </si>
  <si>
    <t>Kisgát É-i oldal közműberuházás                                                   ( BITT Kft. )</t>
  </si>
  <si>
    <t>Kisgát É-i oldal lakóterület közműberuházás</t>
  </si>
  <si>
    <t xml:space="preserve"> Kompenzációs ügyek összesen:</t>
  </si>
  <si>
    <r>
      <t xml:space="preserve">Szennyvízcsat.építés, bony. </t>
    </r>
    <r>
      <rPr>
        <b/>
        <sz val="10"/>
        <color indexed="8"/>
        <rFont val="Arial CE"/>
        <family val="2"/>
      </rPr>
      <t>2003</t>
    </r>
    <r>
      <rPr>
        <sz val="10"/>
        <color indexed="8"/>
        <rFont val="Arial CE"/>
        <family val="2"/>
      </rPr>
      <t>.</t>
    </r>
  </si>
  <si>
    <r>
      <t xml:space="preserve">Ideiglenes parkoló építése                             </t>
    </r>
    <r>
      <rPr>
        <sz val="9"/>
        <rFont val="Arial CE"/>
        <family val="2"/>
      </rPr>
      <t xml:space="preserve"> Teleki u. 12-14.mögött</t>
    </r>
  </si>
  <si>
    <t>A támogatás</t>
  </si>
  <si>
    <t>2003. évi</t>
  </si>
  <si>
    <t>2004. évi</t>
  </si>
  <si>
    <t>2005. évi</t>
  </si>
  <si>
    <t>mértéke</t>
  </si>
  <si>
    <t>jóváhagyott</t>
  </si>
  <si>
    <t>rendelkezés-</t>
  </si>
  <si>
    <t>tény</t>
  </si>
  <si>
    <t>rendelke-</t>
  </si>
  <si>
    <t>tervezett</t>
  </si>
  <si>
    <t>felhasználá-</t>
  </si>
  <si>
    <t>%-ban</t>
  </si>
  <si>
    <t>illetve</t>
  </si>
  <si>
    <t>re álló</t>
  </si>
  <si>
    <t xml:space="preserve">felhasz- </t>
  </si>
  <si>
    <t>maradvány</t>
  </si>
  <si>
    <t>zésre</t>
  </si>
  <si>
    <t>felhasználás</t>
  </si>
  <si>
    <t>Diff.</t>
  </si>
  <si>
    <t>sának</t>
  </si>
  <si>
    <t>pályázott</t>
  </si>
  <si>
    <t xml:space="preserve"> nálás</t>
  </si>
  <si>
    <t>álló</t>
  </si>
  <si>
    <t>határideje</t>
  </si>
  <si>
    <t>I. Folyamatban lévő támogatások</t>
  </si>
  <si>
    <t>1.) Céltámogatások</t>
  </si>
  <si>
    <r>
      <t>Szennyvízcsat.hálózat ép.  2002-2003.</t>
    </r>
    <r>
      <rPr>
        <b/>
        <sz val="10"/>
        <color indexed="10"/>
        <rFont val="Arial CE"/>
        <family val="2"/>
      </rPr>
      <t xml:space="preserve"> Kaposvár II.ütem</t>
    </r>
  </si>
  <si>
    <t xml:space="preserve"> 2004.12.31.</t>
  </si>
  <si>
    <r>
      <t>Szennyvízcsat.hálózat ép.  2002-2003.</t>
    </r>
    <r>
      <rPr>
        <b/>
        <sz val="10"/>
        <color indexed="10"/>
        <rFont val="Arial CE"/>
        <family val="2"/>
      </rPr>
      <t xml:space="preserve"> Kaposfüred-Toponár</t>
    </r>
  </si>
  <si>
    <t>1.) Összesen</t>
  </si>
  <si>
    <t>2) Címzett támogatás</t>
  </si>
  <si>
    <t>Tanétterem és tanszálloda</t>
  </si>
  <si>
    <t xml:space="preserve"> 2005.12.31.</t>
  </si>
  <si>
    <t>2.) Összesen</t>
  </si>
  <si>
    <t>3.) Vízügyi Alap támogatás    VICE</t>
  </si>
  <si>
    <t xml:space="preserve"> - Szennyvíz csatornázási program</t>
  </si>
  <si>
    <t>2003.12.31</t>
  </si>
  <si>
    <t>3.) Összesen</t>
  </si>
  <si>
    <t>4/a.)  KAC támogatás  központi</t>
  </si>
  <si>
    <t>2004.05.31.</t>
  </si>
  <si>
    <t>4/b.)  KAC támogatás  megyei</t>
  </si>
  <si>
    <t>4.) Összesen</t>
  </si>
  <si>
    <t>5.) Céljellegű decentralizált tám. CÉDE</t>
  </si>
  <si>
    <t xml:space="preserve">Bérlakásép.Berzsenyi u 2/b-2/c  59 db   </t>
  </si>
  <si>
    <t>2004.03.31.</t>
  </si>
  <si>
    <t>Kaposvár fejl.koncepciója és szab. terve</t>
  </si>
  <si>
    <t>Szerz.köt.  folyamatban</t>
  </si>
  <si>
    <t>-Együd Árpád Műv.Központ fűtéskorszerűsítés</t>
  </si>
  <si>
    <t>-Kinizsi ltp útfelújítás Bem u-val szemben</t>
  </si>
  <si>
    <t>-Fő u. felújítása Dózsa Gy. és Hársfa u. között</t>
  </si>
  <si>
    <t>2005.03.31.</t>
  </si>
  <si>
    <t xml:space="preserve"> -Városi Fürdő uszodai medencetér portálcsere</t>
  </si>
  <si>
    <t>2003-12.31.</t>
  </si>
  <si>
    <t>-Madár u Óvoda teljes tetőfelújítása</t>
  </si>
  <si>
    <t>2004.09.30</t>
  </si>
  <si>
    <t>-EÜ.SZKI Tallián Gy.u.épület homlokzatfelújítás</t>
  </si>
  <si>
    <t>5.) Összesen</t>
  </si>
  <si>
    <t>6.) Gazdasági Minisztérium</t>
  </si>
  <si>
    <t>Áll.tám.bérlakás program Kecelhegy 72 lakás</t>
  </si>
  <si>
    <t>2004.</t>
  </si>
  <si>
    <t>Nyugdíjasház</t>
  </si>
  <si>
    <t>Panelfelújítás 1 db   2002.</t>
  </si>
  <si>
    <t>Panelfelújítás 4 db   2003.</t>
  </si>
  <si>
    <t>Panelfelújítás 14 db   2004.</t>
  </si>
  <si>
    <t>6.) Összesen</t>
  </si>
  <si>
    <t>I. Folyamatban lévő támogatások összesen</t>
  </si>
  <si>
    <t>II. Pályázott támogatások</t>
  </si>
  <si>
    <t>(2006.évre)</t>
  </si>
  <si>
    <t>II. Pályázott támogatások összesen</t>
  </si>
  <si>
    <r>
      <t xml:space="preserve"> </t>
    </r>
    <r>
      <rPr>
        <b/>
        <sz val="10"/>
        <color indexed="10"/>
        <rFont val="Arial CE"/>
        <family val="2"/>
      </rPr>
      <t>- Címzett tám:</t>
    </r>
    <r>
      <rPr>
        <sz val="10"/>
        <color indexed="10"/>
        <rFont val="Arial CE"/>
        <family val="2"/>
      </rPr>
      <t xml:space="preserve">                                                       Élelmiszeripari SZKI áthelyezése</t>
    </r>
  </si>
  <si>
    <t>MEGNEVEZÉS</t>
  </si>
  <si>
    <t>2004.évi ráfordítás</t>
  </si>
  <si>
    <t>Saját forrás</t>
  </si>
  <si>
    <t>Címzett támogatás</t>
  </si>
  <si>
    <t>Cél-támogatás</t>
  </si>
  <si>
    <t>Céljellegű decent.</t>
  </si>
  <si>
    <t>Körny.véd  Alap Célelőir. közp.</t>
  </si>
  <si>
    <t>Körny.véd  Alap Célelőir. megyei</t>
  </si>
  <si>
    <t>Vízügyi Célelőir.</t>
  </si>
  <si>
    <t>Gazd. Min.</t>
  </si>
  <si>
    <t>Egyéb</t>
  </si>
  <si>
    <t>ÁFA megtérülés</t>
  </si>
  <si>
    <t>Támogatás összesen</t>
  </si>
  <si>
    <t>Széchenyi SZKI tanétterem-tanszálló 97,38  %</t>
  </si>
  <si>
    <t>Szennyvízcsat.építés                              724/2002, 53570/2003 évi áth</t>
  </si>
  <si>
    <t>-</t>
  </si>
  <si>
    <t>Bérlakásép. Berzsenyi u 2/b-2/c  59 db +++++</t>
  </si>
  <si>
    <t>Füredi II laktanya környezetvédelmi kármentesítése</t>
  </si>
  <si>
    <t>Kecel hegyi 72db önk. bérlakásép.  +++++</t>
  </si>
  <si>
    <t>Szennyvíziszap tároló építése</t>
  </si>
  <si>
    <t>Atlétikai Pálya     +++++                       GYISM</t>
  </si>
  <si>
    <t>Taszári repülőtér polgári terminál építése II. ütem +++++</t>
  </si>
  <si>
    <t>Városi Fürdő rekonstrukció I.ütem tervezés</t>
  </si>
  <si>
    <t xml:space="preserve">Városi hulladéklerakó, komposztáló telep gépi berendezések      </t>
  </si>
  <si>
    <t>Városi hulladéklerakó, komposztáló telep gépi berendezések       *****</t>
  </si>
  <si>
    <t xml:space="preserve">  /14.700/</t>
  </si>
  <si>
    <t>Hősök temetője II. ütem    *****</t>
  </si>
  <si>
    <t xml:space="preserve">  / 500 /</t>
  </si>
  <si>
    <t xml:space="preserve">Rákóczi Stadion rekonstrukció I-II ütem </t>
  </si>
  <si>
    <t>G.Jézus szobor restaurálása és másolása</t>
  </si>
  <si>
    <t>G.Jézus szobor restaurálása és másolása  *****</t>
  </si>
  <si>
    <t xml:space="preserve">  / 305 /</t>
  </si>
  <si>
    <t>Kvár Kisgáti városrész II. ütem rendezési terv mód.</t>
  </si>
  <si>
    <t>/ 1.875 /</t>
  </si>
  <si>
    <t>Közműfejleszési hozzájárulás    15%</t>
  </si>
  <si>
    <t>BERUHÁZÁSI TÁMOGATÁS ÖSSZESEN</t>
  </si>
  <si>
    <t>Együd Árpád Műv.Központ fűtéskorszerűsítés</t>
  </si>
  <si>
    <t>Kinizsi ltp útfelújítás Bem u-val szemben</t>
  </si>
  <si>
    <t>Fő u. felújítása Dózsa Gy. és Hársfa u. között</t>
  </si>
  <si>
    <t>Városi Fürdő uszodai medencetér portálcsere</t>
  </si>
  <si>
    <t>FELÚJÍTÁSI TÁMOGATÁS ÖSSZESEN</t>
  </si>
  <si>
    <t>TÁMOGATÁSOK ÖSSZESEN</t>
  </si>
  <si>
    <r>
      <t xml:space="preserve">Megjegyzés: </t>
    </r>
    <r>
      <rPr>
        <b/>
        <sz val="11"/>
        <color indexed="8"/>
        <rFont val="Arial CE"/>
        <family val="2"/>
      </rPr>
      <t>Zárójeles, dőlt:</t>
    </r>
    <r>
      <rPr>
        <sz val="11"/>
        <color indexed="8"/>
        <rFont val="Arial CE"/>
        <family val="2"/>
      </rPr>
      <t xml:space="preserve"> 2003. évben átvett pénzeszköz                       </t>
    </r>
    <r>
      <rPr>
        <b/>
        <sz val="11"/>
        <color indexed="8"/>
        <rFont val="Arial CE"/>
        <family val="2"/>
      </rPr>
      <t>vastagon szedett</t>
    </r>
    <r>
      <rPr>
        <sz val="11"/>
        <color indexed="8"/>
        <rFont val="Arial CE"/>
        <family val="2"/>
      </rPr>
      <t xml:space="preserve">: 2004.évben befolyó támogatás </t>
    </r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</si>
</sst>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,###"/>
    <numFmt numFmtId="165" formatCode="###,###"/>
    <numFmt numFmtId="166" formatCode="###,###,###"/>
    <numFmt numFmtId="167" formatCode="0;[Red]0"/>
    <numFmt numFmtId="168" formatCode="#,##0.0"/>
    <numFmt numFmtId="169" formatCode="#,##0.000"/>
    <numFmt numFmtId="170" formatCode="\+#,##0;\-#,##0"/>
    <numFmt numFmtId="171" formatCode="#,##0.0000"/>
    <numFmt numFmtId="172" formatCode="\+#,##0.0;\-#,##0.0"/>
    <numFmt numFmtId="173" formatCode="0.0%"/>
    <numFmt numFmtId="174" formatCode="0.000%"/>
    <numFmt numFmtId="175" formatCode="#,###,###.0"/>
    <numFmt numFmtId="176" formatCode="#,###,###.00"/>
    <numFmt numFmtId="177" formatCode="#,###,###.000"/>
    <numFmt numFmtId="178" formatCode="&quot;H-&quot;0000"/>
    <numFmt numFmtId="179" formatCode="0.0"/>
  </numFmts>
  <fonts count="51">
    <font>
      <sz val="10"/>
      <name val="Arial CE"/>
      <family val="0"/>
    </font>
    <font>
      <sz val="10"/>
      <name val="Times New Roman CE"/>
      <family val="0"/>
    </font>
    <font>
      <b/>
      <i/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color indexed="8"/>
      <name val="Arial CE"/>
      <family val="2"/>
    </font>
    <font>
      <b/>
      <sz val="9"/>
      <color indexed="8"/>
      <name val="Arial CE"/>
      <family val="2"/>
    </font>
    <font>
      <b/>
      <sz val="9"/>
      <color indexed="12"/>
      <name val="Arial CE"/>
      <family val="2"/>
    </font>
    <font>
      <b/>
      <i/>
      <sz val="9"/>
      <color indexed="8"/>
      <name val="Arial CE"/>
      <family val="2"/>
    </font>
    <font>
      <b/>
      <sz val="10"/>
      <color indexed="8"/>
      <name val="Arial CE"/>
      <family val="2"/>
    </font>
    <font>
      <b/>
      <sz val="8"/>
      <color indexed="8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b/>
      <sz val="10"/>
      <color indexed="10"/>
      <name val="Arial CE"/>
      <family val="2"/>
    </font>
    <font>
      <b/>
      <i/>
      <sz val="10"/>
      <color indexed="10"/>
      <name val="Arial CE"/>
      <family val="2"/>
    </font>
    <font>
      <sz val="11"/>
      <color indexed="12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9"/>
      <color indexed="8"/>
      <name val="Arial CE"/>
      <family val="2"/>
    </font>
    <font>
      <sz val="12"/>
      <color indexed="12"/>
      <name val="Arial CE"/>
      <family val="2"/>
    </font>
    <font>
      <i/>
      <sz val="10"/>
      <color indexed="8"/>
      <name val="Arial CE"/>
      <family val="2"/>
    </font>
    <font>
      <sz val="10"/>
      <color indexed="10"/>
      <name val="Arial CE"/>
      <family val="2"/>
    </font>
    <font>
      <i/>
      <sz val="10"/>
      <color indexed="10"/>
      <name val="Arial CE"/>
      <family val="2"/>
    </font>
    <font>
      <b/>
      <sz val="12"/>
      <color indexed="12"/>
      <name val="Arial CE"/>
      <family val="2"/>
    </font>
    <font>
      <b/>
      <i/>
      <sz val="12"/>
      <color indexed="12"/>
      <name val="Arial CE"/>
      <family val="2"/>
    </font>
    <font>
      <sz val="11"/>
      <name val="Arial CE"/>
      <family val="2"/>
    </font>
    <font>
      <i/>
      <sz val="11"/>
      <name val="Arial CE"/>
      <family val="2"/>
    </font>
    <font>
      <sz val="11"/>
      <color indexed="8"/>
      <name val="Arial CE"/>
      <family val="2"/>
    </font>
    <font>
      <sz val="9"/>
      <color indexed="10"/>
      <name val="Arial CE"/>
      <family val="2"/>
    </font>
    <font>
      <b/>
      <i/>
      <sz val="12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9"/>
      <color indexed="10"/>
      <name val="Arial CE"/>
      <family val="2"/>
    </font>
    <font>
      <b/>
      <i/>
      <sz val="11"/>
      <color indexed="8"/>
      <name val="Arial CE"/>
      <family val="2"/>
    </font>
    <font>
      <b/>
      <i/>
      <sz val="10"/>
      <color indexed="8"/>
      <name val="Arial CE"/>
      <family val="2"/>
    </font>
    <font>
      <b/>
      <sz val="10"/>
      <color indexed="12"/>
      <name val="Arial CE"/>
      <family val="2"/>
    </font>
    <font>
      <b/>
      <sz val="11"/>
      <color indexed="10"/>
      <name val="Arial CE"/>
      <family val="2"/>
    </font>
    <font>
      <sz val="10"/>
      <color indexed="12"/>
      <name val="Arial CE"/>
      <family val="2"/>
    </font>
    <font>
      <b/>
      <sz val="11"/>
      <color indexed="12"/>
      <name val="Arial CE"/>
      <family val="2"/>
    </font>
    <font>
      <sz val="11"/>
      <color indexed="10"/>
      <name val="Arial CE"/>
      <family val="2"/>
    </font>
    <font>
      <sz val="8"/>
      <color indexed="8"/>
      <name val="Arial CE"/>
      <family val="2"/>
    </font>
    <font>
      <i/>
      <sz val="10"/>
      <color indexed="14"/>
      <name val="Arial CE"/>
      <family val="2"/>
    </font>
    <font>
      <sz val="9"/>
      <color indexed="12"/>
      <name val="Arial CE"/>
      <family val="2"/>
    </font>
    <font>
      <sz val="12"/>
      <color indexed="8"/>
      <name val="Arial CE"/>
      <family val="2"/>
    </font>
    <font>
      <b/>
      <sz val="12"/>
      <color indexed="10"/>
      <name val="Arial CE"/>
      <family val="2"/>
    </font>
    <font>
      <b/>
      <i/>
      <sz val="12"/>
      <color indexed="8"/>
      <name val="Arial CE"/>
      <family val="2"/>
    </font>
    <font>
      <i/>
      <sz val="12"/>
      <name val="Arial CE"/>
      <family val="2"/>
    </font>
    <font>
      <i/>
      <sz val="11"/>
      <color indexed="8"/>
      <name val="Arial CE"/>
      <family val="2"/>
    </font>
    <font>
      <b/>
      <sz val="11"/>
      <color indexed="14"/>
      <name val="Arial CE"/>
      <family val="2"/>
    </font>
    <font>
      <b/>
      <sz val="12"/>
      <color indexed="14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2" fillId="2" borderId="0" xfId="0" applyFont="1" applyFill="1" applyBorder="1" applyAlignment="1">
      <alignment horizont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3" fontId="3" fillId="2" borderId="0" xfId="0" applyNumberFormat="1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wrapText="1"/>
    </xf>
    <xf numFmtId="3" fontId="2" fillId="0" borderId="2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6" fillId="3" borderId="3" xfId="0" applyFont="1" applyFill="1" applyBorder="1" applyAlignment="1">
      <alignment/>
    </xf>
    <xf numFmtId="3" fontId="5" fillId="0" borderId="3" xfId="0" applyNumberFormat="1" applyFont="1" applyFill="1" applyBorder="1" applyAlignment="1">
      <alignment horizontal="center" wrapText="1"/>
    </xf>
    <xf numFmtId="3" fontId="2" fillId="0" borderId="3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/>
    </xf>
    <xf numFmtId="3" fontId="7" fillId="0" borderId="3" xfId="0" applyNumberFormat="1" applyFont="1" applyFill="1" applyBorder="1" applyAlignment="1">
      <alignment horizontal="right" wrapText="1"/>
    </xf>
    <xf numFmtId="3" fontId="8" fillId="0" borderId="3" xfId="0" applyNumberFormat="1" applyFont="1" applyFill="1" applyBorder="1" applyAlignment="1">
      <alignment horizontal="right" wrapText="1"/>
    </xf>
    <xf numFmtId="3" fontId="9" fillId="0" borderId="3" xfId="0" applyNumberFormat="1" applyFont="1" applyFill="1" applyBorder="1" applyAlignment="1">
      <alignment horizontal="right" wrapText="1"/>
    </xf>
    <xf numFmtId="3" fontId="10" fillId="0" borderId="3" xfId="0" applyNumberFormat="1" applyFont="1" applyFill="1" applyBorder="1" applyAlignment="1">
      <alignment horizontal="right" wrapText="1"/>
    </xf>
    <xf numFmtId="0" fontId="11" fillId="0" borderId="3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Alignment="1">
      <alignment wrapText="1"/>
    </xf>
    <xf numFmtId="0" fontId="13" fillId="0" borderId="3" xfId="0" applyFont="1" applyFill="1" applyBorder="1" applyAlignment="1">
      <alignment horizontal="left" wrapText="1"/>
    </xf>
    <xf numFmtId="3" fontId="5" fillId="0" borderId="3" xfId="0" applyNumberFormat="1" applyFont="1" applyFill="1" applyBorder="1" applyAlignment="1">
      <alignment horizontal="right" wrapText="1"/>
    </xf>
    <xf numFmtId="3" fontId="14" fillId="0" borderId="3" xfId="0" applyNumberFormat="1" applyFont="1" applyFill="1" applyBorder="1" applyAlignment="1">
      <alignment horizontal="right" wrapText="1"/>
    </xf>
    <xf numFmtId="3" fontId="15" fillId="0" borderId="3" xfId="0" applyNumberFormat="1" applyFont="1" applyFill="1" applyBorder="1" applyAlignment="1">
      <alignment horizontal="right" wrapText="1"/>
    </xf>
    <xf numFmtId="3" fontId="16" fillId="0" borderId="3" xfId="0" applyNumberFormat="1" applyFont="1" applyFill="1" applyBorder="1" applyAlignment="1">
      <alignment horizontal="right"/>
    </xf>
    <xf numFmtId="0" fontId="17" fillId="0" borderId="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wrapText="1"/>
    </xf>
    <xf numFmtId="3" fontId="2" fillId="0" borderId="3" xfId="0" applyNumberFormat="1" applyFont="1" applyFill="1" applyBorder="1" applyAlignment="1">
      <alignment horizontal="right" wrapText="1"/>
    </xf>
    <xf numFmtId="0" fontId="13" fillId="0" borderId="3" xfId="0" applyFont="1" applyFill="1" applyBorder="1" applyAlignment="1">
      <alignment wrapText="1"/>
    </xf>
    <xf numFmtId="0" fontId="6" fillId="0" borderId="2" xfId="0" applyFont="1" applyFill="1" applyBorder="1" applyAlignment="1">
      <alignment horizontal="right"/>
    </xf>
    <xf numFmtId="3" fontId="18" fillId="0" borderId="2" xfId="0" applyNumberFormat="1" applyFont="1" applyFill="1" applyBorder="1" applyAlignment="1">
      <alignment horizontal="right" wrapText="1"/>
    </xf>
    <xf numFmtId="3" fontId="16" fillId="0" borderId="2" xfId="0" applyNumberFormat="1" applyFont="1" applyFill="1" applyBorder="1" applyAlignment="1">
      <alignment horizontal="right"/>
    </xf>
    <xf numFmtId="0" fontId="17" fillId="0" borderId="2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1" fontId="0" fillId="0" borderId="0" xfId="0" applyNumberFormat="1" applyFill="1" applyBorder="1" applyAlignment="1">
      <alignment horizontal="left" wrapText="1"/>
    </xf>
    <xf numFmtId="0" fontId="13" fillId="0" borderId="3" xfId="0" applyFont="1" applyFill="1" applyBorder="1" applyAlignment="1">
      <alignment/>
    </xf>
    <xf numFmtId="0" fontId="0" fillId="0" borderId="3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3" fontId="18" fillId="0" borderId="3" xfId="0" applyNumberFormat="1" applyFont="1" applyFill="1" applyBorder="1" applyAlignment="1">
      <alignment horizontal="right" wrapText="1"/>
    </xf>
    <xf numFmtId="0" fontId="13" fillId="0" borderId="3" xfId="0" applyFont="1" applyFill="1" applyBorder="1" applyAlignment="1">
      <alignment/>
    </xf>
    <xf numFmtId="164" fontId="13" fillId="0" borderId="3" xfId="0" applyNumberFormat="1" applyFont="1" applyFill="1" applyBorder="1" applyAlignment="1">
      <alignment horizontal="left" wrapText="1"/>
    </xf>
    <xf numFmtId="0" fontId="0" fillId="0" borderId="3" xfId="0" applyFont="1" applyFill="1" applyBorder="1" applyAlignment="1">
      <alignment wrapText="1"/>
    </xf>
    <xf numFmtId="164" fontId="19" fillId="0" borderId="3" xfId="0" applyNumberFormat="1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left" wrapText="1"/>
    </xf>
    <xf numFmtId="3" fontId="4" fillId="3" borderId="2" xfId="0" applyNumberFormat="1" applyFont="1" applyFill="1" applyBorder="1" applyAlignment="1">
      <alignment horizontal="right" wrapText="1"/>
    </xf>
    <xf numFmtId="3" fontId="20" fillId="3" borderId="2" xfId="0" applyNumberFormat="1" applyFont="1" applyFill="1" applyBorder="1" applyAlignment="1">
      <alignment horizontal="right"/>
    </xf>
    <xf numFmtId="0" fontId="4" fillId="3" borderId="2" xfId="0" applyFont="1" applyFill="1" applyBorder="1" applyAlignment="1">
      <alignment horizontal="center" wrapText="1"/>
    </xf>
    <xf numFmtId="0" fontId="0" fillId="0" borderId="5" xfId="0" applyFill="1" applyBorder="1" applyAlignment="1">
      <alignment wrapText="1"/>
    </xf>
    <xf numFmtId="0" fontId="6" fillId="4" borderId="3" xfId="0" applyFont="1" applyFill="1" applyBorder="1" applyAlignment="1">
      <alignment wrapText="1"/>
    </xf>
    <xf numFmtId="3" fontId="13" fillId="0" borderId="3" xfId="0" applyNumberFormat="1" applyFont="1" applyFill="1" applyBorder="1" applyAlignment="1">
      <alignment horizontal="right"/>
    </xf>
    <xf numFmtId="3" fontId="21" fillId="0" borderId="3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3" fontId="22" fillId="0" borderId="3" xfId="0" applyNumberFormat="1" applyFont="1" applyFill="1" applyBorder="1" applyAlignment="1">
      <alignment horizontal="right"/>
    </xf>
    <xf numFmtId="3" fontId="23" fillId="0" borderId="3" xfId="0" applyNumberFormat="1" applyFont="1" applyFill="1" applyBorder="1" applyAlignment="1">
      <alignment horizontal="right"/>
    </xf>
    <xf numFmtId="0" fontId="19" fillId="0" borderId="3" xfId="0" applyFont="1" applyFill="1" applyBorder="1" applyAlignment="1">
      <alignment wrapText="1"/>
    </xf>
    <xf numFmtId="0" fontId="19" fillId="0" borderId="3" xfId="0" applyFont="1" applyFill="1" applyBorder="1" applyAlignment="1">
      <alignment/>
    </xf>
    <xf numFmtId="0" fontId="24" fillId="4" borderId="2" xfId="0" applyFont="1" applyFill="1" applyBorder="1" applyAlignment="1">
      <alignment wrapText="1"/>
    </xf>
    <xf numFmtId="3" fontId="24" fillId="4" borderId="2" xfId="0" applyNumberFormat="1" applyFont="1" applyFill="1" applyBorder="1" applyAlignment="1">
      <alignment horizontal="right"/>
    </xf>
    <xf numFmtId="3" fontId="25" fillId="4" borderId="2" xfId="0" applyNumberFormat="1" applyFont="1" applyFill="1" applyBorder="1" applyAlignment="1">
      <alignment horizontal="right"/>
    </xf>
    <xf numFmtId="0" fontId="24" fillId="4" borderId="2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18" fillId="0" borderId="3" xfId="0" applyFont="1" applyFill="1" applyBorder="1" applyAlignment="1">
      <alignment wrapText="1"/>
    </xf>
    <xf numFmtId="3" fontId="26" fillId="0" borderId="3" xfId="0" applyNumberFormat="1" applyFont="1" applyFill="1" applyBorder="1" applyAlignment="1">
      <alignment horizontal="right"/>
    </xf>
    <xf numFmtId="3" fontId="27" fillId="0" borderId="3" xfId="0" applyNumberFormat="1" applyFont="1" applyFill="1" applyBorder="1" applyAlignment="1">
      <alignment horizontal="right"/>
    </xf>
    <xf numFmtId="0" fontId="0" fillId="0" borderId="3" xfId="0" applyFill="1" applyBorder="1" applyAlignment="1">
      <alignment horizontal="center"/>
    </xf>
    <xf numFmtId="0" fontId="22" fillId="0" borderId="3" xfId="0" applyFont="1" applyFill="1" applyBorder="1" applyAlignment="1">
      <alignment wrapText="1"/>
    </xf>
    <xf numFmtId="3" fontId="28" fillId="0" borderId="3" xfId="0" applyNumberFormat="1" applyFont="1" applyFill="1" applyBorder="1" applyAlignment="1">
      <alignment horizontal="right"/>
    </xf>
    <xf numFmtId="0" fontId="29" fillId="0" borderId="3" xfId="0" applyFont="1" applyFill="1" applyBorder="1" applyAlignment="1">
      <alignment wrapText="1"/>
    </xf>
    <xf numFmtId="0" fontId="18" fillId="4" borderId="2" xfId="0" applyFont="1" applyFill="1" applyBorder="1" applyAlignment="1">
      <alignment wrapText="1"/>
    </xf>
    <xf numFmtId="3" fontId="4" fillId="4" borderId="2" xfId="0" applyNumberFormat="1" applyFont="1" applyFill="1" applyBorder="1" applyAlignment="1">
      <alignment horizontal="right"/>
    </xf>
    <xf numFmtId="3" fontId="30" fillId="4" borderId="2" xfId="0" applyNumberFormat="1" applyFont="1" applyFill="1" applyBorder="1" applyAlignment="1">
      <alignment horizontal="right"/>
    </xf>
    <xf numFmtId="0" fontId="4" fillId="4" borderId="2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4" fillId="5" borderId="3" xfId="0" applyFont="1" applyFill="1" applyBorder="1" applyAlignment="1">
      <alignment wrapText="1"/>
    </xf>
    <xf numFmtId="0" fontId="26" fillId="0" borderId="3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3" fontId="0" fillId="0" borderId="3" xfId="0" applyNumberFormat="1" applyFont="1" applyFill="1" applyBorder="1" applyAlignment="1">
      <alignment horizontal="right"/>
    </xf>
    <xf numFmtId="3" fontId="32" fillId="0" borderId="3" xfId="0" applyNumberFormat="1" applyFont="1" applyFill="1" applyBorder="1" applyAlignment="1">
      <alignment horizontal="right"/>
    </xf>
    <xf numFmtId="0" fontId="0" fillId="0" borderId="3" xfId="0" applyFill="1" applyBorder="1" applyAlignment="1">
      <alignment/>
    </xf>
    <xf numFmtId="0" fontId="17" fillId="0" borderId="3" xfId="0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3" fontId="0" fillId="0" borderId="5" xfId="0" applyNumberFormat="1" applyFont="1" applyFill="1" applyBorder="1" applyAlignment="1">
      <alignment horizontal="right"/>
    </xf>
    <xf numFmtId="3" fontId="32" fillId="0" borderId="5" xfId="0" applyNumberFormat="1" applyFont="1" applyFill="1" applyBorder="1" applyAlignment="1">
      <alignment horizontal="right"/>
    </xf>
    <xf numFmtId="0" fontId="17" fillId="0" borderId="5" xfId="0" applyFont="1" applyFill="1" applyBorder="1" applyAlignment="1">
      <alignment/>
    </xf>
    <xf numFmtId="0" fontId="17" fillId="0" borderId="3" xfId="0" applyFont="1" applyFill="1" applyBorder="1" applyAlignment="1">
      <alignment/>
    </xf>
    <xf numFmtId="0" fontId="17" fillId="0" borderId="5" xfId="0" applyFont="1" applyFill="1" applyBorder="1" applyAlignment="1">
      <alignment wrapText="1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0" fontId="4" fillId="4" borderId="2" xfId="0" applyFont="1" applyFill="1" applyBorder="1" applyAlignment="1">
      <alignment horizontal="left" wrapText="1"/>
    </xf>
    <xf numFmtId="0" fontId="31" fillId="4" borderId="2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18" fillId="5" borderId="5" xfId="0" applyFont="1" applyFill="1" applyBorder="1" applyAlignment="1">
      <alignment wrapText="1"/>
    </xf>
    <xf numFmtId="3" fontId="4" fillId="5" borderId="5" xfId="0" applyNumberFormat="1" applyFont="1" applyFill="1" applyBorder="1" applyAlignment="1">
      <alignment horizontal="right"/>
    </xf>
    <xf numFmtId="3" fontId="4" fillId="5" borderId="5" xfId="0" applyNumberFormat="1" applyFont="1" applyFill="1" applyBorder="1" applyAlignment="1">
      <alignment/>
    </xf>
    <xf numFmtId="0" fontId="5" fillId="0" borderId="2" xfId="0" applyFont="1" applyFill="1" applyBorder="1" applyAlignment="1">
      <alignment wrapText="1"/>
    </xf>
    <xf numFmtId="3" fontId="4" fillId="0" borderId="2" xfId="0" applyNumberFormat="1" applyFont="1" applyFill="1" applyBorder="1" applyAlignment="1">
      <alignment horizontal="right"/>
    </xf>
    <xf numFmtId="3" fontId="30" fillId="0" borderId="2" xfId="0" applyNumberFormat="1" applyFont="1" applyFill="1" applyBorder="1" applyAlignment="1">
      <alignment horizontal="right"/>
    </xf>
    <xf numFmtId="0" fontId="31" fillId="0" borderId="2" xfId="0" applyFont="1" applyFill="1" applyBorder="1" applyAlignment="1">
      <alignment/>
    </xf>
    <xf numFmtId="0" fontId="4" fillId="5" borderId="5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3" fontId="0" fillId="0" borderId="0" xfId="0" applyNumberFormat="1" applyFill="1" applyAlignment="1">
      <alignment horizontal="right"/>
    </xf>
    <xf numFmtId="3" fontId="32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49" fontId="7" fillId="0" borderId="4" xfId="19" applyNumberFormat="1" applyFont="1" applyBorder="1" applyAlignment="1">
      <alignment horizontal="center" vertical="center" wrapText="1"/>
      <protection/>
    </xf>
    <xf numFmtId="4" fontId="7" fillId="2" borderId="6" xfId="19" applyNumberFormat="1" applyFont="1" applyFill="1" applyBorder="1" applyAlignment="1">
      <alignment horizontal="center" vertical="center"/>
      <protection/>
    </xf>
    <xf numFmtId="3" fontId="33" fillId="2" borderId="7" xfId="19" applyNumberFormat="1" applyFont="1" applyFill="1" applyBorder="1" applyAlignment="1">
      <alignment horizontal="center" vertical="center"/>
      <protection/>
    </xf>
    <xf numFmtId="3" fontId="33" fillId="2" borderId="8" xfId="19" applyNumberFormat="1" applyFont="1" applyFill="1" applyBorder="1" applyAlignment="1">
      <alignment horizontal="center" vertical="center"/>
      <protection/>
    </xf>
    <xf numFmtId="3" fontId="33" fillId="2" borderId="9" xfId="19" applyNumberFormat="1" applyFont="1" applyFill="1" applyBorder="1" applyAlignment="1">
      <alignment horizontal="center" vertical="center"/>
      <protection/>
    </xf>
    <xf numFmtId="3" fontId="7" fillId="2" borderId="7" xfId="19" applyNumberFormat="1" applyFont="1" applyFill="1" applyBorder="1" applyAlignment="1">
      <alignment horizontal="center" vertical="center"/>
      <protection/>
    </xf>
    <xf numFmtId="3" fontId="7" fillId="2" borderId="8" xfId="19" applyNumberFormat="1" applyFont="1" applyFill="1" applyBorder="1" applyAlignment="1">
      <alignment horizontal="center" vertical="center"/>
      <protection/>
    </xf>
    <xf numFmtId="3" fontId="7" fillId="2" borderId="9" xfId="19" applyNumberFormat="1" applyFont="1" applyFill="1" applyBorder="1" applyAlignment="1">
      <alignment horizontal="center" vertical="center"/>
      <protection/>
    </xf>
    <xf numFmtId="3" fontId="8" fillId="2" borderId="2" xfId="19" applyNumberFormat="1" applyFont="1" applyFill="1" applyBorder="1" applyAlignment="1">
      <alignment horizontal="center" vertical="center"/>
      <protection/>
    </xf>
    <xf numFmtId="3" fontId="7" fillId="2" borderId="6" xfId="19" applyNumberFormat="1" applyFont="1" applyFill="1" applyBorder="1" applyAlignment="1">
      <alignment horizontal="center" vertical="center"/>
      <protection/>
    </xf>
    <xf numFmtId="49" fontId="7" fillId="2" borderId="4" xfId="19" applyNumberFormat="1" applyFont="1" applyFill="1" applyBorder="1" applyAlignment="1">
      <alignment horizontal="center" vertical="center"/>
      <protection/>
    </xf>
    <xf numFmtId="3" fontId="19" fillId="0" borderId="10" xfId="19" applyNumberFormat="1" applyFont="1" applyBorder="1" applyAlignment="1">
      <alignment horizontal="right"/>
      <protection/>
    </xf>
    <xf numFmtId="3" fontId="19" fillId="0" borderId="0" xfId="19" applyNumberFormat="1" applyFont="1" applyBorder="1">
      <alignment/>
      <protection/>
    </xf>
    <xf numFmtId="0" fontId="19" fillId="0" borderId="0" xfId="19" applyFont="1" applyBorder="1">
      <alignment/>
      <protection/>
    </xf>
    <xf numFmtId="49" fontId="7" fillId="0" borderId="3" xfId="19" applyNumberFormat="1" applyFont="1" applyBorder="1" applyAlignment="1">
      <alignment horizontal="center" vertical="center" wrapText="1"/>
      <protection/>
    </xf>
    <xf numFmtId="4" fontId="7" fillId="2" borderId="11" xfId="19" applyNumberFormat="1" applyFont="1" applyFill="1" applyBorder="1" applyAlignment="1">
      <alignment horizontal="center" vertical="center"/>
      <protection/>
    </xf>
    <xf numFmtId="3" fontId="7" fillId="2" borderId="11" xfId="19" applyNumberFormat="1" applyFont="1" applyFill="1" applyBorder="1" applyAlignment="1">
      <alignment horizontal="center" vertical="center"/>
      <protection/>
    </xf>
    <xf numFmtId="3" fontId="33" fillId="2" borderId="4" xfId="19" applyNumberFormat="1" applyFont="1" applyFill="1" applyBorder="1" applyAlignment="1">
      <alignment horizontal="center" vertical="center"/>
      <protection/>
    </xf>
    <xf numFmtId="3" fontId="8" fillId="2" borderId="11" xfId="19" applyNumberFormat="1" applyFont="1" applyFill="1" applyBorder="1" applyAlignment="1">
      <alignment horizontal="center" vertical="center"/>
      <protection/>
    </xf>
    <xf numFmtId="49" fontId="7" fillId="2" borderId="3" xfId="19" applyNumberFormat="1" applyFont="1" applyFill="1" applyBorder="1" applyAlignment="1">
      <alignment horizontal="center" vertical="center"/>
      <protection/>
    </xf>
    <xf numFmtId="3" fontId="19" fillId="0" borderId="0" xfId="19" applyNumberFormat="1" applyFont="1" applyBorder="1" applyAlignment="1">
      <alignment horizontal="right" vertical="center"/>
      <protection/>
    </xf>
    <xf numFmtId="3" fontId="19" fillId="0" borderId="0" xfId="19" applyNumberFormat="1" applyFont="1" applyBorder="1" applyAlignment="1">
      <alignment vertical="center"/>
      <protection/>
    </xf>
    <xf numFmtId="0" fontId="19" fillId="0" borderId="0" xfId="19" applyFont="1" applyBorder="1" applyAlignment="1">
      <alignment vertical="center"/>
      <protection/>
    </xf>
    <xf numFmtId="4" fontId="7" fillId="2" borderId="11" xfId="19" applyNumberFormat="1" applyFont="1" applyFill="1" applyBorder="1" applyAlignment="1">
      <alignment horizontal="center" vertical="top"/>
      <protection/>
    </xf>
    <xf numFmtId="3" fontId="7" fillId="2" borderId="11" xfId="19" applyNumberFormat="1" applyFont="1" applyFill="1" applyBorder="1" applyAlignment="1">
      <alignment horizontal="center" vertical="top"/>
      <protection/>
    </xf>
    <xf numFmtId="3" fontId="33" fillId="2" borderId="3" xfId="19" applyNumberFormat="1" applyFont="1" applyFill="1" applyBorder="1" applyAlignment="1">
      <alignment horizontal="center" vertical="top"/>
      <protection/>
    </xf>
    <xf numFmtId="3" fontId="8" fillId="2" borderId="11" xfId="19" applyNumberFormat="1" applyFont="1" applyFill="1" applyBorder="1" applyAlignment="1">
      <alignment horizontal="center" vertical="top"/>
      <protection/>
    </xf>
    <xf numFmtId="49" fontId="7" fillId="2" borderId="3" xfId="19" applyNumberFormat="1" applyFont="1" applyFill="1" applyBorder="1" applyAlignment="1">
      <alignment horizontal="center" vertical="top"/>
      <protection/>
    </xf>
    <xf numFmtId="3" fontId="7" fillId="0" borderId="0" xfId="19" applyNumberFormat="1" applyFont="1" applyBorder="1" applyAlignment="1">
      <alignment horizontal="center"/>
      <protection/>
    </xf>
    <xf numFmtId="49" fontId="7" fillId="0" borderId="5" xfId="19" applyNumberFormat="1" applyFont="1" applyBorder="1" applyAlignment="1">
      <alignment horizontal="center" vertical="center" wrapText="1"/>
      <protection/>
    </xf>
    <xf numFmtId="4" fontId="7" fillId="2" borderId="12" xfId="19" applyNumberFormat="1" applyFont="1" applyFill="1" applyBorder="1" applyAlignment="1">
      <alignment horizontal="center" vertical="top"/>
      <protection/>
    </xf>
    <xf numFmtId="3" fontId="9" fillId="2" borderId="12" xfId="19" applyNumberFormat="1" applyFont="1" applyFill="1" applyBorder="1" applyAlignment="1">
      <alignment horizontal="center" vertical="top"/>
      <protection/>
    </xf>
    <xf numFmtId="3" fontId="7" fillId="2" borderId="12" xfId="19" applyNumberFormat="1" applyFont="1" applyFill="1" applyBorder="1" applyAlignment="1">
      <alignment horizontal="center" vertical="top"/>
      <protection/>
    </xf>
    <xf numFmtId="3" fontId="33" fillId="2" borderId="5" xfId="19" applyNumberFormat="1" applyFont="1" applyFill="1" applyBorder="1" applyAlignment="1">
      <alignment horizontal="center" vertical="top"/>
      <protection/>
    </xf>
    <xf numFmtId="3" fontId="8" fillId="2" borderId="12" xfId="19" applyNumberFormat="1" applyFont="1" applyFill="1" applyBorder="1" applyAlignment="1">
      <alignment horizontal="center" vertical="top"/>
      <protection/>
    </xf>
    <xf numFmtId="49" fontId="7" fillId="2" borderId="5" xfId="19" applyNumberFormat="1" applyFont="1" applyFill="1" applyBorder="1" applyAlignment="1">
      <alignment horizontal="center" vertical="top"/>
      <protection/>
    </xf>
    <xf numFmtId="3" fontId="19" fillId="0" borderId="1" xfId="19" applyNumberFormat="1" applyFont="1" applyBorder="1" applyAlignment="1">
      <alignment horizontal="right"/>
      <protection/>
    </xf>
    <xf numFmtId="49" fontId="34" fillId="0" borderId="3" xfId="19" applyNumberFormat="1" applyFont="1" applyBorder="1">
      <alignment/>
      <protection/>
    </xf>
    <xf numFmtId="4" fontId="35" fillId="0" borderId="11" xfId="19" applyNumberFormat="1" applyFont="1" applyBorder="1" applyAlignment="1">
      <alignment horizontal="center"/>
      <protection/>
    </xf>
    <xf numFmtId="3" fontId="10" fillId="0" borderId="11" xfId="19" applyNumberFormat="1" applyFont="1" applyBorder="1" applyAlignment="1">
      <alignment horizontal="right"/>
      <protection/>
    </xf>
    <xf numFmtId="3" fontId="14" fillId="0" borderId="11" xfId="19" applyNumberFormat="1" applyFont="1" applyBorder="1" applyAlignment="1">
      <alignment horizontal="right"/>
      <protection/>
    </xf>
    <xf numFmtId="3" fontId="36" fillId="0" borderId="11" xfId="19" applyNumberFormat="1" applyFont="1" applyBorder="1" applyAlignment="1">
      <alignment horizontal="right"/>
      <protection/>
    </xf>
    <xf numFmtId="49" fontId="19" fillId="0" borderId="3" xfId="19" applyNumberFormat="1" applyFont="1" applyBorder="1" applyAlignment="1">
      <alignment horizontal="center"/>
      <protection/>
    </xf>
    <xf numFmtId="3" fontId="13" fillId="0" borderId="0" xfId="19" applyNumberFormat="1" applyFont="1" applyBorder="1" applyAlignment="1">
      <alignment horizontal="right"/>
      <protection/>
    </xf>
    <xf numFmtId="3" fontId="13" fillId="0" borderId="0" xfId="19" applyNumberFormat="1" applyFont="1" applyBorder="1">
      <alignment/>
      <protection/>
    </xf>
    <xf numFmtId="0" fontId="13" fillId="0" borderId="0" xfId="19" applyFont="1" applyBorder="1">
      <alignment/>
      <protection/>
    </xf>
    <xf numFmtId="49" fontId="37" fillId="0" borderId="3" xfId="19" applyNumberFormat="1" applyFont="1" applyBorder="1">
      <alignment/>
      <protection/>
    </xf>
    <xf numFmtId="4" fontId="10" fillId="0" borderId="11" xfId="19" applyNumberFormat="1" applyFont="1" applyBorder="1" applyAlignment="1">
      <alignment horizontal="center"/>
      <protection/>
    </xf>
    <xf numFmtId="3" fontId="13" fillId="0" borderId="11" xfId="19" applyNumberFormat="1" applyFont="1" applyBorder="1" applyAlignment="1">
      <alignment horizontal="right"/>
      <protection/>
    </xf>
    <xf numFmtId="3" fontId="22" fillId="0" borderId="11" xfId="19" applyNumberFormat="1" applyFont="1" applyBorder="1" applyAlignment="1">
      <alignment horizontal="right"/>
      <protection/>
    </xf>
    <xf numFmtId="3" fontId="38" fillId="0" borderId="11" xfId="19" applyNumberFormat="1" applyFont="1" applyBorder="1" applyAlignment="1">
      <alignment horizontal="right"/>
      <protection/>
    </xf>
    <xf numFmtId="49" fontId="22" fillId="0" borderId="3" xfId="19" applyNumberFormat="1" applyFont="1" applyBorder="1" applyAlignment="1">
      <alignment wrapText="1"/>
      <protection/>
    </xf>
    <xf numFmtId="4" fontId="13" fillId="0" borderId="11" xfId="19" applyNumberFormat="1" applyFont="1" applyBorder="1" applyAlignment="1">
      <alignment horizontal="center"/>
      <protection/>
    </xf>
    <xf numFmtId="3" fontId="36" fillId="0" borderId="3" xfId="19" applyNumberFormat="1" applyFont="1" applyBorder="1" applyAlignment="1">
      <alignment horizontal="right"/>
      <protection/>
    </xf>
    <xf numFmtId="3" fontId="13" fillId="0" borderId="3" xfId="19" applyNumberFormat="1" applyFont="1" applyBorder="1" applyAlignment="1">
      <alignment horizontal="right"/>
      <protection/>
    </xf>
    <xf numFmtId="49" fontId="37" fillId="0" borderId="2" xfId="19" applyNumberFormat="1" applyFont="1" applyBorder="1">
      <alignment/>
      <protection/>
    </xf>
    <xf numFmtId="4" fontId="6" fillId="0" borderId="7" xfId="19" applyNumberFormat="1" applyFont="1" applyBorder="1" applyAlignment="1">
      <alignment horizontal="center"/>
      <protection/>
    </xf>
    <xf numFmtId="3" fontId="6" fillId="0" borderId="7" xfId="19" applyNumberFormat="1" applyFont="1" applyBorder="1" applyAlignment="1">
      <alignment horizontal="right"/>
      <protection/>
    </xf>
    <xf numFmtId="49" fontId="28" fillId="0" borderId="2" xfId="19" applyNumberFormat="1" applyFont="1" applyBorder="1" applyAlignment="1">
      <alignment horizontal="center"/>
      <protection/>
    </xf>
    <xf numFmtId="3" fontId="28" fillId="0" borderId="8" xfId="19" applyNumberFormat="1" applyFont="1" applyBorder="1" applyAlignment="1">
      <alignment horizontal="right"/>
      <protection/>
    </xf>
    <xf numFmtId="3" fontId="28" fillId="0" borderId="8" xfId="19" applyNumberFormat="1" applyFont="1" applyBorder="1">
      <alignment/>
      <protection/>
    </xf>
    <xf numFmtId="0" fontId="28" fillId="0" borderId="0" xfId="19" applyFont="1" applyBorder="1">
      <alignment/>
      <protection/>
    </xf>
    <xf numFmtId="0" fontId="28" fillId="0" borderId="8" xfId="19" applyFont="1" applyBorder="1">
      <alignment/>
      <protection/>
    </xf>
    <xf numFmtId="0" fontId="37" fillId="0" borderId="3" xfId="19" applyFont="1" applyBorder="1">
      <alignment/>
      <protection/>
    </xf>
    <xf numFmtId="0" fontId="22" fillId="0" borderId="3" xfId="19" applyFont="1" applyBorder="1">
      <alignment/>
      <protection/>
    </xf>
    <xf numFmtId="4" fontId="10" fillId="0" borderId="7" xfId="19" applyNumberFormat="1" applyFont="1" applyBorder="1" applyAlignment="1">
      <alignment horizontal="center"/>
      <protection/>
    </xf>
    <xf numFmtId="3" fontId="10" fillId="0" borderId="7" xfId="19" applyNumberFormat="1" applyFont="1" applyBorder="1" applyAlignment="1">
      <alignment horizontal="right"/>
      <protection/>
    </xf>
    <xf numFmtId="3" fontId="14" fillId="0" borderId="7" xfId="19" applyNumberFormat="1" applyFont="1" applyBorder="1" applyAlignment="1">
      <alignment horizontal="right"/>
      <protection/>
    </xf>
    <xf numFmtId="3" fontId="36" fillId="0" borderId="7" xfId="19" applyNumberFormat="1" applyFont="1" applyBorder="1" applyAlignment="1">
      <alignment horizontal="right"/>
      <protection/>
    </xf>
    <xf numFmtId="49" fontId="19" fillId="0" borderId="2" xfId="19" applyNumberFormat="1" applyFont="1" applyBorder="1" applyAlignment="1">
      <alignment horizontal="center"/>
      <protection/>
    </xf>
    <xf numFmtId="3" fontId="13" fillId="0" borderId="8" xfId="19" applyNumberFormat="1" applyFont="1" applyBorder="1" applyAlignment="1">
      <alignment horizontal="right"/>
      <protection/>
    </xf>
    <xf numFmtId="3" fontId="13" fillId="0" borderId="8" xfId="19" applyNumberFormat="1" applyFont="1" applyBorder="1">
      <alignment/>
      <protection/>
    </xf>
    <xf numFmtId="0" fontId="13" fillId="0" borderId="8" xfId="19" applyFont="1" applyBorder="1">
      <alignment/>
      <protection/>
    </xf>
    <xf numFmtId="49" fontId="22" fillId="0" borderId="3" xfId="19" applyNumberFormat="1" applyFont="1" applyBorder="1">
      <alignment/>
      <protection/>
    </xf>
    <xf numFmtId="3" fontId="37" fillId="0" borderId="7" xfId="19" applyNumberFormat="1" applyFont="1" applyBorder="1" applyAlignment="1">
      <alignment horizontal="right"/>
      <protection/>
    </xf>
    <xf numFmtId="3" fontId="39" fillId="0" borderId="7" xfId="19" applyNumberFormat="1" applyFont="1" applyBorder="1" applyAlignment="1">
      <alignment horizontal="right"/>
      <protection/>
    </xf>
    <xf numFmtId="3" fontId="6" fillId="0" borderId="2" xfId="19" applyNumberFormat="1" applyFont="1" applyBorder="1" applyAlignment="1">
      <alignment horizontal="center"/>
      <protection/>
    </xf>
    <xf numFmtId="3" fontId="38" fillId="0" borderId="3" xfId="19" applyNumberFormat="1" applyFont="1" applyBorder="1" applyAlignment="1">
      <alignment horizontal="right"/>
      <protection/>
    </xf>
    <xf numFmtId="49" fontId="13" fillId="0" borderId="3" xfId="19" applyNumberFormat="1" applyFont="1" applyBorder="1">
      <alignment/>
      <protection/>
    </xf>
    <xf numFmtId="3" fontId="40" fillId="0" borderId="11" xfId="19" applyNumberFormat="1" applyFont="1" applyBorder="1" applyAlignment="1">
      <alignment horizontal="right"/>
      <protection/>
    </xf>
    <xf numFmtId="3" fontId="39" fillId="0" borderId="2" xfId="19" applyNumberFormat="1" applyFont="1" applyBorder="1" applyAlignment="1">
      <alignment horizontal="right"/>
      <protection/>
    </xf>
    <xf numFmtId="49" fontId="6" fillId="0" borderId="2" xfId="19" applyNumberFormat="1" applyFont="1" applyBorder="1" applyAlignment="1">
      <alignment horizontal="center"/>
      <protection/>
    </xf>
    <xf numFmtId="49" fontId="6" fillId="0" borderId="3" xfId="19" applyNumberFormat="1" applyFont="1" applyBorder="1">
      <alignment/>
      <protection/>
    </xf>
    <xf numFmtId="49" fontId="41" fillId="0" borderId="3" xfId="19" applyNumberFormat="1" applyFont="1" applyBorder="1" applyAlignment="1">
      <alignment horizontal="center" wrapText="1"/>
      <protection/>
    </xf>
    <xf numFmtId="49" fontId="42" fillId="0" borderId="3" xfId="19" applyNumberFormat="1" applyFont="1" applyFill="1" applyBorder="1">
      <alignment/>
      <protection/>
    </xf>
    <xf numFmtId="49" fontId="6" fillId="0" borderId="2" xfId="19" applyNumberFormat="1" applyFont="1" applyBorder="1">
      <alignment/>
      <protection/>
    </xf>
    <xf numFmtId="4" fontId="6" fillId="0" borderId="6" xfId="19" applyNumberFormat="1" applyFont="1" applyBorder="1" applyAlignment="1">
      <alignment horizontal="center"/>
      <protection/>
    </xf>
    <xf numFmtId="3" fontId="6" fillId="0" borderId="6" xfId="19" applyNumberFormat="1" applyFont="1" applyBorder="1" applyAlignment="1">
      <alignment horizontal="right"/>
      <protection/>
    </xf>
    <xf numFmtId="3" fontId="37" fillId="0" borderId="6" xfId="19" applyNumberFormat="1" applyFont="1" applyBorder="1" applyAlignment="1">
      <alignment horizontal="right"/>
      <protection/>
    </xf>
    <xf numFmtId="3" fontId="39" fillId="0" borderId="6" xfId="19" applyNumberFormat="1" applyFont="1" applyBorder="1" applyAlignment="1">
      <alignment horizontal="right"/>
      <protection/>
    </xf>
    <xf numFmtId="49" fontId="6" fillId="0" borderId="4" xfId="19" applyNumberFormat="1" applyFont="1" applyBorder="1" applyAlignment="1">
      <alignment horizontal="center"/>
      <protection/>
    </xf>
    <xf numFmtId="4" fontId="10" fillId="0" borderId="6" xfId="19" applyNumberFormat="1" applyFont="1" applyBorder="1" applyAlignment="1">
      <alignment horizontal="center"/>
      <protection/>
    </xf>
    <xf numFmtId="3" fontId="10" fillId="0" borderId="6" xfId="19" applyNumberFormat="1" applyFont="1" applyBorder="1" applyAlignment="1">
      <alignment horizontal="right"/>
      <protection/>
    </xf>
    <xf numFmtId="3" fontId="14" fillId="0" borderId="6" xfId="19" applyNumberFormat="1" applyFont="1" applyBorder="1" applyAlignment="1">
      <alignment horizontal="right"/>
      <protection/>
    </xf>
    <xf numFmtId="3" fontId="36" fillId="0" borderId="6" xfId="19" applyNumberFormat="1" applyFont="1" applyBorder="1" applyAlignment="1">
      <alignment horizontal="right"/>
      <protection/>
    </xf>
    <xf numFmtId="49" fontId="11" fillId="0" borderId="4" xfId="19" applyNumberFormat="1" applyFont="1" applyBorder="1" applyAlignment="1">
      <alignment horizontal="center"/>
      <protection/>
    </xf>
    <xf numFmtId="3" fontId="13" fillId="0" borderId="10" xfId="19" applyNumberFormat="1" applyFont="1" applyBorder="1" applyAlignment="1">
      <alignment horizontal="right"/>
      <protection/>
    </xf>
    <xf numFmtId="3" fontId="13" fillId="0" borderId="10" xfId="19" applyNumberFormat="1" applyFont="1" applyBorder="1">
      <alignment/>
      <protection/>
    </xf>
    <xf numFmtId="0" fontId="13" fillId="0" borderId="10" xfId="19" applyFont="1" applyBorder="1">
      <alignment/>
      <protection/>
    </xf>
    <xf numFmtId="0" fontId="22" fillId="0" borderId="3" xfId="19" applyFont="1" applyBorder="1" applyAlignment="1">
      <alignment wrapText="1"/>
      <protection/>
    </xf>
    <xf numFmtId="3" fontId="21" fillId="0" borderId="11" xfId="19" applyNumberFormat="1" applyFont="1" applyBorder="1" applyAlignment="1">
      <alignment horizontal="right"/>
      <protection/>
    </xf>
    <xf numFmtId="3" fontId="28" fillId="0" borderId="10" xfId="19" applyNumberFormat="1" applyFont="1" applyBorder="1" applyAlignment="1">
      <alignment horizontal="right"/>
      <protection/>
    </xf>
    <xf numFmtId="3" fontId="28" fillId="0" borderId="10" xfId="19" applyNumberFormat="1" applyFont="1" applyBorder="1">
      <alignment/>
      <protection/>
    </xf>
    <xf numFmtId="0" fontId="28" fillId="0" borderId="10" xfId="19" applyFont="1" applyBorder="1">
      <alignment/>
      <protection/>
    </xf>
    <xf numFmtId="49" fontId="6" fillId="0" borderId="2" xfId="19" applyNumberFormat="1" applyFont="1" applyBorder="1" applyAlignment="1">
      <alignment vertical="center"/>
      <protection/>
    </xf>
    <xf numFmtId="4" fontId="6" fillId="0" borderId="2" xfId="19" applyNumberFormat="1" applyFont="1" applyBorder="1" applyAlignment="1">
      <alignment horizontal="center" vertical="center"/>
      <protection/>
    </xf>
    <xf numFmtId="3" fontId="6" fillId="0" borderId="2" xfId="19" applyNumberFormat="1" applyFont="1" applyBorder="1" applyAlignment="1">
      <alignment horizontal="right" vertical="center"/>
      <protection/>
    </xf>
    <xf numFmtId="49" fontId="28" fillId="0" borderId="2" xfId="19" applyNumberFormat="1" applyFont="1" applyBorder="1" applyAlignment="1">
      <alignment horizontal="center" vertical="center"/>
      <protection/>
    </xf>
    <xf numFmtId="3" fontId="28" fillId="0" borderId="13" xfId="19" applyNumberFormat="1" applyFont="1" applyBorder="1" applyAlignment="1">
      <alignment horizontal="right" vertical="center"/>
      <protection/>
    </xf>
    <xf numFmtId="3" fontId="28" fillId="0" borderId="13" xfId="19" applyNumberFormat="1" applyFont="1" applyBorder="1" applyAlignment="1">
      <alignment vertical="center"/>
      <protection/>
    </xf>
    <xf numFmtId="0" fontId="28" fillId="0" borderId="0" xfId="19" applyFont="1" applyBorder="1" applyAlignment="1">
      <alignment vertical="center"/>
      <protection/>
    </xf>
    <xf numFmtId="0" fontId="28" fillId="0" borderId="13" xfId="19" applyFont="1" applyBorder="1" applyAlignment="1">
      <alignment vertical="center"/>
      <protection/>
    </xf>
    <xf numFmtId="49" fontId="35" fillId="0" borderId="4" xfId="19" applyNumberFormat="1" applyFont="1" applyBorder="1">
      <alignment/>
      <protection/>
    </xf>
    <xf numFmtId="4" fontId="13" fillId="0" borderId="6" xfId="19" applyNumberFormat="1" applyFont="1" applyBorder="1" applyAlignment="1">
      <alignment horizontal="center"/>
      <protection/>
    </xf>
    <xf numFmtId="3" fontId="13" fillId="0" borderId="6" xfId="19" applyNumberFormat="1" applyFont="1" applyBorder="1">
      <alignment/>
      <protection/>
    </xf>
    <xf numFmtId="3" fontId="22" fillId="0" borderId="6" xfId="19" applyNumberFormat="1" applyFont="1" applyBorder="1">
      <alignment/>
      <protection/>
    </xf>
    <xf numFmtId="3" fontId="13" fillId="0" borderId="6" xfId="19" applyNumberFormat="1" applyFont="1" applyBorder="1" applyAlignment="1">
      <alignment horizontal="center"/>
      <protection/>
    </xf>
    <xf numFmtId="3" fontId="38" fillId="0" borderId="6" xfId="19" applyNumberFormat="1" applyFont="1" applyBorder="1" applyAlignment="1">
      <alignment horizontal="center"/>
      <protection/>
    </xf>
    <xf numFmtId="3" fontId="38" fillId="0" borderId="6" xfId="19" applyNumberFormat="1" applyFont="1" applyBorder="1">
      <alignment/>
      <protection/>
    </xf>
    <xf numFmtId="49" fontId="19" fillId="0" borderId="4" xfId="19" applyNumberFormat="1" applyFont="1" applyBorder="1" applyAlignment="1">
      <alignment horizontal="center"/>
      <protection/>
    </xf>
    <xf numFmtId="49" fontId="10" fillId="0" borderId="2" xfId="19" applyNumberFormat="1" applyFont="1" applyBorder="1">
      <alignment/>
      <protection/>
    </xf>
    <xf numFmtId="3" fontId="10" fillId="0" borderId="2" xfId="19" applyNumberFormat="1" applyFont="1" applyBorder="1" applyAlignment="1">
      <alignment horizontal="right"/>
      <protection/>
    </xf>
    <xf numFmtId="3" fontId="13" fillId="0" borderId="13" xfId="19" applyNumberFormat="1" applyFont="1" applyBorder="1" applyAlignment="1">
      <alignment horizontal="right"/>
      <protection/>
    </xf>
    <xf numFmtId="3" fontId="13" fillId="0" borderId="13" xfId="19" applyNumberFormat="1" applyFont="1" applyBorder="1">
      <alignment/>
      <protection/>
    </xf>
    <xf numFmtId="0" fontId="13" fillId="0" borderId="13" xfId="19" applyFont="1" applyBorder="1">
      <alignment/>
      <protection/>
    </xf>
    <xf numFmtId="49" fontId="19" fillId="0" borderId="0" xfId="19" applyNumberFormat="1" applyFont="1" applyBorder="1">
      <alignment/>
      <protection/>
    </xf>
    <xf numFmtId="4" fontId="19" fillId="0" borderId="11" xfId="19" applyNumberFormat="1" applyFont="1" applyBorder="1" applyAlignment="1">
      <alignment horizontal="center"/>
      <protection/>
    </xf>
    <xf numFmtId="3" fontId="19" fillId="0" borderId="11" xfId="19" applyNumberFormat="1" applyFont="1" applyBorder="1">
      <alignment/>
      <protection/>
    </xf>
    <xf numFmtId="3" fontId="29" fillId="0" borderId="11" xfId="19" applyNumberFormat="1" applyFont="1" applyBorder="1">
      <alignment/>
      <protection/>
    </xf>
    <xf numFmtId="3" fontId="43" fillId="0" borderId="11" xfId="19" applyNumberFormat="1" applyFont="1" applyBorder="1">
      <alignment/>
      <protection/>
    </xf>
    <xf numFmtId="3" fontId="19" fillId="0" borderId="0" xfId="19" applyNumberFormat="1" applyFont="1" applyBorder="1" applyAlignment="1">
      <alignment horizontal="right"/>
      <protection/>
    </xf>
    <xf numFmtId="3" fontId="12" fillId="0" borderId="2" xfId="20" applyNumberFormat="1" applyFont="1" applyFill="1" applyBorder="1" applyAlignment="1">
      <alignment horizontal="center" vertical="center" wrapText="1"/>
      <protection/>
    </xf>
    <xf numFmtId="3" fontId="4" fillId="0" borderId="2" xfId="20" applyNumberFormat="1" applyFont="1" applyFill="1" applyBorder="1" applyAlignment="1">
      <alignment horizontal="center" vertical="center" wrapText="1"/>
      <protection/>
    </xf>
    <xf numFmtId="3" fontId="31" fillId="0" borderId="0" xfId="20" applyNumberFormat="1" applyFont="1" applyFill="1" applyAlignment="1">
      <alignment wrapText="1"/>
      <protection/>
    </xf>
    <xf numFmtId="3" fontId="28" fillId="0" borderId="11" xfId="20" applyNumberFormat="1" applyFont="1" applyFill="1" applyBorder="1" applyAlignment="1">
      <alignment vertical="center" wrapText="1"/>
      <protection/>
    </xf>
    <xf numFmtId="3" fontId="44" fillId="0" borderId="3" xfId="20" applyNumberFormat="1" applyFont="1" applyFill="1" applyBorder="1" applyAlignment="1">
      <alignment horizontal="right" wrapText="1"/>
      <protection/>
    </xf>
    <xf numFmtId="3" fontId="12" fillId="0" borderId="3" xfId="20" applyNumberFormat="1" applyFont="1" applyFill="1" applyBorder="1" applyAlignment="1">
      <alignment horizontal="right" wrapText="1"/>
      <protection/>
    </xf>
    <xf numFmtId="3" fontId="44" fillId="0" borderId="0" xfId="20" applyNumberFormat="1" applyFont="1" applyFill="1" applyAlignment="1">
      <alignment wrapText="1"/>
      <protection/>
    </xf>
    <xf numFmtId="3" fontId="45" fillId="0" borderId="0" xfId="20" applyNumberFormat="1" applyFont="1" applyFill="1" applyAlignment="1">
      <alignment wrapText="1"/>
      <protection/>
    </xf>
    <xf numFmtId="3" fontId="4" fillId="0" borderId="3" xfId="20" applyNumberFormat="1" applyFont="1" applyFill="1" applyBorder="1" applyAlignment="1">
      <alignment horizontal="right" wrapText="1"/>
      <protection/>
    </xf>
    <xf numFmtId="0" fontId="28" fillId="0" borderId="3" xfId="0" applyFont="1" applyFill="1" applyBorder="1" applyAlignment="1">
      <alignment wrapText="1"/>
    </xf>
    <xf numFmtId="3" fontId="31" fillId="0" borderId="3" xfId="20" applyNumberFormat="1" applyFont="1" applyFill="1" applyBorder="1" applyAlignment="1">
      <alignment horizontal="right" wrapText="1"/>
      <protection/>
    </xf>
    <xf numFmtId="0" fontId="28" fillId="0" borderId="3" xfId="0" applyFont="1" applyFill="1" applyBorder="1" applyAlignment="1">
      <alignment vertical="center" wrapText="1"/>
    </xf>
    <xf numFmtId="0" fontId="28" fillId="0" borderId="3" xfId="0" applyFont="1" applyFill="1" applyBorder="1" applyAlignment="1">
      <alignment vertical="center"/>
    </xf>
    <xf numFmtId="0" fontId="28" fillId="0" borderId="3" xfId="0" applyFont="1" applyFill="1" applyBorder="1" applyAlignment="1">
      <alignment horizontal="left" vertical="center" wrapText="1"/>
    </xf>
    <xf numFmtId="3" fontId="46" fillId="0" borderId="3" xfId="20" applyNumberFormat="1" applyFont="1" applyFill="1" applyBorder="1" applyAlignment="1">
      <alignment horizontal="right" wrapText="1"/>
      <protection/>
    </xf>
    <xf numFmtId="0" fontId="28" fillId="0" borderId="11" xfId="0" applyFont="1" applyFill="1" applyBorder="1" applyAlignment="1">
      <alignment vertical="center" wrapText="1"/>
    </xf>
    <xf numFmtId="3" fontId="47" fillId="0" borderId="0" xfId="20" applyNumberFormat="1" applyFont="1" applyFill="1" applyAlignment="1">
      <alignment wrapText="1"/>
      <protection/>
    </xf>
    <xf numFmtId="3" fontId="4" fillId="0" borderId="0" xfId="20" applyNumberFormat="1" applyFont="1" applyFill="1" applyAlignment="1">
      <alignment wrapText="1"/>
      <protection/>
    </xf>
    <xf numFmtId="3" fontId="6" fillId="0" borderId="7" xfId="20" applyNumberFormat="1" applyFont="1" applyFill="1" applyBorder="1" applyAlignment="1">
      <alignment vertical="center" wrapText="1"/>
      <protection/>
    </xf>
    <xf numFmtId="3" fontId="45" fillId="0" borderId="2" xfId="20" applyNumberFormat="1" applyFont="1" applyFill="1" applyBorder="1" applyAlignment="1">
      <alignment horizontal="right" vertical="center" wrapText="1"/>
      <protection/>
    </xf>
    <xf numFmtId="3" fontId="45" fillId="0" borderId="0" xfId="20" applyNumberFormat="1" applyFont="1" applyFill="1" applyAlignment="1">
      <alignment vertical="center" wrapText="1"/>
      <protection/>
    </xf>
    <xf numFmtId="3" fontId="44" fillId="0" borderId="11" xfId="20" applyNumberFormat="1" applyFont="1" applyFill="1" applyBorder="1" applyAlignment="1">
      <alignment horizontal="right" wrapText="1"/>
      <protection/>
    </xf>
    <xf numFmtId="49" fontId="48" fillId="0" borderId="3" xfId="19" applyNumberFormat="1" applyFont="1" applyFill="1" applyBorder="1">
      <alignment/>
      <protection/>
    </xf>
    <xf numFmtId="0" fontId="28" fillId="0" borderId="3" xfId="19" applyFont="1" applyBorder="1" applyAlignment="1">
      <alignment wrapText="1"/>
      <protection/>
    </xf>
    <xf numFmtId="3" fontId="39" fillId="0" borderId="7" xfId="20" applyNumberFormat="1" applyFont="1" applyFill="1" applyBorder="1" applyAlignment="1">
      <alignment vertical="center" wrapText="1"/>
      <protection/>
    </xf>
    <xf numFmtId="3" fontId="24" fillId="0" borderId="2" xfId="20" applyNumberFormat="1" applyFont="1" applyFill="1" applyBorder="1" applyAlignment="1">
      <alignment horizontal="right" vertical="center" wrapText="1"/>
      <protection/>
    </xf>
    <xf numFmtId="3" fontId="24" fillId="0" borderId="0" xfId="20" applyNumberFormat="1" applyFont="1" applyFill="1" applyAlignment="1">
      <alignment vertical="center" wrapText="1"/>
      <protection/>
    </xf>
    <xf numFmtId="3" fontId="49" fillId="0" borderId="6" xfId="20" applyNumberFormat="1" applyFont="1" applyFill="1" applyBorder="1" applyAlignment="1">
      <alignment vertical="center" wrapText="1"/>
      <protection/>
    </xf>
    <xf numFmtId="3" fontId="50" fillId="0" borderId="4" xfId="20" applyNumberFormat="1" applyFont="1" applyFill="1" applyBorder="1" applyAlignment="1">
      <alignment horizontal="right" vertical="center" wrapText="1"/>
      <protection/>
    </xf>
    <xf numFmtId="3" fontId="50" fillId="0" borderId="0" xfId="20" applyNumberFormat="1" applyFont="1" applyFill="1" applyAlignment="1">
      <alignment vertical="center" wrapText="1"/>
      <protection/>
    </xf>
    <xf numFmtId="3" fontId="28" fillId="0" borderId="7" xfId="20" applyNumberFormat="1" applyFont="1" applyFill="1" applyBorder="1" applyAlignment="1">
      <alignment horizontal="center" vertical="center" wrapText="1"/>
      <protection/>
    </xf>
    <xf numFmtId="3" fontId="28" fillId="0" borderId="8" xfId="20" applyNumberFormat="1" applyFont="1" applyFill="1" applyBorder="1" applyAlignment="1">
      <alignment horizontal="center" vertical="center" wrapText="1"/>
      <protection/>
    </xf>
    <xf numFmtId="3" fontId="28" fillId="0" borderId="8" xfId="20" applyNumberFormat="1" applyFont="1" applyFill="1" applyBorder="1" applyAlignment="1">
      <alignment horizontal="center" vertical="center" wrapText="1"/>
      <protection/>
    </xf>
    <xf numFmtId="3" fontId="31" fillId="2" borderId="8" xfId="20" applyNumberFormat="1" applyFont="1" applyFill="1" applyBorder="1" applyAlignment="1">
      <alignment horizontal="center" wrapText="1"/>
      <protection/>
    </xf>
    <xf numFmtId="3" fontId="31" fillId="2" borderId="8" xfId="20" applyNumberFormat="1" applyFont="1" applyFill="1" applyBorder="1" applyAlignment="1">
      <alignment wrapText="1"/>
      <protection/>
    </xf>
    <xf numFmtId="3" fontId="31" fillId="2" borderId="9" xfId="20" applyNumberFormat="1" applyFont="1" applyFill="1" applyBorder="1" applyAlignment="1">
      <alignment wrapText="1"/>
      <protection/>
    </xf>
    <xf numFmtId="3" fontId="44" fillId="0" borderId="11" xfId="20" applyNumberFormat="1" applyFont="1" applyFill="1" applyBorder="1" applyAlignment="1">
      <alignment vertical="center" wrapText="1"/>
      <protection/>
    </xf>
    <xf numFmtId="3" fontId="31" fillId="0" borderId="3" xfId="20" applyNumberFormat="1" applyFont="1" applyFill="1" applyBorder="1" applyAlignment="1">
      <alignment wrapText="1"/>
      <protection/>
    </xf>
    <xf numFmtId="3" fontId="31" fillId="0" borderId="3" xfId="20" applyNumberFormat="1" applyFont="1" applyFill="1" applyBorder="1" applyAlignment="1">
      <alignment horizontal="center" wrapText="1"/>
      <protection/>
    </xf>
  </cellXfs>
  <cellStyles count="10">
    <cellStyle name="Normal" xfId="0"/>
    <cellStyle name="Comma" xfId="15"/>
    <cellStyle name="Comma [0]" xfId="16"/>
    <cellStyle name="Normál_koncepció 2003" xfId="17"/>
    <cellStyle name="Normál_koncepció2002" xfId="18"/>
    <cellStyle name="Normál_koncepció2002_2003 tám_pály" xfId="19"/>
    <cellStyle name="Normál_Pályázatok 2002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66"/>
  <sheetViews>
    <sheetView tabSelected="1" zoomScale="75" zoomScaleNormal="7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64" sqref="C164"/>
    </sheetView>
  </sheetViews>
  <sheetFormatPr defaultColWidth="9.00390625" defaultRowHeight="12.75" outlineLevelRow="1"/>
  <cols>
    <col min="1" max="1" width="39.375" style="118" customWidth="1"/>
    <col min="2" max="2" width="12.125" style="119" customWidth="1"/>
    <col min="3" max="3" width="12.875" style="119" customWidth="1"/>
    <col min="4" max="4" width="12.00390625" style="119" customWidth="1"/>
    <col min="5" max="5" width="10.375" style="120" customWidth="1"/>
    <col min="6" max="6" width="11.75390625" style="119" customWidth="1"/>
    <col min="7" max="7" width="11.375" style="119" customWidth="1"/>
    <col min="8" max="8" width="9.375" style="119" customWidth="1"/>
    <col min="9" max="9" width="42.00390625" style="121" customWidth="1"/>
    <col min="10" max="10" width="15.625" style="6" customWidth="1"/>
    <col min="11" max="11" width="18.875" style="6" customWidth="1"/>
    <col min="12" max="79" width="9.125" style="6" customWidth="1"/>
    <col min="80" max="16384" width="9.125" style="7" customWidth="1"/>
  </cols>
  <sheetData>
    <row r="1" spans="1:14" ht="37.5" customHeight="1">
      <c r="A1" s="1"/>
      <c r="B1" s="2" t="s">
        <v>0</v>
      </c>
      <c r="C1" s="2"/>
      <c r="D1" s="2"/>
      <c r="E1" s="2"/>
      <c r="F1" s="3"/>
      <c r="G1" s="3"/>
      <c r="H1" s="3"/>
      <c r="I1" s="4"/>
      <c r="J1" s="5"/>
      <c r="K1" s="5"/>
      <c r="L1" s="5"/>
      <c r="M1" s="5"/>
      <c r="N1" s="5"/>
    </row>
    <row r="2" spans="1:79" s="12" customFormat="1" ht="43.5" customHeight="1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9" t="s">
        <v>6</v>
      </c>
      <c r="G2" s="9" t="s">
        <v>7</v>
      </c>
      <c r="H2" s="9" t="s">
        <v>8</v>
      </c>
      <c r="I2" s="8" t="s">
        <v>9</v>
      </c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</row>
    <row r="3" spans="1:79" s="12" customFormat="1" ht="26.25" customHeight="1">
      <c r="A3" s="13" t="s">
        <v>10</v>
      </c>
      <c r="B3" s="14"/>
      <c r="C3" s="14"/>
      <c r="D3" s="14"/>
      <c r="E3" s="15"/>
      <c r="F3" s="14"/>
      <c r="G3" s="14"/>
      <c r="H3" s="14"/>
      <c r="I3" s="16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</row>
    <row r="4" spans="1:79" s="25" customFormat="1" ht="22.5" customHeight="1">
      <c r="A4" s="17" t="s">
        <v>11</v>
      </c>
      <c r="B4" s="18"/>
      <c r="C4" s="19"/>
      <c r="D4" s="18"/>
      <c r="E4" s="20"/>
      <c r="F4" s="18"/>
      <c r="G4" s="18"/>
      <c r="H4" s="21"/>
      <c r="I4" s="22"/>
      <c r="J4" s="23"/>
      <c r="K4" s="23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</row>
    <row r="5" spans="1:79" s="33" customFormat="1" ht="27.75" customHeight="1">
      <c r="A5" s="26" t="s">
        <v>12</v>
      </c>
      <c r="B5" s="27">
        <f aca="true" t="shared" si="0" ref="B5:B12">+C5+D5</f>
        <v>319699</v>
      </c>
      <c r="C5" s="27">
        <f>3540+27439+274700</f>
        <v>305679</v>
      </c>
      <c r="D5" s="28">
        <v>14020</v>
      </c>
      <c r="E5" s="29">
        <f>+D5-J5</f>
        <v>1424</v>
      </c>
      <c r="F5" s="30" t="s">
        <v>13</v>
      </c>
      <c r="G5" s="30" t="s">
        <v>13</v>
      </c>
      <c r="H5" s="30" t="s">
        <v>13</v>
      </c>
      <c r="I5" s="31" t="s">
        <v>14</v>
      </c>
      <c r="J5" s="32">
        <f>10790+1806</f>
        <v>12596</v>
      </c>
      <c r="K5" s="32">
        <f>10790+28330+2610</f>
        <v>41730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</row>
    <row r="6" spans="1:79" s="33" customFormat="1" ht="24.75" customHeight="1">
      <c r="A6" s="26" t="s">
        <v>15</v>
      </c>
      <c r="B6" s="27">
        <f t="shared" si="0"/>
        <v>250500</v>
      </c>
      <c r="C6" s="27">
        <f>1775+138133</f>
        <v>139908</v>
      </c>
      <c r="D6" s="28">
        <v>110592</v>
      </c>
      <c r="E6" s="29">
        <v>0</v>
      </c>
      <c r="F6" s="30" t="s">
        <v>13</v>
      </c>
      <c r="G6" s="30" t="s">
        <v>13</v>
      </c>
      <c r="H6" s="30" t="s">
        <v>13</v>
      </c>
      <c r="I6" s="31" t="s">
        <v>16</v>
      </c>
      <c r="J6" s="32">
        <f>85980+26144+4073</f>
        <v>116197</v>
      </c>
      <c r="K6" s="32">
        <f>85980+26144+5801</f>
        <v>117925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</row>
    <row r="7" spans="1:79" s="33" customFormat="1" ht="24.75" customHeight="1">
      <c r="A7" s="26" t="s">
        <v>17</v>
      </c>
      <c r="B7" s="27">
        <f t="shared" si="0"/>
        <v>6468</v>
      </c>
      <c r="C7" s="27">
        <v>468</v>
      </c>
      <c r="D7" s="27">
        <v>6000</v>
      </c>
      <c r="E7" s="34">
        <v>6000</v>
      </c>
      <c r="F7" s="30" t="s">
        <v>13</v>
      </c>
      <c r="G7" s="30" t="s">
        <v>13</v>
      </c>
      <c r="H7" s="30" t="s">
        <v>13</v>
      </c>
      <c r="I7" s="31" t="s">
        <v>18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</row>
    <row r="8" spans="1:79" s="33" customFormat="1" ht="21.75" customHeight="1">
      <c r="A8" s="35" t="s">
        <v>19</v>
      </c>
      <c r="B8" s="27">
        <f t="shared" si="0"/>
        <v>10281</v>
      </c>
      <c r="C8" s="27">
        <v>9253</v>
      </c>
      <c r="D8" s="27">
        <v>1028</v>
      </c>
      <c r="E8" s="34">
        <v>1028</v>
      </c>
      <c r="F8" s="30" t="s">
        <v>13</v>
      </c>
      <c r="G8" s="30" t="s">
        <v>13</v>
      </c>
      <c r="H8" s="30" t="s">
        <v>13</v>
      </c>
      <c r="I8" s="31" t="s">
        <v>20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</row>
    <row r="9" spans="1:79" s="33" customFormat="1" ht="21" customHeight="1">
      <c r="A9" s="35" t="s">
        <v>21</v>
      </c>
      <c r="B9" s="27">
        <f t="shared" si="0"/>
        <v>2958</v>
      </c>
      <c r="C9" s="27">
        <v>1969</v>
      </c>
      <c r="D9" s="27">
        <v>989</v>
      </c>
      <c r="E9" s="34">
        <v>989</v>
      </c>
      <c r="F9" s="30" t="s">
        <v>13</v>
      </c>
      <c r="G9" s="30" t="s">
        <v>13</v>
      </c>
      <c r="H9" s="30" t="s">
        <v>13</v>
      </c>
      <c r="I9" s="3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</row>
    <row r="10" spans="1:79" s="33" customFormat="1" ht="24.75" customHeight="1">
      <c r="A10" s="35" t="s">
        <v>22</v>
      </c>
      <c r="B10" s="27">
        <f t="shared" si="0"/>
        <v>1836</v>
      </c>
      <c r="C10" s="27">
        <v>1652</v>
      </c>
      <c r="D10" s="27">
        <v>184</v>
      </c>
      <c r="E10" s="34">
        <v>184</v>
      </c>
      <c r="F10" s="30" t="s">
        <v>13</v>
      </c>
      <c r="G10" s="30" t="s">
        <v>13</v>
      </c>
      <c r="H10" s="30" t="s">
        <v>13</v>
      </c>
      <c r="I10" s="31" t="s">
        <v>20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</row>
    <row r="11" spans="1:79" s="33" customFormat="1" ht="24.75" customHeight="1">
      <c r="A11" s="35" t="s">
        <v>23</v>
      </c>
      <c r="B11" s="27">
        <f t="shared" si="0"/>
        <v>7000</v>
      </c>
      <c r="C11" s="27">
        <v>3693</v>
      </c>
      <c r="D11" s="27">
        <f>3307</f>
        <v>3307</v>
      </c>
      <c r="E11" s="34">
        <v>3307</v>
      </c>
      <c r="F11" s="30" t="s">
        <v>13</v>
      </c>
      <c r="G11" s="30" t="s">
        <v>13</v>
      </c>
      <c r="H11" s="30" t="s">
        <v>13</v>
      </c>
      <c r="I11" s="3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</row>
    <row r="12" spans="1:79" s="33" customFormat="1" ht="24.75" customHeight="1">
      <c r="A12" s="35" t="s">
        <v>24</v>
      </c>
      <c r="B12" s="27">
        <f t="shared" si="0"/>
        <v>187</v>
      </c>
      <c r="C12" s="27">
        <v>0</v>
      </c>
      <c r="D12" s="27">
        <v>187</v>
      </c>
      <c r="E12" s="34">
        <v>187</v>
      </c>
      <c r="F12" s="30" t="s">
        <v>13</v>
      </c>
      <c r="G12" s="30" t="s">
        <v>13</v>
      </c>
      <c r="H12" s="30" t="s">
        <v>13</v>
      </c>
      <c r="I12" s="3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</row>
    <row r="13" spans="1:79" s="33" customFormat="1" ht="21.75" customHeight="1">
      <c r="A13" s="36" t="s">
        <v>25</v>
      </c>
      <c r="B13" s="37">
        <f>SUM(B5:B12)</f>
        <v>598929</v>
      </c>
      <c r="C13" s="37">
        <f>SUM(C5:C12)</f>
        <v>462622</v>
      </c>
      <c r="D13" s="37">
        <f>SUM(D5:D12)</f>
        <v>136307</v>
      </c>
      <c r="E13" s="37">
        <f>SUM(E5:E12)</f>
        <v>13119</v>
      </c>
      <c r="F13" s="38" t="s">
        <v>13</v>
      </c>
      <c r="G13" s="38" t="s">
        <v>13</v>
      </c>
      <c r="H13" s="38" t="s">
        <v>13</v>
      </c>
      <c r="I13" s="39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</row>
    <row r="14" spans="1:79" s="33" customFormat="1" ht="24.75" customHeight="1">
      <c r="A14" s="17" t="s">
        <v>26</v>
      </c>
      <c r="B14" s="27"/>
      <c r="C14" s="27"/>
      <c r="D14" s="27"/>
      <c r="E14" s="34"/>
      <c r="F14" s="30"/>
      <c r="G14" s="30"/>
      <c r="H14" s="30"/>
      <c r="I14" s="3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</row>
    <row r="15" spans="1:79" s="33" customFormat="1" ht="28.5" customHeight="1">
      <c r="A15" s="35" t="s">
        <v>180</v>
      </c>
      <c r="B15" s="27">
        <f aca="true" t="shared" si="1" ref="B15:B23">+C15+D15</f>
        <v>549987</v>
      </c>
      <c r="C15" s="27">
        <v>496417</v>
      </c>
      <c r="D15" s="28">
        <v>53570</v>
      </c>
      <c r="E15" s="29">
        <f>+D15-J15</f>
        <v>22967</v>
      </c>
      <c r="F15" s="30" t="s">
        <v>13</v>
      </c>
      <c r="G15" s="30" t="s">
        <v>13</v>
      </c>
      <c r="H15" s="30" t="s">
        <v>13</v>
      </c>
      <c r="I15" s="31" t="s">
        <v>27</v>
      </c>
      <c r="J15" s="40">
        <f>112+4323+4188+11266+10714</f>
        <v>30603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</row>
    <row r="16" spans="1:79" s="33" customFormat="1" ht="24.75" customHeight="1">
      <c r="A16" s="35" t="s">
        <v>28</v>
      </c>
      <c r="B16" s="27">
        <f t="shared" si="1"/>
        <v>2172</v>
      </c>
      <c r="C16" s="27">
        <v>1448</v>
      </c>
      <c r="D16" s="28">
        <v>724</v>
      </c>
      <c r="E16" s="29">
        <f>+D16-J16</f>
        <v>173</v>
      </c>
      <c r="F16" s="30" t="s">
        <v>13</v>
      </c>
      <c r="G16" s="30" t="s">
        <v>13</v>
      </c>
      <c r="H16" s="30" t="s">
        <v>13</v>
      </c>
      <c r="I16" s="31" t="s">
        <v>29</v>
      </c>
      <c r="J16" s="41">
        <f>174+64+168+145</f>
        <v>551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</row>
    <row r="17" spans="1:79" s="33" customFormat="1" ht="21" customHeight="1">
      <c r="A17" s="42" t="s">
        <v>30</v>
      </c>
      <c r="B17" s="27">
        <f t="shared" si="1"/>
        <v>825</v>
      </c>
      <c r="C17" s="27">
        <v>0</v>
      </c>
      <c r="D17" s="27">
        <v>825</v>
      </c>
      <c r="E17" s="34">
        <v>825</v>
      </c>
      <c r="F17" s="30" t="s">
        <v>13</v>
      </c>
      <c r="G17" s="30" t="s">
        <v>13</v>
      </c>
      <c r="H17" s="30" t="s">
        <v>13</v>
      </c>
      <c r="I17" s="3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</row>
    <row r="18" spans="1:79" s="33" customFormat="1" ht="24.75" customHeight="1">
      <c r="A18" s="35" t="s">
        <v>31</v>
      </c>
      <c r="B18" s="27">
        <f t="shared" si="1"/>
        <v>125</v>
      </c>
      <c r="C18" s="27">
        <v>0</v>
      </c>
      <c r="D18" s="27">
        <v>125</v>
      </c>
      <c r="E18" s="34">
        <v>125</v>
      </c>
      <c r="F18" s="30" t="s">
        <v>13</v>
      </c>
      <c r="G18" s="30" t="s">
        <v>13</v>
      </c>
      <c r="H18" s="30" t="s">
        <v>13</v>
      </c>
      <c r="I18" s="43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</row>
    <row r="19" spans="1:79" s="33" customFormat="1" ht="17.25" customHeight="1">
      <c r="A19" s="35" t="s">
        <v>32</v>
      </c>
      <c r="B19" s="27">
        <f t="shared" si="1"/>
        <v>10675</v>
      </c>
      <c r="C19" s="27">
        <v>10600</v>
      </c>
      <c r="D19" s="27">
        <v>75</v>
      </c>
      <c r="E19" s="34">
        <v>75</v>
      </c>
      <c r="F19" s="30" t="s">
        <v>13</v>
      </c>
      <c r="G19" s="30" t="s">
        <v>13</v>
      </c>
      <c r="H19" s="30" t="s">
        <v>13</v>
      </c>
      <c r="I19" s="3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</row>
    <row r="20" spans="1:79" s="33" customFormat="1" ht="19.5" customHeight="1">
      <c r="A20" s="35" t="s">
        <v>33</v>
      </c>
      <c r="B20" s="27">
        <f t="shared" si="1"/>
        <v>300</v>
      </c>
      <c r="C20" s="27">
        <v>0</v>
      </c>
      <c r="D20" s="27">
        <v>300</v>
      </c>
      <c r="E20" s="34">
        <v>300</v>
      </c>
      <c r="F20" s="30" t="s">
        <v>13</v>
      </c>
      <c r="G20" s="30" t="s">
        <v>13</v>
      </c>
      <c r="H20" s="30" t="s">
        <v>13</v>
      </c>
      <c r="I20" s="3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</row>
    <row r="21" spans="1:79" s="33" customFormat="1" ht="18.75" customHeight="1">
      <c r="A21" s="35" t="s">
        <v>34</v>
      </c>
      <c r="B21" s="27">
        <f t="shared" si="1"/>
        <v>300</v>
      </c>
      <c r="C21" s="27">
        <v>0</v>
      </c>
      <c r="D21" s="27">
        <v>300</v>
      </c>
      <c r="E21" s="34">
        <v>300</v>
      </c>
      <c r="F21" s="30" t="s">
        <v>13</v>
      </c>
      <c r="G21" s="30" t="s">
        <v>13</v>
      </c>
      <c r="H21" s="30" t="s">
        <v>13</v>
      </c>
      <c r="I21" s="3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</row>
    <row r="22" spans="1:79" s="33" customFormat="1" ht="24.75" customHeight="1">
      <c r="A22" s="35" t="s">
        <v>35</v>
      </c>
      <c r="B22" s="27">
        <f t="shared" si="1"/>
        <v>600</v>
      </c>
      <c r="C22" s="27">
        <v>0</v>
      </c>
      <c r="D22" s="27">
        <v>600</v>
      </c>
      <c r="E22" s="34">
        <v>600</v>
      </c>
      <c r="F22" s="30" t="s">
        <v>13</v>
      </c>
      <c r="G22" s="30" t="s">
        <v>13</v>
      </c>
      <c r="H22" s="30" t="s">
        <v>13</v>
      </c>
      <c r="I22" s="3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</row>
    <row r="23" spans="1:79" s="33" customFormat="1" ht="24.75" customHeight="1">
      <c r="A23" s="35" t="s">
        <v>36</v>
      </c>
      <c r="B23" s="27">
        <f t="shared" si="1"/>
        <v>4750</v>
      </c>
      <c r="C23" s="27">
        <v>0</v>
      </c>
      <c r="D23" s="27">
        <v>4750</v>
      </c>
      <c r="E23" s="34">
        <v>4750</v>
      </c>
      <c r="F23" s="30" t="s">
        <v>13</v>
      </c>
      <c r="G23" s="30" t="s">
        <v>13</v>
      </c>
      <c r="H23" s="30" t="s">
        <v>13</v>
      </c>
      <c r="I23" s="3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</row>
    <row r="24" spans="1:79" s="33" customFormat="1" ht="24.75" customHeight="1">
      <c r="A24" s="36" t="s">
        <v>37</v>
      </c>
      <c r="B24" s="37">
        <f>SUM(B15:B23)</f>
        <v>569734</v>
      </c>
      <c r="C24" s="37">
        <f>SUM(C15:C23)</f>
        <v>508465</v>
      </c>
      <c r="D24" s="37">
        <f>SUM(D15:D23)</f>
        <v>61269</v>
      </c>
      <c r="E24" s="37">
        <f>SUM(E15:E23)</f>
        <v>30115</v>
      </c>
      <c r="F24" s="38" t="s">
        <v>13</v>
      </c>
      <c r="G24" s="38" t="s">
        <v>13</v>
      </c>
      <c r="H24" s="38" t="s">
        <v>13</v>
      </c>
      <c r="I24" s="44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</row>
    <row r="25" spans="1:79" s="33" customFormat="1" ht="24.75" customHeight="1">
      <c r="A25" s="17" t="s">
        <v>38</v>
      </c>
      <c r="B25" s="27"/>
      <c r="C25" s="27"/>
      <c r="D25" s="27"/>
      <c r="E25" s="34"/>
      <c r="F25" s="30"/>
      <c r="G25" s="30"/>
      <c r="H25" s="30"/>
      <c r="I25" s="45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</row>
    <row r="26" spans="1:79" s="33" customFormat="1" ht="28.5" customHeight="1">
      <c r="A26" s="35" t="s">
        <v>39</v>
      </c>
      <c r="B26" s="27">
        <f aca="true" t="shared" si="2" ref="B26:B32">+C26+D26</f>
        <v>1500</v>
      </c>
      <c r="C26" s="27">
        <v>0</v>
      </c>
      <c r="D26" s="27">
        <v>1500</v>
      </c>
      <c r="E26" s="34">
        <v>1500</v>
      </c>
      <c r="F26" s="30" t="s">
        <v>13</v>
      </c>
      <c r="G26" s="30" t="s">
        <v>13</v>
      </c>
      <c r="H26" s="30" t="s">
        <v>13</v>
      </c>
      <c r="I26" s="45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</row>
    <row r="27" spans="1:79" s="33" customFormat="1" ht="24.75" customHeight="1">
      <c r="A27" s="42" t="s">
        <v>40</v>
      </c>
      <c r="B27" s="27">
        <f t="shared" si="2"/>
        <v>4222</v>
      </c>
      <c r="C27" s="27">
        <v>4011</v>
      </c>
      <c r="D27" s="27">
        <v>211</v>
      </c>
      <c r="E27" s="34">
        <v>211</v>
      </c>
      <c r="F27" s="30" t="s">
        <v>13</v>
      </c>
      <c r="G27" s="30" t="s">
        <v>13</v>
      </c>
      <c r="H27" s="30" t="s">
        <v>13</v>
      </c>
      <c r="I27" s="31" t="s">
        <v>20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</row>
    <row r="28" spans="1:79" s="33" customFormat="1" ht="24.75" customHeight="1">
      <c r="A28" s="42" t="s">
        <v>41</v>
      </c>
      <c r="B28" s="27">
        <f t="shared" si="2"/>
        <v>1757</v>
      </c>
      <c r="C28" s="27">
        <v>0</v>
      </c>
      <c r="D28" s="27">
        <v>1757</v>
      </c>
      <c r="E28" s="34">
        <v>1757</v>
      </c>
      <c r="F28" s="30" t="s">
        <v>13</v>
      </c>
      <c r="G28" s="30" t="s">
        <v>13</v>
      </c>
      <c r="H28" s="30" t="s">
        <v>13</v>
      </c>
      <c r="I28" s="43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</row>
    <row r="29" spans="1:79" s="33" customFormat="1" ht="42.75" customHeight="1">
      <c r="A29" s="35" t="s">
        <v>42</v>
      </c>
      <c r="B29" s="27">
        <f t="shared" si="2"/>
        <v>26250</v>
      </c>
      <c r="C29" s="27">
        <v>0</v>
      </c>
      <c r="D29" s="28">
        <v>26250</v>
      </c>
      <c r="E29" s="29">
        <v>0</v>
      </c>
      <c r="F29" s="30" t="s">
        <v>13</v>
      </c>
      <c r="G29" s="30" t="s">
        <v>13</v>
      </c>
      <c r="H29" s="30" t="s">
        <v>13</v>
      </c>
      <c r="I29" s="31" t="s">
        <v>43</v>
      </c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</row>
    <row r="30" spans="1:79" s="33" customFormat="1" ht="31.5" customHeight="1">
      <c r="A30" s="35" t="s">
        <v>44</v>
      </c>
      <c r="B30" s="27">
        <f t="shared" si="2"/>
        <v>900</v>
      </c>
      <c r="C30" s="27">
        <v>0</v>
      </c>
      <c r="D30" s="28">
        <v>900</v>
      </c>
      <c r="E30" s="29">
        <v>400</v>
      </c>
      <c r="F30" s="30" t="s">
        <v>13</v>
      </c>
      <c r="G30" s="30" t="s">
        <v>13</v>
      </c>
      <c r="H30" s="30" t="s">
        <v>13</v>
      </c>
      <c r="I30" s="31" t="s">
        <v>45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</row>
    <row r="31" spans="1:79" s="33" customFormat="1" ht="21.75" customHeight="1">
      <c r="A31" s="35" t="s">
        <v>46</v>
      </c>
      <c r="B31" s="27">
        <f t="shared" si="2"/>
        <v>20976</v>
      </c>
      <c r="C31" s="27">
        <v>1287</v>
      </c>
      <c r="D31" s="28">
        <v>19689</v>
      </c>
      <c r="E31" s="29">
        <v>10023</v>
      </c>
      <c r="F31" s="30" t="s">
        <v>13</v>
      </c>
      <c r="G31" s="30" t="s">
        <v>13</v>
      </c>
      <c r="H31" s="30" t="s">
        <v>13</v>
      </c>
      <c r="I31" s="31" t="s">
        <v>47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</row>
    <row r="32" spans="1:79" s="33" customFormat="1" ht="30" customHeight="1">
      <c r="A32" s="35" t="s">
        <v>48</v>
      </c>
      <c r="B32" s="27">
        <f t="shared" si="2"/>
        <v>12375</v>
      </c>
      <c r="C32" s="27">
        <v>8662</v>
      </c>
      <c r="D32" s="27">
        <v>3713</v>
      </c>
      <c r="E32" s="34">
        <v>3713</v>
      </c>
      <c r="F32" s="30" t="s">
        <v>13</v>
      </c>
      <c r="G32" s="30" t="s">
        <v>13</v>
      </c>
      <c r="H32" s="30" t="s">
        <v>13</v>
      </c>
      <c r="I32" s="45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</row>
    <row r="33" spans="1:79" s="33" customFormat="1" ht="24.75" customHeight="1">
      <c r="A33" s="36" t="s">
        <v>49</v>
      </c>
      <c r="B33" s="37">
        <f>SUM(B26:B32)</f>
        <v>67980</v>
      </c>
      <c r="C33" s="37">
        <f>SUM(C26:C32)</f>
        <v>13960</v>
      </c>
      <c r="D33" s="37">
        <f>SUM(D26:D32)</f>
        <v>54020</v>
      </c>
      <c r="E33" s="37">
        <f>SUM(E26:E32)</f>
        <v>17604</v>
      </c>
      <c r="F33" s="38" t="s">
        <v>13</v>
      </c>
      <c r="G33" s="38" t="s">
        <v>13</v>
      </c>
      <c r="H33" s="38" t="s">
        <v>13</v>
      </c>
      <c r="I33" s="44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</row>
    <row r="34" spans="1:79" s="33" customFormat="1" ht="24.75" customHeight="1">
      <c r="A34" s="17" t="s">
        <v>50</v>
      </c>
      <c r="B34" s="27"/>
      <c r="C34" s="27"/>
      <c r="D34" s="27"/>
      <c r="E34" s="34"/>
      <c r="F34" s="30"/>
      <c r="G34" s="30"/>
      <c r="H34" s="30"/>
      <c r="I34" s="45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</row>
    <row r="35" spans="1:79" s="33" customFormat="1" ht="24.75" customHeight="1">
      <c r="A35" s="42" t="s">
        <v>51</v>
      </c>
      <c r="B35" s="27">
        <f>+C35+D35</f>
        <v>1122</v>
      </c>
      <c r="C35" s="27">
        <v>1103</v>
      </c>
      <c r="D35" s="27">
        <v>19</v>
      </c>
      <c r="E35" s="34">
        <v>19</v>
      </c>
      <c r="F35" s="30" t="s">
        <v>13</v>
      </c>
      <c r="G35" s="30" t="s">
        <v>13</v>
      </c>
      <c r="H35" s="30" t="s">
        <v>13</v>
      </c>
      <c r="I35" s="45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</row>
    <row r="36" spans="1:79" s="33" customFormat="1" ht="24.75" customHeight="1">
      <c r="A36" s="42" t="s">
        <v>52</v>
      </c>
      <c r="B36" s="27">
        <f>+C36+D36</f>
        <v>2030082</v>
      </c>
      <c r="C36" s="27">
        <f>648958+1357996</f>
        <v>2006954</v>
      </c>
      <c r="D36" s="27">
        <f>20787+2341</f>
        <v>23128</v>
      </c>
      <c r="E36" s="34">
        <v>23128</v>
      </c>
      <c r="F36" s="30" t="s">
        <v>13</v>
      </c>
      <c r="G36" s="30" t="s">
        <v>13</v>
      </c>
      <c r="H36" s="30" t="s">
        <v>13</v>
      </c>
      <c r="I36" s="45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</row>
    <row r="37" spans="1:79" s="33" customFormat="1" ht="24.75" customHeight="1">
      <c r="A37" s="35" t="s">
        <v>53</v>
      </c>
      <c r="B37" s="27">
        <f>+C37+D37</f>
        <v>9339</v>
      </c>
      <c r="C37" s="27">
        <v>4839</v>
      </c>
      <c r="D37" s="27">
        <v>4500</v>
      </c>
      <c r="E37" s="34">
        <v>4500</v>
      </c>
      <c r="F37" s="30" t="s">
        <v>13</v>
      </c>
      <c r="G37" s="30" t="s">
        <v>13</v>
      </c>
      <c r="H37" s="30" t="s">
        <v>13</v>
      </c>
      <c r="I37" s="31" t="s">
        <v>54</v>
      </c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</row>
    <row r="38" spans="1:79" s="33" customFormat="1" ht="24.75" customHeight="1">
      <c r="A38" s="36" t="s">
        <v>55</v>
      </c>
      <c r="B38" s="37">
        <f>SUM(B35:B37)</f>
        <v>2040543</v>
      </c>
      <c r="C38" s="37">
        <f>SUM(C35:C37)</f>
        <v>2012896</v>
      </c>
      <c r="D38" s="37">
        <f>SUM(D35:D37)</f>
        <v>27647</v>
      </c>
      <c r="E38" s="37">
        <f>SUM(E35:E37)</f>
        <v>27647</v>
      </c>
      <c r="F38" s="38" t="s">
        <v>13</v>
      </c>
      <c r="G38" s="38" t="s">
        <v>13</v>
      </c>
      <c r="H38" s="38" t="s">
        <v>13</v>
      </c>
      <c r="I38" s="44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</row>
    <row r="39" spans="1:79" s="33" customFormat="1" ht="24.75" customHeight="1">
      <c r="A39" s="17" t="s">
        <v>56</v>
      </c>
      <c r="B39" s="27">
        <f>+C39+D39</f>
        <v>0</v>
      </c>
      <c r="C39" s="27"/>
      <c r="D39" s="27"/>
      <c r="E39" s="34"/>
      <c r="F39" s="30"/>
      <c r="G39" s="30"/>
      <c r="H39" s="30"/>
      <c r="I39" s="3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</row>
    <row r="40" spans="1:79" s="33" customFormat="1" ht="33.75" customHeight="1">
      <c r="A40" s="35" t="s">
        <v>57</v>
      </c>
      <c r="B40" s="27">
        <f>+C40+D40</f>
        <v>325</v>
      </c>
      <c r="C40" s="27">
        <v>0</v>
      </c>
      <c r="D40" s="27">
        <v>325</v>
      </c>
      <c r="E40" s="34">
        <v>325</v>
      </c>
      <c r="F40" s="30" t="s">
        <v>13</v>
      </c>
      <c r="G40" s="30" t="s">
        <v>13</v>
      </c>
      <c r="H40" s="30" t="s">
        <v>13</v>
      </c>
      <c r="I40" s="3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</row>
    <row r="41" spans="1:79" s="33" customFormat="1" ht="28.5" customHeight="1">
      <c r="A41" s="35" t="s">
        <v>58</v>
      </c>
      <c r="B41" s="27">
        <f>+C41+D41</f>
        <v>8358</v>
      </c>
      <c r="C41" s="27">
        <v>6516</v>
      </c>
      <c r="D41" s="27">
        <v>1842</v>
      </c>
      <c r="E41" s="34">
        <v>1842</v>
      </c>
      <c r="F41" s="30" t="s">
        <v>13</v>
      </c>
      <c r="G41" s="30" t="s">
        <v>13</v>
      </c>
      <c r="H41" s="30" t="s">
        <v>13</v>
      </c>
      <c r="I41" s="3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</row>
    <row r="42" spans="1:79" s="33" customFormat="1" ht="30" customHeight="1">
      <c r="A42" s="35" t="s">
        <v>59</v>
      </c>
      <c r="B42" s="27">
        <f>+C42+D42</f>
        <v>275</v>
      </c>
      <c r="C42" s="27">
        <v>0</v>
      </c>
      <c r="D42" s="27">
        <v>275</v>
      </c>
      <c r="E42" s="34">
        <v>275</v>
      </c>
      <c r="F42" s="30" t="s">
        <v>13</v>
      </c>
      <c r="G42" s="30" t="s">
        <v>13</v>
      </c>
      <c r="H42" s="30" t="s">
        <v>13</v>
      </c>
      <c r="I42" s="3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</row>
    <row r="43" spans="1:79" s="33" customFormat="1" ht="24.75" customHeight="1">
      <c r="A43" s="36" t="s">
        <v>60</v>
      </c>
      <c r="B43" s="37">
        <f>SUM(B40:B42)</f>
        <v>8958</v>
      </c>
      <c r="C43" s="37">
        <f>SUM(C40:C42)</f>
        <v>6516</v>
      </c>
      <c r="D43" s="37">
        <f>SUM(D40:D42)</f>
        <v>2442</v>
      </c>
      <c r="E43" s="37">
        <f>SUM(E40:E42)</f>
        <v>2442</v>
      </c>
      <c r="F43" s="38" t="s">
        <v>13</v>
      </c>
      <c r="G43" s="38" t="s">
        <v>13</v>
      </c>
      <c r="H43" s="38" t="s">
        <v>13</v>
      </c>
      <c r="I43" s="44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</row>
    <row r="44" spans="1:79" s="33" customFormat="1" ht="24.75" customHeight="1">
      <c r="A44" s="17" t="s">
        <v>61</v>
      </c>
      <c r="B44" s="27"/>
      <c r="C44" s="27"/>
      <c r="D44" s="27"/>
      <c r="E44" s="34"/>
      <c r="F44" s="30"/>
      <c r="G44" s="30"/>
      <c r="H44" s="30"/>
      <c r="I44" s="45"/>
      <c r="J44" s="46">
        <f>+J46-J45</f>
        <v>461</v>
      </c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</row>
    <row r="45" spans="1:79" s="33" customFormat="1" ht="22.5" customHeight="1">
      <c r="A45" s="42" t="s">
        <v>62</v>
      </c>
      <c r="B45" s="27">
        <f aca="true" t="shared" si="3" ref="B45:B50">+C45+D45</f>
        <v>216422</v>
      </c>
      <c r="C45" s="27">
        <f>32191+150003</f>
        <v>182194</v>
      </c>
      <c r="D45" s="28">
        <f>341+33887</f>
        <v>34228</v>
      </c>
      <c r="E45" s="29">
        <f>+D45-17813-6846</f>
        <v>9569</v>
      </c>
      <c r="F45" s="30" t="s">
        <v>13</v>
      </c>
      <c r="G45" s="30" t="s">
        <v>13</v>
      </c>
      <c r="H45" s="30" t="s">
        <v>13</v>
      </c>
      <c r="I45" s="31" t="s">
        <v>63</v>
      </c>
      <c r="J45" s="46">
        <f>17813+78660</f>
        <v>96473</v>
      </c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</row>
    <row r="46" spans="1:79" s="33" customFormat="1" ht="21" customHeight="1">
      <c r="A46" s="35" t="s">
        <v>64</v>
      </c>
      <c r="B46" s="27">
        <f t="shared" si="3"/>
        <v>192632</v>
      </c>
      <c r="C46" s="27">
        <v>45144</v>
      </c>
      <c r="D46" s="28">
        <v>147488</v>
      </c>
      <c r="E46" s="29">
        <f>+D46-78660-29498</f>
        <v>39330</v>
      </c>
      <c r="F46" s="30" t="s">
        <v>13</v>
      </c>
      <c r="G46" s="30" t="s">
        <v>13</v>
      </c>
      <c r="H46" s="30" t="s">
        <v>13</v>
      </c>
      <c r="I46" s="31" t="s">
        <v>65</v>
      </c>
      <c r="J46" s="46">
        <v>96934</v>
      </c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</row>
    <row r="47" spans="1:79" s="33" customFormat="1" ht="18.75" customHeight="1">
      <c r="A47" s="42" t="s">
        <v>66</v>
      </c>
      <c r="B47" s="27">
        <f t="shared" si="3"/>
        <v>1275</v>
      </c>
      <c r="C47" s="27">
        <v>44</v>
      </c>
      <c r="D47" s="27">
        <v>1231</v>
      </c>
      <c r="E47" s="34">
        <v>1231</v>
      </c>
      <c r="F47" s="30" t="s">
        <v>13</v>
      </c>
      <c r="G47" s="30" t="s">
        <v>13</v>
      </c>
      <c r="H47" s="30" t="s">
        <v>13</v>
      </c>
      <c r="I47" s="3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</row>
    <row r="48" spans="1:79" s="33" customFormat="1" ht="31.5" customHeight="1">
      <c r="A48" s="35" t="s">
        <v>67</v>
      </c>
      <c r="B48" s="27">
        <f t="shared" si="3"/>
        <v>76078</v>
      </c>
      <c r="C48" s="27">
        <v>55987</v>
      </c>
      <c r="D48" s="27">
        <v>20091</v>
      </c>
      <c r="E48" s="34">
        <v>20091</v>
      </c>
      <c r="F48" s="30" t="s">
        <v>13</v>
      </c>
      <c r="G48" s="30" t="s">
        <v>13</v>
      </c>
      <c r="H48" s="30" t="s">
        <v>13</v>
      </c>
      <c r="I48" s="3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</row>
    <row r="49" spans="1:79" s="33" customFormat="1" ht="27" customHeight="1">
      <c r="A49" s="35" t="s">
        <v>68</v>
      </c>
      <c r="B49" s="27">
        <f t="shared" si="3"/>
        <v>28902</v>
      </c>
      <c r="C49" s="27">
        <v>6432</v>
      </c>
      <c r="D49" s="28">
        <v>22470</v>
      </c>
      <c r="E49" s="29">
        <f>+D49-11335</f>
        <v>11135</v>
      </c>
      <c r="F49" s="30" t="s">
        <v>13</v>
      </c>
      <c r="G49" s="30" t="s">
        <v>13</v>
      </c>
      <c r="H49" s="30" t="s">
        <v>13</v>
      </c>
      <c r="I49" s="31" t="s">
        <v>69</v>
      </c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</row>
    <row r="50" spans="1:79" s="33" customFormat="1" ht="19.5" customHeight="1">
      <c r="A50" s="35" t="s">
        <v>70</v>
      </c>
      <c r="B50" s="27">
        <f t="shared" si="3"/>
        <v>10023</v>
      </c>
      <c r="C50" s="27">
        <v>0</v>
      </c>
      <c r="D50" s="27">
        <v>10023</v>
      </c>
      <c r="E50" s="34">
        <v>10023</v>
      </c>
      <c r="F50" s="30" t="s">
        <v>13</v>
      </c>
      <c r="G50" s="30" t="s">
        <v>13</v>
      </c>
      <c r="H50" s="30" t="s">
        <v>13</v>
      </c>
      <c r="I50" s="3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</row>
    <row r="51" spans="1:79" s="33" customFormat="1" ht="24.75" customHeight="1">
      <c r="A51" s="36" t="s">
        <v>71</v>
      </c>
      <c r="B51" s="37">
        <f>SUM(B45:B50)</f>
        <v>525332</v>
      </c>
      <c r="C51" s="37">
        <f>SUM(C45:C50)</f>
        <v>289801</v>
      </c>
      <c r="D51" s="37">
        <f>SUM(D45:D50)</f>
        <v>235531</v>
      </c>
      <c r="E51" s="37">
        <f>SUM(E45:E50)</f>
        <v>91379</v>
      </c>
      <c r="F51" s="38" t="s">
        <v>13</v>
      </c>
      <c r="G51" s="38" t="s">
        <v>13</v>
      </c>
      <c r="H51" s="38" t="s">
        <v>13</v>
      </c>
      <c r="I51" s="44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</row>
    <row r="52" spans="1:79" s="33" customFormat="1" ht="24.75" customHeight="1">
      <c r="A52" s="17" t="s">
        <v>72</v>
      </c>
      <c r="B52" s="27"/>
      <c r="C52" s="27"/>
      <c r="D52" s="27"/>
      <c r="E52" s="34"/>
      <c r="F52" s="30"/>
      <c r="G52" s="30"/>
      <c r="H52" s="30"/>
      <c r="I52" s="45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</row>
    <row r="53" spans="1:79" s="33" customFormat="1" ht="24.75" customHeight="1">
      <c r="A53" s="42" t="s">
        <v>73</v>
      </c>
      <c r="B53" s="27">
        <f>+C53+D53</f>
        <v>21096</v>
      </c>
      <c r="C53" s="27">
        <v>14700</v>
      </c>
      <c r="D53" s="27">
        <v>6396</v>
      </c>
      <c r="E53" s="34">
        <v>6396</v>
      </c>
      <c r="F53" s="30" t="s">
        <v>13</v>
      </c>
      <c r="G53" s="30" t="s">
        <v>13</v>
      </c>
      <c r="H53" s="30" t="s">
        <v>13</v>
      </c>
      <c r="I53" s="45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</row>
    <row r="54" spans="1:79" s="33" customFormat="1" ht="28.5" customHeight="1">
      <c r="A54" s="35" t="s">
        <v>74</v>
      </c>
      <c r="B54" s="27">
        <f>+C54+D54</f>
        <v>8144</v>
      </c>
      <c r="C54" s="27">
        <v>5688</v>
      </c>
      <c r="D54" s="27">
        <f>3312-504-352</f>
        <v>2456</v>
      </c>
      <c r="E54" s="34">
        <v>2456</v>
      </c>
      <c r="F54" s="30" t="s">
        <v>13</v>
      </c>
      <c r="G54" s="30" t="s">
        <v>13</v>
      </c>
      <c r="H54" s="30" t="s">
        <v>13</v>
      </c>
      <c r="I54" s="45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</row>
    <row r="55" spans="1:79" s="33" customFormat="1" ht="28.5" customHeight="1">
      <c r="A55" s="35" t="s">
        <v>75</v>
      </c>
      <c r="B55" s="27">
        <f>+C55+D55</f>
        <v>51250</v>
      </c>
      <c r="C55" s="27">
        <v>0</v>
      </c>
      <c r="D55" s="27">
        <v>51250</v>
      </c>
      <c r="E55" s="34">
        <f>51250-22182</f>
        <v>29068</v>
      </c>
      <c r="F55" s="30" t="s">
        <v>13</v>
      </c>
      <c r="G55" s="30" t="s">
        <v>13</v>
      </c>
      <c r="H55" s="30" t="s">
        <v>13</v>
      </c>
      <c r="I55" s="31" t="s">
        <v>76</v>
      </c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</row>
    <row r="56" spans="1:79" s="33" customFormat="1" ht="25.5" customHeight="1">
      <c r="A56" s="42" t="s">
        <v>77</v>
      </c>
      <c r="B56" s="27">
        <f>+C56+D56</f>
        <v>1220</v>
      </c>
      <c r="C56" s="27">
        <v>0</v>
      </c>
      <c r="D56" s="27">
        <v>1220</v>
      </c>
      <c r="E56" s="34">
        <v>1220</v>
      </c>
      <c r="F56" s="30" t="s">
        <v>13</v>
      </c>
      <c r="G56" s="30" t="s">
        <v>13</v>
      </c>
      <c r="H56" s="30" t="s">
        <v>13</v>
      </c>
      <c r="I56" s="45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</row>
    <row r="57" spans="1:79" s="33" customFormat="1" ht="24.75" customHeight="1">
      <c r="A57" s="42" t="s">
        <v>78</v>
      </c>
      <c r="B57" s="27">
        <f>+C57+D57</f>
        <v>8000</v>
      </c>
      <c r="C57" s="27">
        <v>0</v>
      </c>
      <c r="D57" s="27">
        <v>8000</v>
      </c>
      <c r="E57" s="34">
        <v>8000</v>
      </c>
      <c r="F57" s="30" t="s">
        <v>13</v>
      </c>
      <c r="G57" s="30" t="s">
        <v>13</v>
      </c>
      <c r="H57" s="30" t="s">
        <v>13</v>
      </c>
      <c r="I57" s="45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</row>
    <row r="58" spans="1:79" s="33" customFormat="1" ht="24.75" customHeight="1">
      <c r="A58" s="36" t="s">
        <v>79</v>
      </c>
      <c r="B58" s="37">
        <f>SUM(B53:B57)</f>
        <v>89710</v>
      </c>
      <c r="C58" s="37">
        <f>SUM(C53:C57)</f>
        <v>20388</v>
      </c>
      <c r="D58" s="37">
        <f>SUM(D53:D57)</f>
        <v>69322</v>
      </c>
      <c r="E58" s="37">
        <f>SUM(E53:E57)</f>
        <v>47140</v>
      </c>
      <c r="F58" s="38" t="s">
        <v>13</v>
      </c>
      <c r="G58" s="38" t="s">
        <v>13</v>
      </c>
      <c r="H58" s="38" t="s">
        <v>13</v>
      </c>
      <c r="I58" s="44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</row>
    <row r="59" spans="1:79" s="33" customFormat="1" ht="24.75" customHeight="1">
      <c r="A59" s="17" t="s">
        <v>80</v>
      </c>
      <c r="B59" s="27"/>
      <c r="C59" s="27"/>
      <c r="D59" s="27"/>
      <c r="E59" s="34"/>
      <c r="F59" s="30"/>
      <c r="G59" s="30"/>
      <c r="H59" s="30"/>
      <c r="I59" s="45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</row>
    <row r="60" spans="1:79" s="33" customFormat="1" ht="21" customHeight="1">
      <c r="A60" s="42" t="s">
        <v>81</v>
      </c>
      <c r="B60" s="27">
        <f>+C60+D60</f>
        <v>628708</v>
      </c>
      <c r="C60" s="27">
        <v>625873</v>
      </c>
      <c r="D60" s="28">
        <f>2723+112</f>
        <v>2835</v>
      </c>
      <c r="E60" s="29">
        <v>2723</v>
      </c>
      <c r="F60" s="30" t="s">
        <v>13</v>
      </c>
      <c r="G60" s="30" t="s">
        <v>13</v>
      </c>
      <c r="H60" s="30" t="s">
        <v>13</v>
      </c>
      <c r="I60" s="31" t="s">
        <v>82</v>
      </c>
      <c r="J60" s="11"/>
      <c r="K60" s="47" t="s">
        <v>83</v>
      </c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</row>
    <row r="61" spans="1:79" s="33" customFormat="1" ht="21" customHeight="1">
      <c r="A61" s="35" t="s">
        <v>84</v>
      </c>
      <c r="B61" s="27">
        <f>+C61+D61</f>
        <v>489587</v>
      </c>
      <c r="C61" s="27">
        <f>520119-30800+188</f>
        <v>489507</v>
      </c>
      <c r="D61" s="27">
        <v>80</v>
      </c>
      <c r="E61" s="34">
        <v>80</v>
      </c>
      <c r="F61" s="30" t="s">
        <v>13</v>
      </c>
      <c r="G61" s="30" t="s">
        <v>13</v>
      </c>
      <c r="H61" s="30" t="s">
        <v>13</v>
      </c>
      <c r="I61" s="43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</row>
    <row r="62" spans="1:79" s="33" customFormat="1" ht="21" customHeight="1">
      <c r="A62" s="35" t="s">
        <v>85</v>
      </c>
      <c r="B62" s="27">
        <f>+C62+D62</f>
        <v>106976</v>
      </c>
      <c r="C62" s="27">
        <f>110913-4475+37</f>
        <v>106475</v>
      </c>
      <c r="D62" s="27">
        <v>501</v>
      </c>
      <c r="E62" s="34">
        <v>501</v>
      </c>
      <c r="F62" s="30" t="s">
        <v>13</v>
      </c>
      <c r="G62" s="30" t="s">
        <v>13</v>
      </c>
      <c r="H62" s="30" t="s">
        <v>13</v>
      </c>
      <c r="I62" s="43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</row>
    <row r="63" spans="1:79" s="33" customFormat="1" ht="29.25" customHeight="1">
      <c r="A63" s="35" t="s">
        <v>86</v>
      </c>
      <c r="B63" s="27">
        <f>+C63+D63</f>
        <v>654739</v>
      </c>
      <c r="C63" s="27">
        <v>653914</v>
      </c>
      <c r="D63" s="27">
        <f>625+200</f>
        <v>825</v>
      </c>
      <c r="E63" s="34">
        <v>825</v>
      </c>
      <c r="F63" s="30" t="s">
        <v>13</v>
      </c>
      <c r="G63" s="30" t="s">
        <v>13</v>
      </c>
      <c r="H63" s="30" t="s">
        <v>13</v>
      </c>
      <c r="I63" s="43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</row>
    <row r="64" spans="1:79" s="33" customFormat="1" ht="24.75" customHeight="1">
      <c r="A64" s="36" t="s">
        <v>87</v>
      </c>
      <c r="B64" s="37">
        <f>SUM(B60:B63)</f>
        <v>1880010</v>
      </c>
      <c r="C64" s="37">
        <f>SUM(C60:C63)</f>
        <v>1875769</v>
      </c>
      <c r="D64" s="37">
        <f>SUM(D60:D63)</f>
        <v>4241</v>
      </c>
      <c r="E64" s="37">
        <f>SUM(E60:E63)</f>
        <v>4129</v>
      </c>
      <c r="F64" s="38" t="s">
        <v>13</v>
      </c>
      <c r="G64" s="38" t="s">
        <v>13</v>
      </c>
      <c r="H64" s="38" t="s">
        <v>13</v>
      </c>
      <c r="I64" s="44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</row>
    <row r="65" spans="1:79" s="33" customFormat="1" ht="24.75" customHeight="1">
      <c r="A65" s="17" t="s">
        <v>88</v>
      </c>
      <c r="B65" s="27"/>
      <c r="C65" s="27"/>
      <c r="D65" s="48"/>
      <c r="E65" s="34"/>
      <c r="F65" s="30"/>
      <c r="G65" s="30"/>
      <c r="H65" s="30"/>
      <c r="I65" s="45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</row>
    <row r="66" spans="1:79" s="33" customFormat="1" ht="19.5" customHeight="1">
      <c r="A66" s="42" t="s">
        <v>89</v>
      </c>
      <c r="B66" s="27">
        <f>+C66+D66</f>
        <v>2225</v>
      </c>
      <c r="C66" s="27">
        <v>0</v>
      </c>
      <c r="D66" s="27">
        <v>2225</v>
      </c>
      <c r="E66" s="34">
        <v>2225</v>
      </c>
      <c r="F66" s="30" t="s">
        <v>13</v>
      </c>
      <c r="G66" s="30" t="s">
        <v>13</v>
      </c>
      <c r="H66" s="30" t="s">
        <v>13</v>
      </c>
      <c r="I66" s="45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</row>
    <row r="67" spans="1:79" s="33" customFormat="1" ht="30.75" customHeight="1">
      <c r="A67" s="35" t="s">
        <v>90</v>
      </c>
      <c r="B67" s="27">
        <f>+C67+D67</f>
        <v>745</v>
      </c>
      <c r="C67" s="27">
        <v>0</v>
      </c>
      <c r="D67" s="28">
        <v>745</v>
      </c>
      <c r="E67" s="29">
        <v>0</v>
      </c>
      <c r="F67" s="30" t="s">
        <v>13</v>
      </c>
      <c r="G67" s="30" t="s">
        <v>13</v>
      </c>
      <c r="H67" s="30" t="s">
        <v>13</v>
      </c>
      <c r="I67" s="31" t="s">
        <v>91</v>
      </c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</row>
    <row r="68" spans="1:79" s="33" customFormat="1" ht="24.75" customHeight="1">
      <c r="A68" s="36" t="s">
        <v>92</v>
      </c>
      <c r="B68" s="37">
        <f aca="true" t="shared" si="4" ref="B68:H68">SUM(B66:B67)</f>
        <v>2970</v>
      </c>
      <c r="C68" s="37">
        <f t="shared" si="4"/>
        <v>0</v>
      </c>
      <c r="D68" s="37">
        <f t="shared" si="4"/>
        <v>2970</v>
      </c>
      <c r="E68" s="37">
        <f t="shared" si="4"/>
        <v>2225</v>
      </c>
      <c r="F68" s="37">
        <f t="shared" si="4"/>
        <v>0</v>
      </c>
      <c r="G68" s="37">
        <f t="shared" si="4"/>
        <v>0</v>
      </c>
      <c r="H68" s="37">
        <f t="shared" si="4"/>
        <v>0</v>
      </c>
      <c r="I68" s="37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</row>
    <row r="69" spans="1:79" s="33" customFormat="1" ht="24.75" customHeight="1">
      <c r="A69" s="17" t="s">
        <v>93</v>
      </c>
      <c r="B69" s="27"/>
      <c r="C69" s="27"/>
      <c r="D69" s="27"/>
      <c r="E69" s="34"/>
      <c r="F69" s="30"/>
      <c r="G69" s="30"/>
      <c r="H69" s="30"/>
      <c r="I69" s="45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</row>
    <row r="70" spans="1:79" s="33" customFormat="1" ht="21.75" customHeight="1">
      <c r="A70" s="35" t="s">
        <v>94</v>
      </c>
      <c r="B70" s="27">
        <f aca="true" t="shared" si="5" ref="B70:B76">+C70+D70</f>
        <v>16000</v>
      </c>
      <c r="C70" s="27">
        <v>14800</v>
      </c>
      <c r="D70" s="27">
        <v>1200</v>
      </c>
      <c r="E70" s="34">
        <v>1200</v>
      </c>
      <c r="F70" s="30" t="s">
        <v>13</v>
      </c>
      <c r="G70" s="30" t="s">
        <v>13</v>
      </c>
      <c r="H70" s="30" t="s">
        <v>13</v>
      </c>
      <c r="I70" s="45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</row>
    <row r="71" spans="1:79" s="33" customFormat="1" ht="18" customHeight="1">
      <c r="A71" s="49" t="s">
        <v>95</v>
      </c>
      <c r="B71" s="27">
        <f t="shared" si="5"/>
        <v>5460</v>
      </c>
      <c r="C71" s="27">
        <v>2850</v>
      </c>
      <c r="D71" s="27">
        <v>2610</v>
      </c>
      <c r="E71" s="34">
        <v>2610</v>
      </c>
      <c r="F71" s="30" t="s">
        <v>13</v>
      </c>
      <c r="G71" s="30" t="s">
        <v>13</v>
      </c>
      <c r="H71" s="30" t="s">
        <v>13</v>
      </c>
      <c r="I71" s="45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</row>
    <row r="72" spans="1:79" s="33" customFormat="1" ht="27.75" customHeight="1">
      <c r="A72" s="50" t="s">
        <v>96</v>
      </c>
      <c r="B72" s="27">
        <f t="shared" si="5"/>
        <v>1250</v>
      </c>
      <c r="C72" s="27">
        <v>0</v>
      </c>
      <c r="D72" s="27">
        <v>1250</v>
      </c>
      <c r="E72" s="34">
        <v>1250</v>
      </c>
      <c r="F72" s="30" t="s">
        <v>13</v>
      </c>
      <c r="G72" s="30" t="s">
        <v>13</v>
      </c>
      <c r="H72" s="30" t="s">
        <v>13</v>
      </c>
      <c r="I72" s="45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</row>
    <row r="73" spans="1:79" s="33" customFormat="1" ht="30" customHeight="1">
      <c r="A73" s="51" t="s">
        <v>97</v>
      </c>
      <c r="B73" s="27">
        <f t="shared" si="5"/>
        <v>1874</v>
      </c>
      <c r="C73" s="27">
        <v>937</v>
      </c>
      <c r="D73" s="27">
        <v>937</v>
      </c>
      <c r="E73" s="34">
        <v>937</v>
      </c>
      <c r="F73" s="30" t="s">
        <v>13</v>
      </c>
      <c r="G73" s="30" t="s">
        <v>13</v>
      </c>
      <c r="H73" s="30" t="s">
        <v>13</v>
      </c>
      <c r="I73" s="45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</row>
    <row r="74" spans="1:79" s="33" customFormat="1" ht="27.75" customHeight="1">
      <c r="A74" s="52" t="s">
        <v>98</v>
      </c>
      <c r="B74" s="27">
        <f t="shared" si="5"/>
        <v>1563</v>
      </c>
      <c r="C74" s="27">
        <v>0</v>
      </c>
      <c r="D74" s="27">
        <v>1563</v>
      </c>
      <c r="E74" s="34">
        <v>1563</v>
      </c>
      <c r="F74" s="30" t="s">
        <v>13</v>
      </c>
      <c r="G74" s="30" t="s">
        <v>13</v>
      </c>
      <c r="H74" s="30" t="s">
        <v>13</v>
      </c>
      <c r="I74" s="45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</row>
    <row r="75" spans="1:79" s="33" customFormat="1" ht="18.75" customHeight="1">
      <c r="A75" s="35" t="s">
        <v>99</v>
      </c>
      <c r="B75" s="27">
        <f t="shared" si="5"/>
        <v>3000</v>
      </c>
      <c r="C75" s="27">
        <v>0</v>
      </c>
      <c r="D75" s="27">
        <v>3000</v>
      </c>
      <c r="E75" s="34">
        <v>3000</v>
      </c>
      <c r="F75" s="30" t="s">
        <v>13</v>
      </c>
      <c r="G75" s="30" t="s">
        <v>13</v>
      </c>
      <c r="H75" s="30" t="s">
        <v>13</v>
      </c>
      <c r="I75" s="45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</row>
    <row r="76" spans="1:79" s="33" customFormat="1" ht="21" customHeight="1">
      <c r="A76" s="35" t="s">
        <v>100</v>
      </c>
      <c r="B76" s="27">
        <f t="shared" si="5"/>
        <v>1488</v>
      </c>
      <c r="C76" s="27">
        <v>1338</v>
      </c>
      <c r="D76" s="27">
        <v>150</v>
      </c>
      <c r="E76" s="34">
        <v>150</v>
      </c>
      <c r="F76" s="30" t="s">
        <v>13</v>
      </c>
      <c r="G76" s="30" t="s">
        <v>13</v>
      </c>
      <c r="H76" s="30" t="s">
        <v>13</v>
      </c>
      <c r="I76" s="45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</row>
    <row r="77" spans="1:79" s="33" customFormat="1" ht="24.75" customHeight="1">
      <c r="A77" s="53" t="s">
        <v>101</v>
      </c>
      <c r="B77" s="37">
        <f>SUM(B70:B76)</f>
        <v>30635</v>
      </c>
      <c r="C77" s="37">
        <f>SUM(C70:C76)</f>
        <v>19925</v>
      </c>
      <c r="D77" s="37">
        <f>SUM(D70:D76)</f>
        <v>10710</v>
      </c>
      <c r="E77" s="37">
        <f>SUM(E70:E76)</f>
        <v>10710</v>
      </c>
      <c r="F77" s="38" t="s">
        <v>13</v>
      </c>
      <c r="G77" s="38" t="s">
        <v>13</v>
      </c>
      <c r="H77" s="38" t="s">
        <v>13</v>
      </c>
      <c r="I77" s="44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</row>
    <row r="78" spans="1:79" s="58" customFormat="1" ht="39.75" customHeight="1">
      <c r="A78" s="54" t="s">
        <v>102</v>
      </c>
      <c r="B78" s="55">
        <f>+B13+B24+B33+B38+B43+B51+B58+B64+B68+B77</f>
        <v>5814801</v>
      </c>
      <c r="C78" s="55">
        <f>+C13+C24+C33+C38+C43+C51+C58+C64+C68+C77</f>
        <v>5210342</v>
      </c>
      <c r="D78" s="55">
        <f>+D13+D24+D33+D38+D43+D51+D58+D64+D68+D77</f>
        <v>604459</v>
      </c>
      <c r="E78" s="55">
        <f>+E13+E24+E33+E38+E43+E51+E58+E64+E68+E77</f>
        <v>246510</v>
      </c>
      <c r="F78" s="56"/>
      <c r="G78" s="56"/>
      <c r="H78" s="56"/>
      <c r="I78" s="57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</row>
    <row r="79" spans="1:79" s="63" customFormat="1" ht="25.5" customHeight="1">
      <c r="A79" s="59" t="s">
        <v>103</v>
      </c>
      <c r="B79" s="60"/>
      <c r="C79" s="60"/>
      <c r="D79" s="60"/>
      <c r="E79" s="61"/>
      <c r="F79" s="60"/>
      <c r="G79" s="60"/>
      <c r="H79" s="60"/>
      <c r="I79" s="49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</row>
    <row r="80" spans="1:79" s="63" customFormat="1" ht="29.25" customHeight="1">
      <c r="A80" s="35" t="s">
        <v>104</v>
      </c>
      <c r="B80" s="60">
        <f>+C80+D80</f>
        <v>1221404</v>
      </c>
      <c r="C80" s="60">
        <f>15792+85949</f>
        <v>101741</v>
      </c>
      <c r="D80" s="64">
        <f>936983+182680</f>
        <v>1119663</v>
      </c>
      <c r="E80" s="65">
        <v>27694</v>
      </c>
      <c r="F80" s="60" t="s">
        <v>13</v>
      </c>
      <c r="G80" s="60" t="s">
        <v>13</v>
      </c>
      <c r="H80" s="60" t="s">
        <v>13</v>
      </c>
      <c r="I80" s="66" t="s">
        <v>105</v>
      </c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</row>
    <row r="81" spans="1:79" s="63" customFormat="1" ht="27" customHeight="1">
      <c r="A81" s="35" t="s">
        <v>106</v>
      </c>
      <c r="B81" s="60">
        <f>+C81+D81+F81+G81+H81</f>
        <v>100000</v>
      </c>
      <c r="C81" s="60">
        <v>20000</v>
      </c>
      <c r="D81" s="60">
        <v>20000</v>
      </c>
      <c r="E81" s="61">
        <v>20000</v>
      </c>
      <c r="F81" s="60">
        <v>20000</v>
      </c>
      <c r="G81" s="60">
        <v>20000</v>
      </c>
      <c r="H81" s="60">
        <v>20000</v>
      </c>
      <c r="I81" s="67" t="s">
        <v>107</v>
      </c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</row>
    <row r="82" spans="1:79" s="63" customFormat="1" ht="21.75" customHeight="1">
      <c r="A82" s="35" t="s">
        <v>108</v>
      </c>
      <c r="B82" s="60">
        <f>+C82+D82+F82</f>
        <v>80000</v>
      </c>
      <c r="C82" s="60">
        <f>53000+6750+6750</f>
        <v>66500</v>
      </c>
      <c r="D82" s="60">
        <v>6750</v>
      </c>
      <c r="E82" s="61">
        <v>6750</v>
      </c>
      <c r="F82" s="60">
        <v>6750</v>
      </c>
      <c r="G82" s="60" t="s">
        <v>13</v>
      </c>
      <c r="H82" s="60" t="s">
        <v>13</v>
      </c>
      <c r="I82" s="67" t="s">
        <v>109</v>
      </c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</row>
    <row r="83" spans="1:79" s="63" customFormat="1" ht="39" customHeight="1">
      <c r="A83" s="35" t="s">
        <v>110</v>
      </c>
      <c r="B83" s="60">
        <f>+C83+D83+F83</f>
        <v>15000</v>
      </c>
      <c r="C83" s="60">
        <f>9000+2000</f>
        <v>11000</v>
      </c>
      <c r="D83" s="60">
        <v>2000</v>
      </c>
      <c r="E83" s="61">
        <v>2000</v>
      </c>
      <c r="F83" s="60">
        <v>2000</v>
      </c>
      <c r="G83" s="60" t="s">
        <v>13</v>
      </c>
      <c r="H83" s="60" t="s">
        <v>13</v>
      </c>
      <c r="I83" s="67" t="s">
        <v>111</v>
      </c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</row>
    <row r="84" spans="1:79" s="73" customFormat="1" ht="32.25" customHeight="1">
      <c r="A84" s="68" t="s">
        <v>112</v>
      </c>
      <c r="B84" s="69">
        <f aca="true" t="shared" si="6" ref="B84:H84">SUM(B80:B83)</f>
        <v>1416404</v>
      </c>
      <c r="C84" s="69">
        <f t="shared" si="6"/>
        <v>199241</v>
      </c>
      <c r="D84" s="69">
        <f t="shared" si="6"/>
        <v>1148413</v>
      </c>
      <c r="E84" s="70">
        <f t="shared" si="6"/>
        <v>56444</v>
      </c>
      <c r="F84" s="69">
        <f t="shared" si="6"/>
        <v>28750</v>
      </c>
      <c r="G84" s="69">
        <f t="shared" si="6"/>
        <v>20000</v>
      </c>
      <c r="H84" s="69">
        <f t="shared" si="6"/>
        <v>20000</v>
      </c>
      <c r="I84" s="71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72"/>
      <c r="BY84" s="72"/>
      <c r="BZ84" s="72"/>
      <c r="CA84" s="72"/>
    </row>
    <row r="85" spans="1:9" ht="24.75" customHeight="1" hidden="1" outlineLevel="1">
      <c r="A85" s="74" t="s">
        <v>113</v>
      </c>
      <c r="B85" s="75"/>
      <c r="C85" s="75"/>
      <c r="D85" s="75"/>
      <c r="E85" s="76"/>
      <c r="F85" s="75"/>
      <c r="G85" s="75"/>
      <c r="H85" s="75"/>
      <c r="I85" s="77"/>
    </row>
    <row r="86" spans="1:9" ht="39" customHeight="1" hidden="1" outlineLevel="1">
      <c r="A86" s="78"/>
      <c r="B86" s="75"/>
      <c r="C86" s="75"/>
      <c r="D86" s="75"/>
      <c r="E86" s="76"/>
      <c r="F86" s="79"/>
      <c r="G86" s="79"/>
      <c r="H86" s="79"/>
      <c r="I86" s="80"/>
    </row>
    <row r="87" spans="1:9" ht="39" customHeight="1" hidden="1" outlineLevel="1">
      <c r="A87" s="78"/>
      <c r="B87" s="75"/>
      <c r="C87" s="75"/>
      <c r="D87" s="75"/>
      <c r="E87" s="76"/>
      <c r="F87" s="79"/>
      <c r="G87" s="79"/>
      <c r="H87" s="79"/>
      <c r="I87" s="80"/>
    </row>
    <row r="88" spans="1:9" ht="39" customHeight="1" hidden="1" outlineLevel="1">
      <c r="A88" s="78"/>
      <c r="B88" s="75"/>
      <c r="C88" s="75"/>
      <c r="D88" s="75"/>
      <c r="E88" s="76"/>
      <c r="F88" s="79"/>
      <c r="G88" s="79"/>
      <c r="H88" s="79"/>
      <c r="I88" s="80"/>
    </row>
    <row r="89" spans="1:79" s="86" customFormat="1" ht="39" customHeight="1" hidden="1" outlineLevel="1">
      <c r="A89" s="81" t="s">
        <v>114</v>
      </c>
      <c r="B89" s="82">
        <f aca="true" t="shared" si="7" ref="B89:H89">SUM(B86:B88)</f>
        <v>0</v>
      </c>
      <c r="C89" s="82">
        <f t="shared" si="7"/>
        <v>0</v>
      </c>
      <c r="D89" s="82">
        <f t="shared" si="7"/>
        <v>0</v>
      </c>
      <c r="E89" s="83">
        <f t="shared" si="7"/>
        <v>0</v>
      </c>
      <c r="F89" s="82">
        <f t="shared" si="7"/>
        <v>0</v>
      </c>
      <c r="G89" s="82">
        <f t="shared" si="7"/>
        <v>0</v>
      </c>
      <c r="H89" s="82">
        <f t="shared" si="7"/>
        <v>0</v>
      </c>
      <c r="I89" s="84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</row>
    <row r="90" spans="1:79" s="90" customFormat="1" ht="27" customHeight="1" collapsed="1">
      <c r="A90" s="87" t="s">
        <v>115</v>
      </c>
      <c r="B90" s="75"/>
      <c r="C90" s="75"/>
      <c r="D90" s="75"/>
      <c r="E90" s="76"/>
      <c r="F90" s="75"/>
      <c r="G90" s="75"/>
      <c r="H90" s="75"/>
      <c r="I90" s="88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9"/>
      <c r="BI90" s="89"/>
      <c r="BJ90" s="89"/>
      <c r="BK90" s="89"/>
      <c r="BL90" s="89"/>
      <c r="BM90" s="89"/>
      <c r="BN90" s="89"/>
      <c r="BO90" s="89"/>
      <c r="BP90" s="89"/>
      <c r="BQ90" s="89"/>
      <c r="BR90" s="89"/>
      <c r="BS90" s="89"/>
      <c r="BT90" s="89"/>
      <c r="BU90" s="89"/>
      <c r="BV90" s="89"/>
      <c r="BW90" s="89"/>
      <c r="BX90" s="89"/>
      <c r="BY90" s="89"/>
      <c r="BZ90" s="89"/>
      <c r="CA90" s="89"/>
    </row>
    <row r="91" spans="1:79" s="90" customFormat="1" ht="20.25" customHeight="1">
      <c r="A91" s="17" t="s">
        <v>11</v>
      </c>
      <c r="B91" s="91"/>
      <c r="C91" s="91"/>
      <c r="D91" s="91"/>
      <c r="E91" s="92"/>
      <c r="F91" s="91"/>
      <c r="G91" s="91"/>
      <c r="H91" s="91"/>
      <c r="I91" s="88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89"/>
      <c r="BJ91" s="89"/>
      <c r="BK91" s="89"/>
      <c r="BL91" s="89"/>
      <c r="BM91" s="89"/>
      <c r="BN91" s="89"/>
      <c r="BO91" s="89"/>
      <c r="BP91" s="89"/>
      <c r="BQ91" s="89"/>
      <c r="BR91" s="89"/>
      <c r="BS91" s="89"/>
      <c r="BT91" s="89"/>
      <c r="BU91" s="89"/>
      <c r="BV91" s="89"/>
      <c r="BW91" s="89"/>
      <c r="BX91" s="89"/>
      <c r="BY91" s="89"/>
      <c r="BZ91" s="89"/>
      <c r="CA91" s="89"/>
    </row>
    <row r="92" spans="1:9" ht="21" customHeight="1">
      <c r="A92" s="51" t="s">
        <v>19</v>
      </c>
      <c r="B92" s="91">
        <f>+C92+D92</f>
        <v>24253</v>
      </c>
      <c r="C92" s="91">
        <v>9253</v>
      </c>
      <c r="D92" s="91">
        <v>15000</v>
      </c>
      <c r="E92" s="92">
        <v>15000</v>
      </c>
      <c r="F92" s="91" t="s">
        <v>13</v>
      </c>
      <c r="G92" s="91" t="s">
        <v>13</v>
      </c>
      <c r="H92" s="91" t="s">
        <v>13</v>
      </c>
      <c r="I92" s="93"/>
    </row>
    <row r="93" spans="1:9" ht="21" customHeight="1">
      <c r="A93" s="51" t="s">
        <v>116</v>
      </c>
      <c r="B93" s="91">
        <f>+C93+D93</f>
        <v>5269</v>
      </c>
      <c r="C93" s="91">
        <v>1969</v>
      </c>
      <c r="D93" s="91">
        <v>3300</v>
      </c>
      <c r="E93" s="92">
        <v>3300</v>
      </c>
      <c r="F93" s="91" t="s">
        <v>13</v>
      </c>
      <c r="G93" s="91" t="s">
        <v>13</v>
      </c>
      <c r="H93" s="91" t="s">
        <v>13</v>
      </c>
      <c r="I93" s="93"/>
    </row>
    <row r="94" spans="1:9" ht="27" customHeight="1">
      <c r="A94" s="51" t="s">
        <v>181</v>
      </c>
      <c r="B94" s="91">
        <f>+C94+D94</f>
        <v>800</v>
      </c>
      <c r="C94" s="91">
        <v>0</v>
      </c>
      <c r="D94" s="91">
        <v>800</v>
      </c>
      <c r="E94" s="92">
        <v>800</v>
      </c>
      <c r="F94" s="91" t="s">
        <v>13</v>
      </c>
      <c r="G94" s="91" t="s">
        <v>13</v>
      </c>
      <c r="H94" s="91" t="s">
        <v>13</v>
      </c>
      <c r="I94" s="93"/>
    </row>
    <row r="95" spans="1:9" ht="27" customHeight="1">
      <c r="A95" s="51" t="s">
        <v>117</v>
      </c>
      <c r="B95" s="91">
        <f>+C95+D95</f>
        <v>2700</v>
      </c>
      <c r="C95" s="91">
        <v>0</v>
      </c>
      <c r="D95" s="91">
        <v>2700</v>
      </c>
      <c r="E95" s="92">
        <v>2700</v>
      </c>
      <c r="F95" s="91" t="s">
        <v>13</v>
      </c>
      <c r="G95" s="91" t="s">
        <v>13</v>
      </c>
      <c r="H95" s="91" t="s">
        <v>13</v>
      </c>
      <c r="I95" s="94" t="s">
        <v>118</v>
      </c>
    </row>
    <row r="96" spans="1:9" ht="22.5" customHeight="1">
      <c r="A96" s="17" t="s">
        <v>26</v>
      </c>
      <c r="B96" s="91"/>
      <c r="C96" s="91"/>
      <c r="D96" s="91"/>
      <c r="E96" s="92"/>
      <c r="F96" s="91"/>
      <c r="G96" s="91"/>
      <c r="H96" s="91"/>
      <c r="I96" s="93"/>
    </row>
    <row r="97" spans="1:9" ht="30" customHeight="1">
      <c r="A97" s="51" t="s">
        <v>119</v>
      </c>
      <c r="B97" s="91">
        <f>+C97+D97+F97+G97</f>
        <v>300953</v>
      </c>
      <c r="C97" s="91">
        <v>0</v>
      </c>
      <c r="D97" s="91">
        <v>90287</v>
      </c>
      <c r="E97" s="92">
        <v>90287</v>
      </c>
      <c r="F97" s="91">
        <v>105333</v>
      </c>
      <c r="G97" s="91">
        <v>105333</v>
      </c>
      <c r="H97" s="91" t="s">
        <v>13</v>
      </c>
      <c r="I97" s="94" t="s">
        <v>120</v>
      </c>
    </row>
    <row r="98" spans="1:9" ht="27.75" customHeight="1">
      <c r="A98" s="51" t="s">
        <v>121</v>
      </c>
      <c r="B98" s="91">
        <f>+C98+D98+F98+G98</f>
        <v>72102</v>
      </c>
      <c r="C98" s="91">
        <v>0</v>
      </c>
      <c r="D98" s="91">
        <v>21631</v>
      </c>
      <c r="E98" s="92">
        <v>21631</v>
      </c>
      <c r="F98" s="91">
        <v>21630</v>
      </c>
      <c r="G98" s="91">
        <v>28841</v>
      </c>
      <c r="H98" s="91" t="s">
        <v>13</v>
      </c>
      <c r="I98" s="94" t="s">
        <v>122</v>
      </c>
    </row>
    <row r="99" spans="1:9" ht="18.75" customHeight="1">
      <c r="A99" s="51" t="s">
        <v>123</v>
      </c>
      <c r="B99" s="91">
        <f>+C99+D99</f>
        <v>20000</v>
      </c>
      <c r="C99" s="91">
        <v>0</v>
      </c>
      <c r="D99" s="91">
        <v>20000</v>
      </c>
      <c r="E99" s="92">
        <v>20000</v>
      </c>
      <c r="F99" s="91" t="s">
        <v>13</v>
      </c>
      <c r="G99" s="91" t="s">
        <v>13</v>
      </c>
      <c r="H99" s="91" t="s">
        <v>13</v>
      </c>
      <c r="I99" s="93"/>
    </row>
    <row r="100" spans="1:9" ht="29.25" customHeight="1">
      <c r="A100" s="51" t="s">
        <v>124</v>
      </c>
      <c r="B100" s="91">
        <f>+C100+D100</f>
        <v>250</v>
      </c>
      <c r="C100" s="91">
        <v>0</v>
      </c>
      <c r="D100" s="91">
        <v>250</v>
      </c>
      <c r="E100" s="92">
        <v>250</v>
      </c>
      <c r="F100" s="91" t="s">
        <v>13</v>
      </c>
      <c r="G100" s="91" t="s">
        <v>13</v>
      </c>
      <c r="H100" s="91" t="s">
        <v>13</v>
      </c>
      <c r="I100" s="93"/>
    </row>
    <row r="101" spans="1:9" ht="32.25" customHeight="1">
      <c r="A101" s="95" t="s">
        <v>125</v>
      </c>
      <c r="B101" s="91"/>
      <c r="C101" s="91"/>
      <c r="D101" s="91"/>
      <c r="E101" s="92"/>
      <c r="F101" s="91"/>
      <c r="G101" s="91"/>
      <c r="H101" s="91"/>
      <c r="I101" s="93"/>
    </row>
    <row r="102" spans="1:9" ht="26.25" customHeight="1">
      <c r="A102" s="51" t="s">
        <v>126</v>
      </c>
      <c r="B102" s="91">
        <f>+C102+D102</f>
        <v>2000</v>
      </c>
      <c r="C102" s="91">
        <v>0</v>
      </c>
      <c r="D102" s="91">
        <v>2000</v>
      </c>
      <c r="E102" s="92">
        <v>2000</v>
      </c>
      <c r="F102" s="91" t="s">
        <v>13</v>
      </c>
      <c r="G102" s="91" t="s">
        <v>13</v>
      </c>
      <c r="H102" s="91" t="s">
        <v>13</v>
      </c>
      <c r="I102" s="93"/>
    </row>
    <row r="103" spans="1:9" ht="26.25" customHeight="1">
      <c r="A103" s="51" t="s">
        <v>127</v>
      </c>
      <c r="B103" s="91">
        <f>+C103+D103</f>
        <v>1700</v>
      </c>
      <c r="C103" s="91">
        <v>0</v>
      </c>
      <c r="D103" s="91">
        <v>1700</v>
      </c>
      <c r="E103" s="92">
        <v>1700</v>
      </c>
      <c r="F103" s="91" t="s">
        <v>13</v>
      </c>
      <c r="G103" s="91" t="s">
        <v>13</v>
      </c>
      <c r="H103" s="91" t="s">
        <v>13</v>
      </c>
      <c r="I103" s="93"/>
    </row>
    <row r="104" spans="1:9" ht="26.25" customHeight="1">
      <c r="A104" s="51" t="s">
        <v>128</v>
      </c>
      <c r="B104" s="91">
        <f>+C104+D104</f>
        <v>1800</v>
      </c>
      <c r="C104" s="91">
        <v>0</v>
      </c>
      <c r="D104" s="91">
        <v>1800</v>
      </c>
      <c r="E104" s="92">
        <v>1800</v>
      </c>
      <c r="F104" s="91" t="s">
        <v>13</v>
      </c>
      <c r="G104" s="91" t="s">
        <v>13</v>
      </c>
      <c r="H104" s="91" t="s">
        <v>13</v>
      </c>
      <c r="I104" s="93"/>
    </row>
    <row r="105" spans="1:9" ht="21" customHeight="1">
      <c r="A105" s="51" t="s">
        <v>129</v>
      </c>
      <c r="B105" s="91">
        <f>+C105+D105</f>
        <v>400</v>
      </c>
      <c r="C105" s="91">
        <v>0</v>
      </c>
      <c r="D105" s="91">
        <v>400</v>
      </c>
      <c r="E105" s="92">
        <v>400</v>
      </c>
      <c r="F105" s="91" t="s">
        <v>13</v>
      </c>
      <c r="G105" s="91" t="s">
        <v>13</v>
      </c>
      <c r="H105" s="91" t="s">
        <v>13</v>
      </c>
      <c r="I105" s="93"/>
    </row>
    <row r="106" spans="1:9" ht="25.5" customHeight="1">
      <c r="A106" s="17" t="s">
        <v>130</v>
      </c>
      <c r="B106" s="91"/>
      <c r="C106" s="91"/>
      <c r="D106" s="91"/>
      <c r="E106" s="92"/>
      <c r="F106" s="91"/>
      <c r="G106" s="91"/>
      <c r="H106" s="91"/>
      <c r="I106" s="93"/>
    </row>
    <row r="107" spans="1:9" ht="24" customHeight="1">
      <c r="A107" s="96" t="s">
        <v>131</v>
      </c>
      <c r="B107" s="97">
        <f>+C107+D107</f>
        <v>3188</v>
      </c>
      <c r="C107" s="97">
        <v>1188</v>
      </c>
      <c r="D107" s="97">
        <v>2000</v>
      </c>
      <c r="E107" s="98">
        <v>2000</v>
      </c>
      <c r="F107" s="97" t="s">
        <v>13</v>
      </c>
      <c r="G107" s="97" t="s">
        <v>13</v>
      </c>
      <c r="H107" s="97" t="s">
        <v>13</v>
      </c>
      <c r="I107" s="99"/>
    </row>
    <row r="108" spans="1:9" ht="28.5" customHeight="1">
      <c r="A108" s="17" t="s">
        <v>38</v>
      </c>
      <c r="B108" s="91"/>
      <c r="C108" s="91"/>
      <c r="D108" s="91"/>
      <c r="E108" s="92"/>
      <c r="F108" s="91"/>
      <c r="G108" s="91"/>
      <c r="H108" s="91"/>
      <c r="I108" s="100"/>
    </row>
    <row r="109" spans="1:9" ht="21.75" customHeight="1">
      <c r="A109" s="51" t="s">
        <v>132</v>
      </c>
      <c r="B109" s="91">
        <f aca="true" t="shared" si="8" ref="B109:B119">+C109+D109</f>
        <v>21616</v>
      </c>
      <c r="C109" s="91">
        <v>0</v>
      </c>
      <c r="D109" s="64">
        <v>21616</v>
      </c>
      <c r="E109" s="65">
        <f>+D109-13616</f>
        <v>8000</v>
      </c>
      <c r="F109" s="91" t="s">
        <v>13</v>
      </c>
      <c r="G109" s="91" t="s">
        <v>13</v>
      </c>
      <c r="H109" s="91" t="s">
        <v>13</v>
      </c>
      <c r="I109" s="100" t="s">
        <v>133</v>
      </c>
    </row>
    <row r="110" spans="1:9" ht="19.5" customHeight="1">
      <c r="A110" s="51" t="s">
        <v>134</v>
      </c>
      <c r="B110" s="91">
        <f t="shared" si="8"/>
        <v>2600</v>
      </c>
      <c r="C110" s="91">
        <v>0</v>
      </c>
      <c r="D110" s="60">
        <v>2600</v>
      </c>
      <c r="E110" s="61">
        <v>2600</v>
      </c>
      <c r="F110" s="91" t="s">
        <v>13</v>
      </c>
      <c r="G110" s="91" t="s">
        <v>13</v>
      </c>
      <c r="H110" s="91" t="s">
        <v>13</v>
      </c>
      <c r="I110" s="100"/>
    </row>
    <row r="111" spans="1:9" ht="32.25" customHeight="1">
      <c r="A111" s="51" t="s">
        <v>135</v>
      </c>
      <c r="B111" s="91">
        <f t="shared" si="8"/>
        <v>1500</v>
      </c>
      <c r="C111" s="91">
        <v>0</v>
      </c>
      <c r="D111" s="60">
        <v>1500</v>
      </c>
      <c r="E111" s="61">
        <v>1500</v>
      </c>
      <c r="F111" s="91" t="s">
        <v>13</v>
      </c>
      <c r="G111" s="91" t="s">
        <v>13</v>
      </c>
      <c r="H111" s="91" t="s">
        <v>13</v>
      </c>
      <c r="I111" s="100"/>
    </row>
    <row r="112" spans="1:9" ht="32.25" customHeight="1">
      <c r="A112" s="51" t="s">
        <v>136</v>
      </c>
      <c r="B112" s="91">
        <f t="shared" si="8"/>
        <v>12000</v>
      </c>
      <c r="C112" s="91">
        <v>0</v>
      </c>
      <c r="D112" s="60">
        <v>12000</v>
      </c>
      <c r="E112" s="61">
        <v>12000</v>
      </c>
      <c r="F112" s="91" t="s">
        <v>13</v>
      </c>
      <c r="G112" s="91" t="s">
        <v>13</v>
      </c>
      <c r="H112" s="91" t="s">
        <v>13</v>
      </c>
      <c r="I112" s="100" t="s">
        <v>137</v>
      </c>
    </row>
    <row r="113" spans="1:9" ht="32.25" customHeight="1">
      <c r="A113" s="51" t="s">
        <v>138</v>
      </c>
      <c r="B113" s="91">
        <f t="shared" si="8"/>
        <v>5050</v>
      </c>
      <c r="C113" s="91">
        <v>0</v>
      </c>
      <c r="D113" s="60">
        <v>5050</v>
      </c>
      <c r="E113" s="61">
        <v>5050</v>
      </c>
      <c r="F113" s="91" t="s">
        <v>13</v>
      </c>
      <c r="G113" s="91" t="s">
        <v>13</v>
      </c>
      <c r="H113" s="91" t="s">
        <v>13</v>
      </c>
      <c r="I113" s="66" t="s">
        <v>139</v>
      </c>
    </row>
    <row r="114" spans="1:9" ht="29.25" customHeight="1">
      <c r="A114" s="51" t="s">
        <v>140</v>
      </c>
      <c r="B114" s="91">
        <f t="shared" si="8"/>
        <v>6941</v>
      </c>
      <c r="C114" s="91">
        <v>0</v>
      </c>
      <c r="D114" s="64">
        <v>6941</v>
      </c>
      <c r="E114" s="65">
        <v>1941</v>
      </c>
      <c r="F114" s="91" t="s">
        <v>13</v>
      </c>
      <c r="G114" s="91" t="s">
        <v>13</v>
      </c>
      <c r="H114" s="91" t="s">
        <v>13</v>
      </c>
      <c r="I114" s="100" t="s">
        <v>141</v>
      </c>
    </row>
    <row r="115" spans="1:9" ht="29.25" customHeight="1">
      <c r="A115" s="51" t="s">
        <v>142</v>
      </c>
      <c r="B115" s="91">
        <f t="shared" si="8"/>
        <v>12000</v>
      </c>
      <c r="C115" s="91">
        <v>0</v>
      </c>
      <c r="D115" s="60">
        <v>12000</v>
      </c>
      <c r="E115" s="61">
        <v>12000</v>
      </c>
      <c r="F115" s="91" t="s">
        <v>13</v>
      </c>
      <c r="G115" s="91" t="s">
        <v>13</v>
      </c>
      <c r="H115" s="91" t="s">
        <v>13</v>
      </c>
      <c r="I115" s="100"/>
    </row>
    <row r="116" spans="1:9" ht="33" customHeight="1">
      <c r="A116" s="51" t="s">
        <v>143</v>
      </c>
      <c r="B116" s="91">
        <f t="shared" si="8"/>
        <v>12000</v>
      </c>
      <c r="C116" s="91"/>
      <c r="D116" s="64">
        <v>12000</v>
      </c>
      <c r="E116" s="65">
        <v>0</v>
      </c>
      <c r="F116" s="91" t="s">
        <v>13</v>
      </c>
      <c r="G116" s="91" t="s">
        <v>13</v>
      </c>
      <c r="H116" s="91" t="s">
        <v>13</v>
      </c>
      <c r="I116" s="100" t="s">
        <v>144</v>
      </c>
    </row>
    <row r="117" spans="1:9" ht="20.25" customHeight="1">
      <c r="A117" s="43" t="s">
        <v>145</v>
      </c>
      <c r="B117" s="91">
        <f t="shared" si="8"/>
        <v>400</v>
      </c>
      <c r="C117" s="91">
        <v>0</v>
      </c>
      <c r="D117" s="91">
        <v>400</v>
      </c>
      <c r="E117" s="92">
        <v>400</v>
      </c>
      <c r="F117" s="91" t="s">
        <v>13</v>
      </c>
      <c r="G117" s="91" t="s">
        <v>13</v>
      </c>
      <c r="H117" s="91" t="s">
        <v>13</v>
      </c>
      <c r="I117" s="100"/>
    </row>
    <row r="118" spans="1:9" ht="30" customHeight="1">
      <c r="A118" s="43" t="s">
        <v>146</v>
      </c>
      <c r="B118" s="91">
        <f t="shared" si="8"/>
        <v>500</v>
      </c>
      <c r="C118" s="91">
        <v>0</v>
      </c>
      <c r="D118" s="91">
        <v>500</v>
      </c>
      <c r="E118" s="92">
        <v>500</v>
      </c>
      <c r="F118" s="91" t="s">
        <v>13</v>
      </c>
      <c r="G118" s="91" t="s">
        <v>13</v>
      </c>
      <c r="H118" s="91" t="s">
        <v>13</v>
      </c>
      <c r="I118" s="100"/>
    </row>
    <row r="119" spans="1:9" ht="21" customHeight="1">
      <c r="A119" s="51" t="s">
        <v>147</v>
      </c>
      <c r="B119" s="91">
        <f t="shared" si="8"/>
        <v>667</v>
      </c>
      <c r="C119" s="91">
        <v>167</v>
      </c>
      <c r="D119" s="91">
        <v>500</v>
      </c>
      <c r="E119" s="92">
        <v>500</v>
      </c>
      <c r="F119" s="91" t="s">
        <v>13</v>
      </c>
      <c r="G119" s="91" t="s">
        <v>13</v>
      </c>
      <c r="H119" s="91" t="s">
        <v>13</v>
      </c>
      <c r="I119" s="100"/>
    </row>
    <row r="120" spans="1:9" ht="26.25" customHeight="1">
      <c r="A120" s="17" t="s">
        <v>50</v>
      </c>
      <c r="B120" s="91"/>
      <c r="C120" s="91"/>
      <c r="D120" s="91"/>
      <c r="E120" s="92"/>
      <c r="F120" s="91"/>
      <c r="G120" s="91"/>
      <c r="H120" s="91"/>
      <c r="I120" s="100"/>
    </row>
    <row r="121" spans="1:79" s="63" customFormat="1" ht="32.25" customHeight="1">
      <c r="A121" s="35" t="s">
        <v>148</v>
      </c>
      <c r="B121" s="60">
        <f>+C121+D121+F121+G121</f>
        <v>150000</v>
      </c>
      <c r="C121" s="60">
        <v>0</v>
      </c>
      <c r="D121" s="60">
        <v>11768</v>
      </c>
      <c r="E121" s="61">
        <v>11768</v>
      </c>
      <c r="F121" s="60">
        <v>66688</v>
      </c>
      <c r="G121" s="60">
        <v>71544</v>
      </c>
      <c r="H121" s="60" t="s">
        <v>13</v>
      </c>
      <c r="I121" s="66" t="s">
        <v>149</v>
      </c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</row>
    <row r="122" spans="1:9" ht="37.5" customHeight="1">
      <c r="A122" s="43" t="s">
        <v>150</v>
      </c>
      <c r="B122" s="91">
        <f>+C122+D122+F122</f>
        <v>42750</v>
      </c>
      <c r="C122" s="91">
        <v>0</v>
      </c>
      <c r="D122" s="91">
        <v>6750</v>
      </c>
      <c r="E122" s="92">
        <v>6750</v>
      </c>
      <c r="F122" s="91">
        <v>36000</v>
      </c>
      <c r="G122" s="91" t="s">
        <v>13</v>
      </c>
      <c r="H122" s="91" t="s">
        <v>13</v>
      </c>
      <c r="I122" s="94" t="s">
        <v>151</v>
      </c>
    </row>
    <row r="123" spans="1:9" ht="24" customHeight="1">
      <c r="A123" s="17" t="s">
        <v>56</v>
      </c>
      <c r="B123" s="91"/>
      <c r="C123" s="91"/>
      <c r="D123" s="91"/>
      <c r="E123" s="92"/>
      <c r="F123" s="91"/>
      <c r="G123" s="91"/>
      <c r="H123" s="91"/>
      <c r="I123" s="100"/>
    </row>
    <row r="124" spans="1:9" ht="33.75" customHeight="1">
      <c r="A124" s="96" t="s">
        <v>152</v>
      </c>
      <c r="B124" s="97">
        <f>+C124+D124</f>
        <v>1500</v>
      </c>
      <c r="C124" s="97">
        <v>0</v>
      </c>
      <c r="D124" s="97">
        <v>1500</v>
      </c>
      <c r="E124" s="98">
        <v>1500</v>
      </c>
      <c r="F124" s="97" t="s">
        <v>13</v>
      </c>
      <c r="G124" s="97" t="s">
        <v>13</v>
      </c>
      <c r="H124" s="97" t="s">
        <v>13</v>
      </c>
      <c r="I124" s="101" t="s">
        <v>153</v>
      </c>
    </row>
    <row r="125" spans="1:9" ht="24" customHeight="1" hidden="1" outlineLevel="1">
      <c r="A125" s="17" t="s">
        <v>61</v>
      </c>
      <c r="B125" s="91"/>
      <c r="C125" s="91"/>
      <c r="D125" s="91"/>
      <c r="E125" s="92"/>
      <c r="F125" s="91"/>
      <c r="G125" s="91"/>
      <c r="H125" s="91"/>
      <c r="I125" s="100"/>
    </row>
    <row r="126" spans="1:9" ht="20.25" customHeight="1" hidden="1" outlineLevel="1">
      <c r="A126" s="17" t="s">
        <v>72</v>
      </c>
      <c r="B126" s="91"/>
      <c r="C126" s="91"/>
      <c r="D126" s="91"/>
      <c r="E126" s="92"/>
      <c r="F126" s="91"/>
      <c r="G126" s="91"/>
      <c r="H126" s="91"/>
      <c r="I126" s="100"/>
    </row>
    <row r="127" spans="1:9" ht="19.5" customHeight="1" collapsed="1">
      <c r="A127" s="17" t="s">
        <v>80</v>
      </c>
      <c r="B127" s="91"/>
      <c r="C127" s="91"/>
      <c r="D127" s="91"/>
      <c r="E127" s="92"/>
      <c r="F127" s="91"/>
      <c r="G127" s="91"/>
      <c r="H127" s="91"/>
      <c r="I127" s="100"/>
    </row>
    <row r="128" spans="1:9" ht="25.5" customHeight="1">
      <c r="A128" s="43" t="s">
        <v>154</v>
      </c>
      <c r="B128" s="91">
        <f>+C128+D128+F128</f>
        <v>71042</v>
      </c>
      <c r="C128" s="91">
        <v>0</v>
      </c>
      <c r="D128" s="91">
        <v>1500</v>
      </c>
      <c r="E128" s="92">
        <v>1500</v>
      </c>
      <c r="F128" s="91">
        <v>69542</v>
      </c>
      <c r="G128" s="91" t="s">
        <v>13</v>
      </c>
      <c r="H128" s="91" t="s">
        <v>13</v>
      </c>
      <c r="I128" s="94" t="s">
        <v>155</v>
      </c>
    </row>
    <row r="129" spans="1:9" ht="18.75" customHeight="1">
      <c r="A129" s="74" t="s">
        <v>88</v>
      </c>
      <c r="B129" s="91"/>
      <c r="C129" s="91"/>
      <c r="D129" s="91"/>
      <c r="E129" s="92"/>
      <c r="F129" s="91"/>
      <c r="G129" s="91"/>
      <c r="H129" s="91"/>
      <c r="I129" s="100"/>
    </row>
    <row r="130" spans="1:9" ht="17.25" customHeight="1">
      <c r="A130" s="43" t="s">
        <v>156</v>
      </c>
      <c r="B130" s="91">
        <f>+C130+D130</f>
        <v>1500</v>
      </c>
      <c r="C130" s="91">
        <v>0</v>
      </c>
      <c r="D130" s="91">
        <v>1500</v>
      </c>
      <c r="E130" s="92">
        <v>1500</v>
      </c>
      <c r="F130" s="91" t="s">
        <v>13</v>
      </c>
      <c r="G130" s="91" t="s">
        <v>13</v>
      </c>
      <c r="H130" s="91" t="s">
        <v>13</v>
      </c>
      <c r="I130" s="100"/>
    </row>
    <row r="131" spans="1:9" ht="21.75" customHeight="1">
      <c r="A131" s="74" t="s">
        <v>157</v>
      </c>
      <c r="B131" s="91"/>
      <c r="C131" s="91"/>
      <c r="D131" s="91"/>
      <c r="E131" s="92"/>
      <c r="F131" s="91"/>
      <c r="G131" s="91"/>
      <c r="H131" s="91"/>
      <c r="I131" s="100"/>
    </row>
    <row r="132" spans="1:9" ht="16.5" customHeight="1">
      <c r="A132" s="51" t="s">
        <v>158</v>
      </c>
      <c r="B132" s="91">
        <f aca="true" t="shared" si="9" ref="B132:B137">+C132+D132+F132+G132+H132</f>
        <v>80000</v>
      </c>
      <c r="C132" s="91"/>
      <c r="D132" s="91">
        <v>20000</v>
      </c>
      <c r="E132" s="92">
        <v>20000</v>
      </c>
      <c r="F132" s="91">
        <v>20000</v>
      </c>
      <c r="G132" s="91">
        <v>20000</v>
      </c>
      <c r="H132" s="91">
        <v>20000</v>
      </c>
      <c r="I132" s="77"/>
    </row>
    <row r="133" spans="1:9" ht="16.5" customHeight="1">
      <c r="A133" s="51" t="s">
        <v>159</v>
      </c>
      <c r="B133" s="91">
        <f t="shared" si="9"/>
        <v>4000</v>
      </c>
      <c r="C133" s="91"/>
      <c r="D133" s="91">
        <v>1000</v>
      </c>
      <c r="E133" s="92">
        <v>1000</v>
      </c>
      <c r="F133" s="91">
        <v>1000</v>
      </c>
      <c r="G133" s="91">
        <v>1000</v>
      </c>
      <c r="H133" s="91">
        <v>1000</v>
      </c>
      <c r="I133" s="93"/>
    </row>
    <row r="134" spans="1:14" ht="16.5" customHeight="1">
      <c r="A134" s="51" t="s">
        <v>160</v>
      </c>
      <c r="B134" s="91">
        <f t="shared" si="9"/>
        <v>53916</v>
      </c>
      <c r="C134" s="91">
        <v>29916</v>
      </c>
      <c r="D134" s="91">
        <v>6000</v>
      </c>
      <c r="E134" s="92" t="s">
        <v>13</v>
      </c>
      <c r="F134" s="91">
        <v>6000</v>
      </c>
      <c r="G134" s="91">
        <v>6000</v>
      </c>
      <c r="H134" s="91">
        <v>6000</v>
      </c>
      <c r="I134" s="93"/>
      <c r="J134" s="102"/>
      <c r="K134" s="102"/>
      <c r="L134" s="102"/>
      <c r="M134" s="103"/>
      <c r="N134" s="103"/>
    </row>
    <row r="135" spans="1:9" ht="16.5" customHeight="1">
      <c r="A135" s="51" t="s">
        <v>161</v>
      </c>
      <c r="B135" s="91">
        <f t="shared" si="9"/>
        <v>35784</v>
      </c>
      <c r="C135" s="91">
        <v>7784</v>
      </c>
      <c r="D135" s="91">
        <v>7000</v>
      </c>
      <c r="E135" s="92">
        <v>7000</v>
      </c>
      <c r="F135" s="91">
        <v>7000</v>
      </c>
      <c r="G135" s="91">
        <v>7000</v>
      </c>
      <c r="H135" s="91">
        <v>7000</v>
      </c>
      <c r="I135" s="77"/>
    </row>
    <row r="136" spans="1:9" ht="16.5" customHeight="1">
      <c r="A136" s="51" t="s">
        <v>162</v>
      </c>
      <c r="B136" s="91">
        <f t="shared" si="9"/>
        <v>12000</v>
      </c>
      <c r="C136" s="91"/>
      <c r="D136" s="91">
        <v>3000</v>
      </c>
      <c r="E136" s="92">
        <v>3000</v>
      </c>
      <c r="F136" s="91">
        <v>3000</v>
      </c>
      <c r="G136" s="91">
        <v>3000</v>
      </c>
      <c r="H136" s="91">
        <v>3000</v>
      </c>
      <c r="I136" s="93"/>
    </row>
    <row r="137" spans="1:9" ht="21" customHeight="1">
      <c r="A137" s="51" t="s">
        <v>97</v>
      </c>
      <c r="B137" s="91">
        <f t="shared" si="9"/>
        <v>35207</v>
      </c>
      <c r="C137" s="91">
        <v>11207</v>
      </c>
      <c r="D137" s="91">
        <v>6000</v>
      </c>
      <c r="E137" s="92">
        <v>6000</v>
      </c>
      <c r="F137" s="91">
        <v>6000</v>
      </c>
      <c r="G137" s="91">
        <v>6000</v>
      </c>
      <c r="H137" s="91">
        <v>6000</v>
      </c>
      <c r="I137" s="77"/>
    </row>
    <row r="138" spans="1:9" ht="26.25" customHeight="1">
      <c r="A138" s="43" t="s">
        <v>163</v>
      </c>
      <c r="B138" s="91">
        <f>+C138+D138</f>
        <v>2000</v>
      </c>
      <c r="C138" s="91">
        <v>0</v>
      </c>
      <c r="D138" s="91">
        <v>2000</v>
      </c>
      <c r="E138" s="92">
        <v>2000</v>
      </c>
      <c r="F138" s="91" t="s">
        <v>13</v>
      </c>
      <c r="G138" s="91" t="s">
        <v>13</v>
      </c>
      <c r="H138" s="91" t="s">
        <v>13</v>
      </c>
      <c r="I138" s="100"/>
    </row>
    <row r="139" spans="1:9" ht="21" customHeight="1">
      <c r="A139" s="43" t="s">
        <v>164</v>
      </c>
      <c r="B139" s="91">
        <f>+C139+D139+F139</f>
        <v>50000</v>
      </c>
      <c r="C139" s="91">
        <v>0</v>
      </c>
      <c r="D139" s="91">
        <v>20000</v>
      </c>
      <c r="E139" s="92">
        <v>20000</v>
      </c>
      <c r="F139" s="91">
        <v>30000</v>
      </c>
      <c r="G139" s="91" t="s">
        <v>13</v>
      </c>
      <c r="H139" s="91" t="s">
        <v>13</v>
      </c>
      <c r="I139" s="100"/>
    </row>
    <row r="140" spans="1:9" ht="19.5" customHeight="1">
      <c r="A140" s="43" t="s">
        <v>165</v>
      </c>
      <c r="B140" s="91">
        <f>+C140+D140</f>
        <v>21242</v>
      </c>
      <c r="C140" s="91">
        <v>0</v>
      </c>
      <c r="D140" s="91">
        <v>21242</v>
      </c>
      <c r="E140" s="92">
        <v>21242</v>
      </c>
      <c r="F140" s="91" t="s">
        <v>13</v>
      </c>
      <c r="G140" s="91" t="s">
        <v>13</v>
      </c>
      <c r="H140" s="91" t="s">
        <v>13</v>
      </c>
      <c r="I140" s="100"/>
    </row>
    <row r="141" spans="1:9" ht="19.5" customHeight="1">
      <c r="A141" s="43" t="s">
        <v>166</v>
      </c>
      <c r="B141" s="91">
        <f>+C141+D141</f>
        <v>2469</v>
      </c>
      <c r="C141" s="91">
        <v>0</v>
      </c>
      <c r="D141" s="64">
        <v>2469</v>
      </c>
      <c r="E141" s="65">
        <v>0</v>
      </c>
      <c r="F141" s="91" t="s">
        <v>13</v>
      </c>
      <c r="G141" s="91" t="s">
        <v>13</v>
      </c>
      <c r="H141" s="91" t="s">
        <v>13</v>
      </c>
      <c r="I141" s="94" t="s">
        <v>167</v>
      </c>
    </row>
    <row r="142" spans="1:9" ht="22.5" customHeight="1">
      <c r="A142" s="43" t="s">
        <v>168</v>
      </c>
      <c r="B142" s="91">
        <f>+C142+D142</f>
        <v>100</v>
      </c>
      <c r="C142" s="91">
        <v>0</v>
      </c>
      <c r="D142" s="64">
        <v>100</v>
      </c>
      <c r="E142" s="65">
        <v>0</v>
      </c>
      <c r="F142" s="91" t="s">
        <v>13</v>
      </c>
      <c r="G142" s="91" t="s">
        <v>13</v>
      </c>
      <c r="H142" s="91" t="s">
        <v>13</v>
      </c>
      <c r="I142" s="100" t="s">
        <v>169</v>
      </c>
    </row>
    <row r="143" spans="1:9" ht="18.75" customHeight="1">
      <c r="A143" s="43" t="s">
        <v>170</v>
      </c>
      <c r="B143" s="91">
        <f>+C143+D143</f>
        <v>1875</v>
      </c>
      <c r="C143" s="91">
        <v>0</v>
      </c>
      <c r="D143" s="64">
        <v>1875</v>
      </c>
      <c r="E143" s="65">
        <v>0</v>
      </c>
      <c r="F143" s="91" t="s">
        <v>13</v>
      </c>
      <c r="G143" s="91" t="s">
        <v>13</v>
      </c>
      <c r="H143" s="91" t="s">
        <v>13</v>
      </c>
      <c r="I143" s="100" t="s">
        <v>171</v>
      </c>
    </row>
    <row r="144" spans="1:79" s="86" customFormat="1" ht="27" customHeight="1">
      <c r="A144" s="104" t="s">
        <v>172</v>
      </c>
      <c r="B144" s="82">
        <f aca="true" t="shared" si="10" ref="B144:H144">SUM(B92:B143)</f>
        <v>1076074</v>
      </c>
      <c r="C144" s="82">
        <f t="shared" si="10"/>
        <v>61484</v>
      </c>
      <c r="D144" s="82">
        <f t="shared" si="10"/>
        <v>350679</v>
      </c>
      <c r="E144" s="83">
        <f t="shared" si="10"/>
        <v>309619</v>
      </c>
      <c r="F144" s="82">
        <f t="shared" si="10"/>
        <v>372193</v>
      </c>
      <c r="G144" s="82">
        <f t="shared" si="10"/>
        <v>248718</v>
      </c>
      <c r="H144" s="82">
        <f t="shared" si="10"/>
        <v>43000</v>
      </c>
      <c r="I144" s="105"/>
      <c r="J144" s="106">
        <f>+D145-E145</f>
        <v>1490978</v>
      </c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  <c r="AA144" s="85"/>
      <c r="AB144" s="85"/>
      <c r="AC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85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85"/>
      <c r="AY144" s="85"/>
      <c r="AZ144" s="85"/>
      <c r="BA144" s="85"/>
      <c r="BB144" s="85"/>
      <c r="BC144" s="85"/>
      <c r="BD144" s="85"/>
      <c r="BE144" s="85"/>
      <c r="BF144" s="85"/>
      <c r="BG144" s="85"/>
      <c r="BH144" s="85"/>
      <c r="BI144" s="85"/>
      <c r="BJ144" s="85"/>
      <c r="BK144" s="85"/>
      <c r="BL144" s="85"/>
      <c r="BM144" s="85"/>
      <c r="BN144" s="85"/>
      <c r="BO144" s="85"/>
      <c r="BP144" s="85"/>
      <c r="BQ144" s="85"/>
      <c r="BR144" s="85"/>
      <c r="BS144" s="85"/>
      <c r="BT144" s="85"/>
      <c r="BU144" s="85"/>
      <c r="BV144" s="85"/>
      <c r="BW144" s="85"/>
      <c r="BX144" s="85"/>
      <c r="BY144" s="85"/>
      <c r="BZ144" s="85"/>
      <c r="CA144" s="85"/>
    </row>
    <row r="145" spans="1:79" s="86" customFormat="1" ht="41.25" customHeight="1" hidden="1" outlineLevel="1">
      <c r="A145" s="107" t="s">
        <v>173</v>
      </c>
      <c r="B145" s="108">
        <f aca="true" t="shared" si="11" ref="B145:H145">+B78+B84+B89+B144</f>
        <v>8307279</v>
      </c>
      <c r="C145" s="108">
        <f t="shared" si="11"/>
        <v>5471067</v>
      </c>
      <c r="D145" s="108">
        <f t="shared" si="11"/>
        <v>2103551</v>
      </c>
      <c r="E145" s="108">
        <f t="shared" si="11"/>
        <v>612573</v>
      </c>
      <c r="F145" s="108">
        <f t="shared" si="11"/>
        <v>400943</v>
      </c>
      <c r="G145" s="108">
        <f t="shared" si="11"/>
        <v>268718</v>
      </c>
      <c r="H145" s="108">
        <f t="shared" si="11"/>
        <v>63000</v>
      </c>
      <c r="I145" s="109">
        <f>+D145-E145</f>
        <v>1490978</v>
      </c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85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85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  <c r="BB145" s="85"/>
      <c r="BC145" s="85"/>
      <c r="BD145" s="85"/>
      <c r="BE145" s="85"/>
      <c r="BF145" s="85"/>
      <c r="BG145" s="85"/>
      <c r="BH145" s="85"/>
      <c r="BI145" s="85"/>
      <c r="BJ145" s="85"/>
      <c r="BK145" s="85"/>
      <c r="BL145" s="85"/>
      <c r="BM145" s="85"/>
      <c r="BN145" s="85"/>
      <c r="BO145" s="85"/>
      <c r="BP145" s="85"/>
      <c r="BQ145" s="85"/>
      <c r="BR145" s="85"/>
      <c r="BS145" s="85"/>
      <c r="BT145" s="85"/>
      <c r="BU145" s="85"/>
      <c r="BV145" s="85"/>
      <c r="BW145" s="85"/>
      <c r="BX145" s="85"/>
      <c r="BY145" s="85"/>
      <c r="BZ145" s="85"/>
      <c r="CA145" s="85"/>
    </row>
    <row r="146" spans="1:79" s="90" customFormat="1" ht="26.25" customHeight="1" collapsed="1">
      <c r="A146" s="74" t="s">
        <v>174</v>
      </c>
      <c r="B146" s="75"/>
      <c r="C146" s="75"/>
      <c r="D146" s="75"/>
      <c r="E146" s="76"/>
      <c r="F146" s="75"/>
      <c r="G146" s="75"/>
      <c r="H146" s="75"/>
      <c r="I146" s="88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  <c r="Z146" s="89"/>
      <c r="AA146" s="89"/>
      <c r="AB146" s="89"/>
      <c r="AC146" s="89"/>
      <c r="AD146" s="89"/>
      <c r="AE146" s="89"/>
      <c r="AF146" s="89"/>
      <c r="AG146" s="89"/>
      <c r="AH146" s="89"/>
      <c r="AI146" s="89"/>
      <c r="AJ146" s="89"/>
      <c r="AK146" s="89"/>
      <c r="AL146" s="89"/>
      <c r="AM146" s="89"/>
      <c r="AN146" s="89"/>
      <c r="AO146" s="89"/>
      <c r="AP146" s="89"/>
      <c r="AQ146" s="89"/>
      <c r="AR146" s="89"/>
      <c r="AS146" s="89"/>
      <c r="AT146" s="89"/>
      <c r="AU146" s="89"/>
      <c r="AV146" s="89"/>
      <c r="AW146" s="89"/>
      <c r="AX146" s="89"/>
      <c r="AY146" s="89"/>
      <c r="AZ146" s="89"/>
      <c r="BA146" s="89"/>
      <c r="BB146" s="89"/>
      <c r="BC146" s="89"/>
      <c r="BD146" s="89"/>
      <c r="BE146" s="89"/>
      <c r="BF146" s="89"/>
      <c r="BG146" s="89"/>
      <c r="BH146" s="89"/>
      <c r="BI146" s="89"/>
      <c r="BJ146" s="89"/>
      <c r="BK146" s="89"/>
      <c r="BL146" s="89"/>
      <c r="BM146" s="89"/>
      <c r="BN146" s="89"/>
      <c r="BO146" s="89"/>
      <c r="BP146" s="89"/>
      <c r="BQ146" s="89"/>
      <c r="BR146" s="89"/>
      <c r="BS146" s="89"/>
      <c r="BT146" s="89"/>
      <c r="BU146" s="89"/>
      <c r="BV146" s="89"/>
      <c r="BW146" s="89"/>
      <c r="BX146" s="89"/>
      <c r="BY146" s="89"/>
      <c r="BZ146" s="89"/>
      <c r="CA146" s="89"/>
    </row>
    <row r="147" spans="1:9" ht="19.5" customHeight="1">
      <c r="A147" s="51" t="s">
        <v>175</v>
      </c>
      <c r="B147" s="91">
        <f>+C147+D147+F147+G147</f>
        <v>80000</v>
      </c>
      <c r="C147" s="91"/>
      <c r="D147" s="91">
        <v>80000</v>
      </c>
      <c r="E147" s="92"/>
      <c r="F147" s="91"/>
      <c r="G147" s="91"/>
      <c r="H147" s="91"/>
      <c r="I147" s="93"/>
    </row>
    <row r="148" spans="1:9" ht="21.75" customHeight="1">
      <c r="A148" s="51" t="s">
        <v>176</v>
      </c>
      <c r="B148" s="91">
        <f>+C148+D148+F148+G148</f>
        <v>30000</v>
      </c>
      <c r="C148" s="91"/>
      <c r="D148" s="91">
        <v>30000</v>
      </c>
      <c r="E148" s="92"/>
      <c r="F148" s="91"/>
      <c r="G148" s="91"/>
      <c r="H148" s="91"/>
      <c r="I148" s="93"/>
    </row>
    <row r="149" spans="1:9" ht="24.75" customHeight="1">
      <c r="A149" s="51" t="s">
        <v>177</v>
      </c>
      <c r="B149" s="91">
        <f>+C149+D149+F149+G149</f>
        <v>48000</v>
      </c>
      <c r="C149" s="91"/>
      <c r="D149" s="91">
        <v>48000</v>
      </c>
      <c r="E149" s="92"/>
      <c r="F149" s="91"/>
      <c r="G149" s="91"/>
      <c r="H149" s="91"/>
      <c r="I149" s="93"/>
    </row>
    <row r="150" spans="1:9" ht="24.75" customHeight="1">
      <c r="A150" s="51" t="s">
        <v>178</v>
      </c>
      <c r="B150" s="91">
        <f>+C150+D150+F150+G150</f>
        <v>25000</v>
      </c>
      <c r="C150" s="91"/>
      <c r="D150" s="91">
        <v>25000</v>
      </c>
      <c r="E150" s="92"/>
      <c r="F150" s="91"/>
      <c r="G150" s="91"/>
      <c r="H150" s="91"/>
      <c r="I150" s="93"/>
    </row>
    <row r="151" spans="1:79" s="86" customFormat="1" ht="18.75" customHeight="1">
      <c r="A151" s="110" t="s">
        <v>179</v>
      </c>
      <c r="B151" s="111">
        <f aca="true" t="shared" si="12" ref="B151:H151">SUM(B147:B150)</f>
        <v>183000</v>
      </c>
      <c r="C151" s="111">
        <f t="shared" si="12"/>
        <v>0</v>
      </c>
      <c r="D151" s="111">
        <f t="shared" si="12"/>
        <v>183000</v>
      </c>
      <c r="E151" s="112">
        <f t="shared" si="12"/>
        <v>0</v>
      </c>
      <c r="F151" s="111">
        <f t="shared" si="12"/>
        <v>0</v>
      </c>
      <c r="G151" s="111">
        <f t="shared" si="12"/>
        <v>0</v>
      </c>
      <c r="H151" s="111">
        <f t="shared" si="12"/>
        <v>0</v>
      </c>
      <c r="I151" s="113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85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85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5"/>
      <c r="BD151" s="85"/>
      <c r="BE151" s="85"/>
      <c r="BF151" s="85"/>
      <c r="BG151" s="85"/>
      <c r="BH151" s="85"/>
      <c r="BI151" s="85"/>
      <c r="BJ151" s="85"/>
      <c r="BK151" s="85"/>
      <c r="BL151" s="85"/>
      <c r="BM151" s="85"/>
      <c r="BN151" s="85"/>
      <c r="BO151" s="85"/>
      <c r="BP151" s="85"/>
      <c r="BQ151" s="85"/>
      <c r="BR151" s="85"/>
      <c r="BS151" s="85"/>
      <c r="BT151" s="85"/>
      <c r="BU151" s="85"/>
      <c r="BV151" s="85"/>
      <c r="BW151" s="85"/>
      <c r="BX151" s="85"/>
      <c r="BY151" s="85"/>
      <c r="BZ151" s="85"/>
      <c r="CA151" s="85"/>
    </row>
    <row r="152" spans="1:79" s="86" customFormat="1" ht="31.5" customHeight="1">
      <c r="A152" s="114" t="s">
        <v>173</v>
      </c>
      <c r="B152" s="108">
        <f aca="true" t="shared" si="13" ref="B152:H152">+B78+B84+B144+B151</f>
        <v>8490279</v>
      </c>
      <c r="C152" s="108">
        <f t="shared" si="13"/>
        <v>5471067</v>
      </c>
      <c r="D152" s="108">
        <f t="shared" si="13"/>
        <v>2286551</v>
      </c>
      <c r="E152" s="108">
        <f t="shared" si="13"/>
        <v>612573</v>
      </c>
      <c r="F152" s="108">
        <f t="shared" si="13"/>
        <v>400943</v>
      </c>
      <c r="G152" s="108">
        <f t="shared" si="13"/>
        <v>268718</v>
      </c>
      <c r="H152" s="108">
        <f t="shared" si="13"/>
        <v>63000</v>
      </c>
      <c r="I152" s="109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85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85"/>
      <c r="BE152" s="85"/>
      <c r="BF152" s="85"/>
      <c r="BG152" s="85"/>
      <c r="BH152" s="85"/>
      <c r="BI152" s="85"/>
      <c r="BJ152" s="85"/>
      <c r="BK152" s="85"/>
      <c r="BL152" s="85"/>
      <c r="BM152" s="85"/>
      <c r="BN152" s="85"/>
      <c r="BO152" s="85"/>
      <c r="BP152" s="85"/>
      <c r="BQ152" s="85"/>
      <c r="BR152" s="85"/>
      <c r="BS152" s="85"/>
      <c r="BT152" s="85"/>
      <c r="BU152" s="85"/>
      <c r="BV152" s="85"/>
      <c r="BW152" s="85"/>
      <c r="BX152" s="85"/>
      <c r="BY152" s="85"/>
      <c r="BZ152" s="85"/>
      <c r="CA152" s="85"/>
    </row>
    <row r="153" spans="1:79" s="86" customFormat="1" ht="22.5" customHeight="1">
      <c r="A153" s="115"/>
      <c r="B153" s="116"/>
      <c r="C153" s="116"/>
      <c r="D153" s="116"/>
      <c r="E153" s="116"/>
      <c r="F153" s="116"/>
      <c r="G153" s="116"/>
      <c r="H153" s="116"/>
      <c r="I153" s="117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85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85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  <c r="BD153" s="85"/>
      <c r="BE153" s="85"/>
      <c r="BF153" s="85"/>
      <c r="BG153" s="85"/>
      <c r="BH153" s="85"/>
      <c r="BI153" s="85"/>
      <c r="BJ153" s="85"/>
      <c r="BK153" s="85"/>
      <c r="BL153" s="85"/>
      <c r="BM153" s="85"/>
      <c r="BN153" s="85"/>
      <c r="BO153" s="85"/>
      <c r="BP153" s="85"/>
      <c r="BQ153" s="85"/>
      <c r="BR153" s="85"/>
      <c r="BS153" s="85"/>
      <c r="BT153" s="85"/>
      <c r="BU153" s="85"/>
      <c r="BV153" s="85"/>
      <c r="BW153" s="85"/>
      <c r="BX153" s="85"/>
      <c r="BY153" s="85"/>
      <c r="BZ153" s="85"/>
      <c r="CA153" s="85"/>
    </row>
    <row r="154" spans="1:79" s="86" customFormat="1" ht="22.5" customHeight="1">
      <c r="A154" s="115"/>
      <c r="B154" s="116"/>
      <c r="C154" s="116"/>
      <c r="D154" s="116"/>
      <c r="E154" s="116"/>
      <c r="F154" s="116"/>
      <c r="G154" s="116"/>
      <c r="H154" s="116"/>
      <c r="I154" s="117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85"/>
      <c r="AB154" s="85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85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  <c r="AX154" s="85"/>
      <c r="AY154" s="85"/>
      <c r="AZ154" s="85"/>
      <c r="BA154" s="85"/>
      <c r="BB154" s="85"/>
      <c r="BC154" s="85"/>
      <c r="BD154" s="85"/>
      <c r="BE154" s="85"/>
      <c r="BF154" s="85"/>
      <c r="BG154" s="85"/>
      <c r="BH154" s="85"/>
      <c r="BI154" s="85"/>
      <c r="BJ154" s="85"/>
      <c r="BK154" s="85"/>
      <c r="BL154" s="85"/>
      <c r="BM154" s="85"/>
      <c r="BN154" s="85"/>
      <c r="BO154" s="85"/>
      <c r="BP154" s="85"/>
      <c r="BQ154" s="85"/>
      <c r="BR154" s="85"/>
      <c r="BS154" s="85"/>
      <c r="BT154" s="85"/>
      <c r="BU154" s="85"/>
      <c r="BV154" s="85"/>
      <c r="BW154" s="85"/>
      <c r="BX154" s="85"/>
      <c r="BY154" s="85"/>
      <c r="BZ154" s="85"/>
      <c r="CA154" s="85"/>
    </row>
    <row r="155" spans="1:79" s="86" customFormat="1" ht="22.5" customHeight="1">
      <c r="A155" s="115"/>
      <c r="B155" s="116"/>
      <c r="C155" s="116"/>
      <c r="D155" s="116"/>
      <c r="E155" s="116"/>
      <c r="F155" s="116"/>
      <c r="G155" s="116"/>
      <c r="H155" s="116"/>
      <c r="I155" s="117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  <c r="AA155" s="85"/>
      <c r="AB155" s="85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85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5"/>
      <c r="BB155" s="85"/>
      <c r="BC155" s="85"/>
      <c r="BD155" s="85"/>
      <c r="BE155" s="85"/>
      <c r="BF155" s="85"/>
      <c r="BG155" s="85"/>
      <c r="BH155" s="85"/>
      <c r="BI155" s="85"/>
      <c r="BJ155" s="85"/>
      <c r="BK155" s="85"/>
      <c r="BL155" s="85"/>
      <c r="BM155" s="85"/>
      <c r="BN155" s="85"/>
      <c r="BO155" s="85"/>
      <c r="BP155" s="85"/>
      <c r="BQ155" s="85"/>
      <c r="BR155" s="85"/>
      <c r="BS155" s="85"/>
      <c r="BT155" s="85"/>
      <c r="BU155" s="85"/>
      <c r="BV155" s="85"/>
      <c r="BW155" s="85"/>
      <c r="BX155" s="85"/>
      <c r="BY155" s="85"/>
      <c r="BZ155" s="85"/>
      <c r="CA155" s="85"/>
    </row>
    <row r="156" spans="1:79" s="86" customFormat="1" ht="22.5" customHeight="1">
      <c r="A156" s="115"/>
      <c r="B156" s="116"/>
      <c r="C156" s="116"/>
      <c r="D156" s="116"/>
      <c r="E156" s="116"/>
      <c r="F156" s="116"/>
      <c r="G156" s="116"/>
      <c r="H156" s="116"/>
      <c r="I156" s="117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85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85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5"/>
      <c r="BD156" s="85"/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85"/>
      <c r="BP156" s="85"/>
      <c r="BQ156" s="85"/>
      <c r="BR156" s="85"/>
      <c r="BS156" s="85"/>
      <c r="BT156" s="85"/>
      <c r="BU156" s="85"/>
      <c r="BV156" s="85"/>
      <c r="BW156" s="85"/>
      <c r="BX156" s="85"/>
      <c r="BY156" s="85"/>
      <c r="BZ156" s="85"/>
      <c r="CA156" s="85"/>
    </row>
    <row r="157" spans="1:79" s="86" customFormat="1" ht="22.5" customHeight="1">
      <c r="A157" s="115"/>
      <c r="B157" s="116"/>
      <c r="C157" s="116"/>
      <c r="D157" s="116"/>
      <c r="E157" s="116"/>
      <c r="F157" s="116"/>
      <c r="G157" s="116"/>
      <c r="H157" s="116"/>
      <c r="I157" s="117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  <c r="AA157" s="85"/>
      <c r="AB157" s="85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85"/>
      <c r="AN157" s="85"/>
      <c r="AO157" s="85"/>
      <c r="AP157" s="85"/>
      <c r="AQ157" s="85"/>
      <c r="AR157" s="85"/>
      <c r="AS157" s="85"/>
      <c r="AT157" s="85"/>
      <c r="AU157" s="85"/>
      <c r="AV157" s="85"/>
      <c r="AW157" s="85"/>
      <c r="AX157" s="85"/>
      <c r="AY157" s="85"/>
      <c r="AZ157" s="85"/>
      <c r="BA157" s="85"/>
      <c r="BB157" s="85"/>
      <c r="BC157" s="85"/>
      <c r="BD157" s="85"/>
      <c r="BE157" s="85"/>
      <c r="BF157" s="85"/>
      <c r="BG157" s="85"/>
      <c r="BH157" s="85"/>
      <c r="BI157" s="85"/>
      <c r="BJ157" s="85"/>
      <c r="BK157" s="85"/>
      <c r="BL157" s="85"/>
      <c r="BM157" s="85"/>
      <c r="BN157" s="85"/>
      <c r="BO157" s="85"/>
      <c r="BP157" s="85"/>
      <c r="BQ157" s="85"/>
      <c r="BR157" s="85"/>
      <c r="BS157" s="85"/>
      <c r="BT157" s="85"/>
      <c r="BU157" s="85"/>
      <c r="BV157" s="85"/>
      <c r="BW157" s="85"/>
      <c r="BX157" s="85"/>
      <c r="BY157" s="85"/>
      <c r="BZ157" s="85"/>
      <c r="CA157" s="85"/>
    </row>
    <row r="158" spans="1:79" s="86" customFormat="1" ht="22.5" customHeight="1">
      <c r="A158" s="115"/>
      <c r="B158" s="116"/>
      <c r="C158" s="116"/>
      <c r="D158" s="116"/>
      <c r="E158" s="116"/>
      <c r="F158" s="116"/>
      <c r="G158" s="116"/>
      <c r="H158" s="116"/>
      <c r="I158" s="117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  <c r="AA158" s="85"/>
      <c r="AB158" s="85"/>
      <c r="AC158" s="85"/>
      <c r="AD158" s="85"/>
      <c r="AE158" s="85"/>
      <c r="AF158" s="85"/>
      <c r="AG158" s="85"/>
      <c r="AH158" s="85"/>
      <c r="AI158" s="85"/>
      <c r="AJ158" s="85"/>
      <c r="AK158" s="85"/>
      <c r="AL158" s="85"/>
      <c r="AM158" s="85"/>
      <c r="AN158" s="85"/>
      <c r="AO158" s="85"/>
      <c r="AP158" s="85"/>
      <c r="AQ158" s="85"/>
      <c r="AR158" s="85"/>
      <c r="AS158" s="85"/>
      <c r="AT158" s="85"/>
      <c r="AU158" s="85"/>
      <c r="AV158" s="85"/>
      <c r="AW158" s="85"/>
      <c r="AX158" s="85"/>
      <c r="AY158" s="85"/>
      <c r="AZ158" s="85"/>
      <c r="BA158" s="85"/>
      <c r="BB158" s="85"/>
      <c r="BC158" s="85"/>
      <c r="BD158" s="85"/>
      <c r="BE158" s="85"/>
      <c r="BF158" s="85"/>
      <c r="BG158" s="85"/>
      <c r="BH158" s="85"/>
      <c r="BI158" s="85"/>
      <c r="BJ158" s="85"/>
      <c r="BK158" s="85"/>
      <c r="BL158" s="85"/>
      <c r="BM158" s="85"/>
      <c r="BN158" s="85"/>
      <c r="BO158" s="85"/>
      <c r="BP158" s="85"/>
      <c r="BQ158" s="85"/>
      <c r="BR158" s="85"/>
      <c r="BS158" s="85"/>
      <c r="BT158" s="85"/>
      <c r="BU158" s="85"/>
      <c r="BV158" s="85"/>
      <c r="BW158" s="85"/>
      <c r="BX158" s="85"/>
      <c r="BY158" s="85"/>
      <c r="BZ158" s="85"/>
      <c r="CA158" s="85"/>
    </row>
    <row r="159" spans="1:79" s="86" customFormat="1" ht="22.5" customHeight="1">
      <c r="A159" s="115"/>
      <c r="B159" s="116"/>
      <c r="C159" s="116"/>
      <c r="D159" s="116"/>
      <c r="E159" s="116"/>
      <c r="F159" s="116"/>
      <c r="G159" s="116"/>
      <c r="H159" s="116"/>
      <c r="I159" s="117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  <c r="AA159" s="85"/>
      <c r="AB159" s="85"/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M159" s="85"/>
      <c r="AN159" s="85"/>
      <c r="AO159" s="85"/>
      <c r="AP159" s="85"/>
      <c r="AQ159" s="85"/>
      <c r="AR159" s="85"/>
      <c r="AS159" s="85"/>
      <c r="AT159" s="85"/>
      <c r="AU159" s="85"/>
      <c r="AV159" s="85"/>
      <c r="AW159" s="85"/>
      <c r="AX159" s="85"/>
      <c r="AY159" s="85"/>
      <c r="AZ159" s="85"/>
      <c r="BA159" s="85"/>
      <c r="BB159" s="85"/>
      <c r="BC159" s="85"/>
      <c r="BD159" s="85"/>
      <c r="BE159" s="85"/>
      <c r="BF159" s="85"/>
      <c r="BG159" s="85"/>
      <c r="BH159" s="85"/>
      <c r="BI159" s="85"/>
      <c r="BJ159" s="85"/>
      <c r="BK159" s="85"/>
      <c r="BL159" s="85"/>
      <c r="BM159" s="85"/>
      <c r="BN159" s="85"/>
      <c r="BO159" s="85"/>
      <c r="BP159" s="85"/>
      <c r="BQ159" s="85"/>
      <c r="BR159" s="85"/>
      <c r="BS159" s="85"/>
      <c r="BT159" s="85"/>
      <c r="BU159" s="85"/>
      <c r="BV159" s="85"/>
      <c r="BW159" s="85"/>
      <c r="BX159" s="85"/>
      <c r="BY159" s="85"/>
      <c r="BZ159" s="85"/>
      <c r="CA159" s="85"/>
    </row>
    <row r="160" spans="1:79" s="86" customFormat="1" ht="22.5" customHeight="1">
      <c r="A160" s="115"/>
      <c r="B160" s="116"/>
      <c r="C160" s="116"/>
      <c r="D160" s="116"/>
      <c r="E160" s="116"/>
      <c r="F160" s="116"/>
      <c r="G160" s="116"/>
      <c r="H160" s="116"/>
      <c r="I160" s="117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  <c r="AA160" s="85"/>
      <c r="AB160" s="85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85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85"/>
      <c r="BC160" s="85"/>
      <c r="BD160" s="85"/>
      <c r="BE160" s="85"/>
      <c r="BF160" s="85"/>
      <c r="BG160" s="85"/>
      <c r="BH160" s="85"/>
      <c r="BI160" s="85"/>
      <c r="BJ160" s="85"/>
      <c r="BK160" s="85"/>
      <c r="BL160" s="85"/>
      <c r="BM160" s="85"/>
      <c r="BN160" s="85"/>
      <c r="BO160" s="85"/>
      <c r="BP160" s="85"/>
      <c r="BQ160" s="85"/>
      <c r="BR160" s="85"/>
      <c r="BS160" s="85"/>
      <c r="BT160" s="85"/>
      <c r="BU160" s="85"/>
      <c r="BV160" s="85"/>
      <c r="BW160" s="85"/>
      <c r="BX160" s="85"/>
      <c r="BY160" s="85"/>
      <c r="BZ160" s="85"/>
      <c r="CA160" s="85"/>
    </row>
    <row r="161" spans="1:79" s="86" customFormat="1" ht="24.75" customHeight="1">
      <c r="A161" s="115"/>
      <c r="B161" s="116"/>
      <c r="C161" s="116"/>
      <c r="D161" s="116"/>
      <c r="E161" s="116"/>
      <c r="F161" s="116"/>
      <c r="G161" s="116"/>
      <c r="H161" s="116"/>
      <c r="I161" s="117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  <c r="AA161" s="85"/>
      <c r="AB161" s="85"/>
      <c r="AC161" s="85"/>
      <c r="AD161" s="85"/>
      <c r="AE161" s="85"/>
      <c r="AF161" s="85"/>
      <c r="AG161" s="85"/>
      <c r="AH161" s="85"/>
      <c r="AI161" s="85"/>
      <c r="AJ161" s="85"/>
      <c r="AK161" s="85"/>
      <c r="AL161" s="85"/>
      <c r="AM161" s="85"/>
      <c r="AN161" s="85"/>
      <c r="AO161" s="85"/>
      <c r="AP161" s="85"/>
      <c r="AQ161" s="85"/>
      <c r="AR161" s="85"/>
      <c r="AS161" s="85"/>
      <c r="AT161" s="85"/>
      <c r="AU161" s="85"/>
      <c r="AV161" s="85"/>
      <c r="AW161" s="85"/>
      <c r="AX161" s="85"/>
      <c r="AY161" s="85"/>
      <c r="AZ161" s="85"/>
      <c r="BA161" s="85"/>
      <c r="BB161" s="85"/>
      <c r="BC161" s="85"/>
      <c r="BD161" s="85"/>
      <c r="BE161" s="85"/>
      <c r="BF161" s="85"/>
      <c r="BG161" s="85"/>
      <c r="BH161" s="85"/>
      <c r="BI161" s="85"/>
      <c r="BJ161" s="85"/>
      <c r="BK161" s="85"/>
      <c r="BL161" s="85"/>
      <c r="BM161" s="85"/>
      <c r="BN161" s="85"/>
      <c r="BO161" s="85"/>
      <c r="BP161" s="85"/>
      <c r="BQ161" s="85"/>
      <c r="BR161" s="85"/>
      <c r="BS161" s="85"/>
      <c r="BT161" s="85"/>
      <c r="BU161" s="85"/>
      <c r="BV161" s="85"/>
      <c r="BW161" s="85"/>
      <c r="BX161" s="85"/>
      <c r="BY161" s="85"/>
      <c r="BZ161" s="85"/>
      <c r="CA161" s="85"/>
    </row>
    <row r="162" spans="1:79" s="86" customFormat="1" ht="24.75" customHeight="1">
      <c r="A162" s="115"/>
      <c r="B162" s="116"/>
      <c r="C162" s="116"/>
      <c r="D162" s="116"/>
      <c r="E162" s="116"/>
      <c r="F162" s="116"/>
      <c r="G162" s="116"/>
      <c r="H162" s="116"/>
      <c r="I162" s="117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  <c r="AA162" s="85"/>
      <c r="AB162" s="85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85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5"/>
      <c r="BC162" s="85"/>
      <c r="BD162" s="85"/>
      <c r="BE162" s="85"/>
      <c r="BF162" s="85"/>
      <c r="BG162" s="85"/>
      <c r="BH162" s="85"/>
      <c r="BI162" s="85"/>
      <c r="BJ162" s="85"/>
      <c r="BK162" s="85"/>
      <c r="BL162" s="85"/>
      <c r="BM162" s="85"/>
      <c r="BN162" s="85"/>
      <c r="BO162" s="85"/>
      <c r="BP162" s="85"/>
      <c r="BQ162" s="85"/>
      <c r="BR162" s="85"/>
      <c r="BS162" s="85"/>
      <c r="BT162" s="85"/>
      <c r="BU162" s="85"/>
      <c r="BV162" s="85"/>
      <c r="BW162" s="85"/>
      <c r="BX162" s="85"/>
      <c r="BY162" s="85"/>
      <c r="BZ162" s="85"/>
      <c r="CA162" s="85"/>
    </row>
    <row r="163" spans="1:79" s="86" customFormat="1" ht="24.75" customHeight="1">
      <c r="A163" s="115"/>
      <c r="B163" s="116"/>
      <c r="C163" s="116"/>
      <c r="D163" s="116"/>
      <c r="E163" s="116"/>
      <c r="F163" s="116"/>
      <c r="G163" s="116"/>
      <c r="H163" s="116"/>
      <c r="I163" s="117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  <c r="AA163" s="85"/>
      <c r="AB163" s="85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85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85"/>
      <c r="BC163" s="85"/>
      <c r="BD163" s="85"/>
      <c r="BE163" s="85"/>
      <c r="BF163" s="85"/>
      <c r="BG163" s="85"/>
      <c r="BH163" s="85"/>
      <c r="BI163" s="85"/>
      <c r="BJ163" s="85"/>
      <c r="BK163" s="85"/>
      <c r="BL163" s="85"/>
      <c r="BM163" s="85"/>
      <c r="BN163" s="85"/>
      <c r="BO163" s="85"/>
      <c r="BP163" s="85"/>
      <c r="BQ163" s="85"/>
      <c r="BR163" s="85"/>
      <c r="BS163" s="85"/>
      <c r="BT163" s="85"/>
      <c r="BU163" s="85"/>
      <c r="BV163" s="85"/>
      <c r="BW163" s="85"/>
      <c r="BX163" s="85"/>
      <c r="BY163" s="85"/>
      <c r="BZ163" s="85"/>
      <c r="CA163" s="85"/>
    </row>
    <row r="164" spans="1:79" s="86" customFormat="1" ht="24.75" customHeight="1">
      <c r="A164" s="115"/>
      <c r="B164" s="116"/>
      <c r="C164" s="116"/>
      <c r="D164" s="116"/>
      <c r="E164" s="116"/>
      <c r="F164" s="116"/>
      <c r="G164" s="116"/>
      <c r="H164" s="116"/>
      <c r="I164" s="117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  <c r="AA164" s="85"/>
      <c r="AB164" s="85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85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5"/>
      <c r="BC164" s="85"/>
      <c r="BD164" s="85"/>
      <c r="BE164" s="85"/>
      <c r="BF164" s="85"/>
      <c r="BG164" s="85"/>
      <c r="BH164" s="85"/>
      <c r="BI164" s="85"/>
      <c r="BJ164" s="85"/>
      <c r="BK164" s="85"/>
      <c r="BL164" s="85"/>
      <c r="BM164" s="85"/>
      <c r="BN164" s="85"/>
      <c r="BO164" s="85"/>
      <c r="BP164" s="85"/>
      <c r="BQ164" s="85"/>
      <c r="BR164" s="85"/>
      <c r="BS164" s="85"/>
      <c r="BT164" s="85"/>
      <c r="BU164" s="85"/>
      <c r="BV164" s="85"/>
      <c r="BW164" s="85"/>
      <c r="BX164" s="85"/>
      <c r="BY164" s="85"/>
      <c r="BZ164" s="85"/>
      <c r="CA164" s="85"/>
    </row>
    <row r="165" spans="1:79" s="86" customFormat="1" ht="24.75" customHeight="1">
      <c r="A165" s="115"/>
      <c r="B165" s="116"/>
      <c r="C165" s="116"/>
      <c r="D165" s="116"/>
      <c r="E165" s="116"/>
      <c r="F165" s="116"/>
      <c r="G165" s="116"/>
      <c r="H165" s="116"/>
      <c r="I165" s="117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  <c r="AA165" s="85"/>
      <c r="AB165" s="85"/>
      <c r="AC165" s="85"/>
      <c r="AD165" s="85"/>
      <c r="AE165" s="85"/>
      <c r="AF165" s="85"/>
      <c r="AG165" s="85"/>
      <c r="AH165" s="85"/>
      <c r="AI165" s="85"/>
      <c r="AJ165" s="85"/>
      <c r="AK165" s="85"/>
      <c r="AL165" s="85"/>
      <c r="AM165" s="85"/>
      <c r="AN165" s="85"/>
      <c r="AO165" s="85"/>
      <c r="AP165" s="85"/>
      <c r="AQ165" s="85"/>
      <c r="AR165" s="85"/>
      <c r="AS165" s="85"/>
      <c r="AT165" s="85"/>
      <c r="AU165" s="85"/>
      <c r="AV165" s="85"/>
      <c r="AW165" s="85"/>
      <c r="AX165" s="85"/>
      <c r="AY165" s="85"/>
      <c r="AZ165" s="85"/>
      <c r="BA165" s="85"/>
      <c r="BB165" s="85"/>
      <c r="BC165" s="85"/>
      <c r="BD165" s="85"/>
      <c r="BE165" s="85"/>
      <c r="BF165" s="85"/>
      <c r="BG165" s="85"/>
      <c r="BH165" s="85"/>
      <c r="BI165" s="85"/>
      <c r="BJ165" s="85"/>
      <c r="BK165" s="85"/>
      <c r="BL165" s="85"/>
      <c r="BM165" s="85"/>
      <c r="BN165" s="85"/>
      <c r="BO165" s="85"/>
      <c r="BP165" s="85"/>
      <c r="BQ165" s="85"/>
      <c r="BR165" s="85"/>
      <c r="BS165" s="85"/>
      <c r="BT165" s="85"/>
      <c r="BU165" s="85"/>
      <c r="BV165" s="85"/>
      <c r="BW165" s="85"/>
      <c r="BX165" s="85"/>
      <c r="BY165" s="85"/>
      <c r="BZ165" s="85"/>
      <c r="CA165" s="85"/>
    </row>
    <row r="166" spans="1:79" s="86" customFormat="1" ht="24.75" customHeight="1">
      <c r="A166" s="115"/>
      <c r="B166" s="116"/>
      <c r="C166" s="116"/>
      <c r="D166" s="116"/>
      <c r="E166" s="116"/>
      <c r="F166" s="116"/>
      <c r="G166" s="116"/>
      <c r="H166" s="116"/>
      <c r="I166" s="117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85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85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85"/>
      <c r="AY166" s="85"/>
      <c r="AZ166" s="85"/>
      <c r="BA166" s="85"/>
      <c r="BB166" s="85"/>
      <c r="BC166" s="85"/>
      <c r="BD166" s="85"/>
      <c r="BE166" s="85"/>
      <c r="BF166" s="85"/>
      <c r="BG166" s="85"/>
      <c r="BH166" s="85"/>
      <c r="BI166" s="85"/>
      <c r="BJ166" s="85"/>
      <c r="BK166" s="85"/>
      <c r="BL166" s="85"/>
      <c r="BM166" s="85"/>
      <c r="BN166" s="85"/>
      <c r="BO166" s="85"/>
      <c r="BP166" s="85"/>
      <c r="BQ166" s="85"/>
      <c r="BR166" s="85"/>
      <c r="BS166" s="85"/>
      <c r="BT166" s="85"/>
      <c r="BU166" s="85"/>
      <c r="BV166" s="85"/>
      <c r="BW166" s="85"/>
      <c r="BX166" s="85"/>
      <c r="BY166" s="85"/>
      <c r="BZ166" s="85"/>
      <c r="CA166" s="85"/>
    </row>
  </sheetData>
  <mergeCells count="1">
    <mergeCell ref="B1:E1"/>
  </mergeCells>
  <printOptions horizontalCentered="1"/>
  <pageMargins left="0.61" right="0.51" top="0.59" bottom="0.4724409448818898" header="0.31496062992125984" footer="0.31496062992125984"/>
  <pageSetup horizontalDpi="300" verticalDpi="300" orientation="landscape" paperSize="9" scale="85" r:id="rId1"/>
  <headerFooter alignWithMargins="0">
    <oddHeader>&amp;R9.sz.melléklet
ezer Ft-ban</oddHeader>
    <oddFooter>&amp;L&amp;8Kaposvár, Nyomt: &amp;D  &amp;T&amp;C&amp;8&amp;F _ &amp;A     &amp;"Arial CE,Dőlt"Szabó Tiborné&amp;R&amp;8&amp;P/&amp;N</oddFooter>
  </headerFooter>
  <rowBreaks count="6" manualBreakCount="6">
    <brk id="24" max="255" man="1"/>
    <brk id="43" max="255" man="1"/>
    <brk id="64" max="255" man="1"/>
    <brk id="89" max="255" man="1"/>
    <brk id="107" max="255" man="1"/>
    <brk id="1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B42"/>
  <sheetViews>
    <sheetView zoomScale="75" zoomScaleNormal="75" workbookViewId="0" topLeftCell="A1">
      <pane xSplit="1" ySplit="4" topLeftCell="D1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25" sqref="F25"/>
    </sheetView>
  </sheetViews>
  <sheetFormatPr defaultColWidth="9.00390625" defaultRowHeight="12.75" outlineLevelRow="1" outlineLevelCol="1"/>
  <cols>
    <col min="1" max="1" width="43.875" style="247" customWidth="1"/>
    <col min="2" max="2" width="10.75390625" style="248" customWidth="1"/>
    <col min="3" max="3" width="10.25390625" style="249" customWidth="1"/>
    <col min="4" max="4" width="10.375" style="249" customWidth="1"/>
    <col min="5" max="5" width="10.125" style="250" customWidth="1"/>
    <col min="6" max="6" width="11.375" style="249" customWidth="1"/>
    <col min="7" max="7" width="10.75390625" style="249" customWidth="1"/>
    <col min="8" max="8" width="10.125" style="249" customWidth="1"/>
    <col min="9" max="9" width="11.625" style="251" customWidth="1"/>
    <col min="10" max="10" width="10.125" style="251" hidden="1" customWidth="1" outlineLevel="1"/>
    <col min="11" max="11" width="10.625" style="249" customWidth="1" collapsed="1"/>
    <col min="12" max="12" width="11.375" style="164" customWidth="1"/>
    <col min="13" max="13" width="10.125" style="252" hidden="1" customWidth="1" outlineLevel="1"/>
    <col min="14" max="14" width="10.75390625" style="134" hidden="1" customWidth="1" outlineLevel="1"/>
    <col min="15" max="15" width="12.625" style="135" customWidth="1" collapsed="1"/>
    <col min="16" max="16" width="8.00390625" style="135" customWidth="1" collapsed="1"/>
    <col min="17" max="16384" width="8.00390625" style="135" customWidth="1"/>
  </cols>
  <sheetData>
    <row r="1" spans="1:13" ht="23.25" customHeight="1">
      <c r="A1" s="122" t="s">
        <v>1</v>
      </c>
      <c r="B1" s="123" t="s">
        <v>182</v>
      </c>
      <c r="C1" s="124" t="s">
        <v>183</v>
      </c>
      <c r="D1" s="125"/>
      <c r="E1" s="125"/>
      <c r="F1" s="126"/>
      <c r="G1" s="127" t="s">
        <v>184</v>
      </c>
      <c r="H1" s="128"/>
      <c r="I1" s="129"/>
      <c r="J1" s="130"/>
      <c r="K1" s="131" t="s">
        <v>185</v>
      </c>
      <c r="L1" s="132" t="s">
        <v>182</v>
      </c>
      <c r="M1" s="133"/>
    </row>
    <row r="2" spans="1:14" s="144" customFormat="1" ht="15.75" customHeight="1">
      <c r="A2" s="136"/>
      <c r="B2" s="137" t="s">
        <v>186</v>
      </c>
      <c r="C2" s="138" t="s">
        <v>187</v>
      </c>
      <c r="D2" s="138" t="s">
        <v>188</v>
      </c>
      <c r="E2" s="139" t="s">
        <v>189</v>
      </c>
      <c r="F2" s="138" t="s">
        <v>189</v>
      </c>
      <c r="G2" s="138" t="s">
        <v>187</v>
      </c>
      <c r="H2" s="138" t="s">
        <v>190</v>
      </c>
      <c r="I2" s="140" t="s">
        <v>191</v>
      </c>
      <c r="J2" s="140"/>
      <c r="K2" s="138" t="s">
        <v>187</v>
      </c>
      <c r="L2" s="141" t="s">
        <v>192</v>
      </c>
      <c r="M2" s="142"/>
      <c r="N2" s="143"/>
    </row>
    <row r="3" spans="1:14" ht="12">
      <c r="A3" s="136"/>
      <c r="B3" s="145" t="s">
        <v>193</v>
      </c>
      <c r="C3" s="146" t="s">
        <v>194</v>
      </c>
      <c r="D3" s="146" t="s">
        <v>195</v>
      </c>
      <c r="E3" s="147" t="s">
        <v>196</v>
      </c>
      <c r="F3" s="146" t="s">
        <v>197</v>
      </c>
      <c r="G3" s="146" t="s">
        <v>194</v>
      </c>
      <c r="H3" s="146" t="s">
        <v>198</v>
      </c>
      <c r="I3" s="148" t="s">
        <v>199</v>
      </c>
      <c r="J3" s="148" t="s">
        <v>200</v>
      </c>
      <c r="K3" s="146" t="s">
        <v>194</v>
      </c>
      <c r="L3" s="149" t="s">
        <v>201</v>
      </c>
      <c r="M3" s="150" t="s">
        <v>9</v>
      </c>
      <c r="N3" s="150"/>
    </row>
    <row r="4" spans="1:13" ht="12">
      <c r="A4" s="151"/>
      <c r="B4" s="152"/>
      <c r="C4" s="153" t="s">
        <v>202</v>
      </c>
      <c r="D4" s="154"/>
      <c r="E4" s="155" t="s">
        <v>203</v>
      </c>
      <c r="F4" s="154"/>
      <c r="G4" s="153" t="s">
        <v>202</v>
      </c>
      <c r="H4" s="154" t="s">
        <v>204</v>
      </c>
      <c r="I4" s="156"/>
      <c r="J4" s="156"/>
      <c r="K4" s="153" t="s">
        <v>202</v>
      </c>
      <c r="L4" s="157" t="s">
        <v>205</v>
      </c>
      <c r="M4" s="158"/>
    </row>
    <row r="5" spans="1:14" s="167" customFormat="1" ht="21" customHeight="1">
      <c r="A5" s="159" t="s">
        <v>206</v>
      </c>
      <c r="B5" s="160"/>
      <c r="C5" s="161"/>
      <c r="D5" s="161"/>
      <c r="E5" s="162"/>
      <c r="F5" s="161"/>
      <c r="G5" s="161"/>
      <c r="H5" s="161"/>
      <c r="I5" s="163"/>
      <c r="J5" s="163"/>
      <c r="K5" s="161"/>
      <c r="L5" s="164"/>
      <c r="M5" s="165"/>
      <c r="N5" s="166"/>
    </row>
    <row r="6" spans="1:14" s="167" customFormat="1" ht="21" customHeight="1">
      <c r="A6" s="168" t="s">
        <v>207</v>
      </c>
      <c r="B6" s="169"/>
      <c r="C6" s="170"/>
      <c r="D6" s="170"/>
      <c r="E6" s="171"/>
      <c r="F6" s="170"/>
      <c r="G6" s="170"/>
      <c r="H6" s="170"/>
      <c r="I6" s="172"/>
      <c r="J6" s="172"/>
      <c r="K6" s="170"/>
      <c r="L6" s="164"/>
      <c r="M6" s="165"/>
      <c r="N6" s="166"/>
    </row>
    <row r="7" spans="1:14" s="167" customFormat="1" ht="32.25" customHeight="1">
      <c r="A7" s="173" t="s">
        <v>208</v>
      </c>
      <c r="B7" s="174">
        <v>30</v>
      </c>
      <c r="C7" s="170">
        <v>0</v>
      </c>
      <c r="D7" s="170">
        <v>51468</v>
      </c>
      <c r="E7" s="171">
        <v>51356</v>
      </c>
      <c r="F7" s="170">
        <f>+D7-E7</f>
        <v>112</v>
      </c>
      <c r="G7" s="170">
        <v>0</v>
      </c>
      <c r="H7" s="170">
        <f>+F7+G7</f>
        <v>112</v>
      </c>
      <c r="I7" s="172">
        <v>112</v>
      </c>
      <c r="J7" s="175">
        <f>+H7-I7</f>
        <v>0</v>
      </c>
      <c r="K7" s="176">
        <v>0</v>
      </c>
      <c r="L7" s="164" t="s">
        <v>209</v>
      </c>
      <c r="M7" s="165"/>
      <c r="N7" s="166"/>
    </row>
    <row r="8" spans="1:14" s="167" customFormat="1" ht="29.25" customHeight="1">
      <c r="A8" s="173" t="s">
        <v>210</v>
      </c>
      <c r="B8" s="174">
        <v>30</v>
      </c>
      <c r="C8" s="170">
        <v>0</v>
      </c>
      <c r="D8" s="170">
        <v>107337</v>
      </c>
      <c r="E8" s="171">
        <v>96295</v>
      </c>
      <c r="F8" s="170">
        <f>+D8-E8</f>
        <v>11042</v>
      </c>
      <c r="G8" s="170">
        <v>0</v>
      </c>
      <c r="H8" s="170">
        <f>+F8+G8</f>
        <v>11042</v>
      </c>
      <c r="I8" s="172">
        <v>4497</v>
      </c>
      <c r="J8" s="175">
        <f>+H8-I8</f>
        <v>6545</v>
      </c>
      <c r="K8" s="170">
        <v>0</v>
      </c>
      <c r="L8" s="164" t="s">
        <v>209</v>
      </c>
      <c r="M8" s="165"/>
      <c r="N8" s="166"/>
    </row>
    <row r="9" spans="1:106" s="184" customFormat="1" ht="27.75" customHeight="1">
      <c r="A9" s="177" t="s">
        <v>211</v>
      </c>
      <c r="B9" s="178"/>
      <c r="C9" s="179">
        <f aca="true" t="shared" si="0" ref="C9:K9">SUM(C7:C8)</f>
        <v>0</v>
      </c>
      <c r="D9" s="179">
        <f t="shared" si="0"/>
        <v>158805</v>
      </c>
      <c r="E9" s="179">
        <f t="shared" si="0"/>
        <v>147651</v>
      </c>
      <c r="F9" s="179">
        <f t="shared" si="0"/>
        <v>11154</v>
      </c>
      <c r="G9" s="179">
        <f t="shared" si="0"/>
        <v>0</v>
      </c>
      <c r="H9" s="179">
        <f t="shared" si="0"/>
        <v>11154</v>
      </c>
      <c r="I9" s="179">
        <f t="shared" si="0"/>
        <v>4609</v>
      </c>
      <c r="J9" s="179">
        <f t="shared" si="0"/>
        <v>6545</v>
      </c>
      <c r="K9" s="179">
        <f t="shared" si="0"/>
        <v>0</v>
      </c>
      <c r="L9" s="180"/>
      <c r="M9" s="181"/>
      <c r="N9" s="182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3"/>
      <c r="BF9" s="183"/>
      <c r="BG9" s="183"/>
      <c r="BH9" s="183"/>
      <c r="BI9" s="183"/>
      <c r="BJ9" s="183"/>
      <c r="BK9" s="183"/>
      <c r="BL9" s="183"/>
      <c r="BM9" s="183"/>
      <c r="BN9" s="183"/>
      <c r="BO9" s="183"/>
      <c r="BP9" s="183"/>
      <c r="BQ9" s="183"/>
      <c r="BR9" s="183"/>
      <c r="BS9" s="183"/>
      <c r="BT9" s="183"/>
      <c r="BU9" s="183"/>
      <c r="BV9" s="183"/>
      <c r="BW9" s="183"/>
      <c r="BX9" s="183"/>
      <c r="BY9" s="183"/>
      <c r="BZ9" s="183"/>
      <c r="CA9" s="183"/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  <c r="CN9" s="183"/>
      <c r="CO9" s="183"/>
      <c r="CP9" s="183"/>
      <c r="CQ9" s="183"/>
      <c r="CR9" s="183"/>
      <c r="CS9" s="183"/>
      <c r="CT9" s="183"/>
      <c r="CU9" s="183"/>
      <c r="CV9" s="183"/>
      <c r="CW9" s="183"/>
      <c r="CX9" s="183"/>
      <c r="CY9" s="183"/>
      <c r="CZ9" s="183"/>
      <c r="DA9" s="183"/>
      <c r="DB9" s="183"/>
    </row>
    <row r="10" spans="1:14" s="167" customFormat="1" ht="21" customHeight="1">
      <c r="A10" s="185" t="s">
        <v>212</v>
      </c>
      <c r="B10" s="169"/>
      <c r="C10" s="170"/>
      <c r="D10" s="170"/>
      <c r="E10" s="171"/>
      <c r="F10" s="170"/>
      <c r="G10" s="170"/>
      <c r="H10" s="170"/>
      <c r="I10" s="172"/>
      <c r="J10" s="172"/>
      <c r="K10" s="170"/>
      <c r="L10" s="164"/>
      <c r="M10" s="165"/>
      <c r="N10" s="166"/>
    </row>
    <row r="11" spans="1:14" s="167" customFormat="1" ht="21" customHeight="1">
      <c r="A11" s="186" t="s">
        <v>213</v>
      </c>
      <c r="B11" s="174">
        <v>97.38</v>
      </c>
      <c r="C11" s="170">
        <v>951523</v>
      </c>
      <c r="D11" s="170">
        <f>60000-15146+C11</f>
        <v>996377</v>
      </c>
      <c r="E11" s="171">
        <v>82289</v>
      </c>
      <c r="F11" s="170">
        <f>+D11-E11</f>
        <v>914088</v>
      </c>
      <c r="G11" s="170">
        <v>177881</v>
      </c>
      <c r="H11" s="170">
        <f>+F11+G11</f>
        <v>1091969</v>
      </c>
      <c r="I11" s="172">
        <v>1091969</v>
      </c>
      <c r="J11" s="175">
        <f>+H11-I11</f>
        <v>0</v>
      </c>
      <c r="K11" s="170">
        <v>0</v>
      </c>
      <c r="L11" s="164" t="s">
        <v>214</v>
      </c>
      <c r="M11" s="165">
        <v>61600</v>
      </c>
      <c r="N11" s="166"/>
    </row>
    <row r="12" spans="1:106" s="194" customFormat="1" ht="29.25" customHeight="1">
      <c r="A12" s="177" t="s">
        <v>215</v>
      </c>
      <c r="B12" s="187"/>
      <c r="C12" s="188">
        <f aca="true" t="shared" si="1" ref="C12:I12">SUM(C11:C11)</f>
        <v>951523</v>
      </c>
      <c r="D12" s="188">
        <f t="shared" si="1"/>
        <v>996377</v>
      </c>
      <c r="E12" s="189">
        <f t="shared" si="1"/>
        <v>82289</v>
      </c>
      <c r="F12" s="188">
        <f t="shared" si="1"/>
        <v>914088</v>
      </c>
      <c r="G12" s="188">
        <f t="shared" si="1"/>
        <v>177881</v>
      </c>
      <c r="H12" s="188">
        <f t="shared" si="1"/>
        <v>1091969</v>
      </c>
      <c r="I12" s="190">
        <f t="shared" si="1"/>
        <v>1091969</v>
      </c>
      <c r="J12" s="190">
        <f>+H12-I12</f>
        <v>0</v>
      </c>
      <c r="K12" s="188">
        <f>SUM(K11:K11)</f>
        <v>0</v>
      </c>
      <c r="L12" s="191"/>
      <c r="M12" s="192"/>
      <c r="N12" s="193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167"/>
    </row>
    <row r="13" spans="1:14" s="167" customFormat="1" ht="21" customHeight="1">
      <c r="A13" s="168" t="s">
        <v>216</v>
      </c>
      <c r="B13" s="169"/>
      <c r="C13" s="161"/>
      <c r="D13" s="161"/>
      <c r="E13" s="162"/>
      <c r="F13" s="161"/>
      <c r="G13" s="161"/>
      <c r="H13" s="161"/>
      <c r="I13" s="163"/>
      <c r="J13" s="163"/>
      <c r="K13" s="161"/>
      <c r="L13" s="164"/>
      <c r="M13" s="165"/>
      <c r="N13" s="166"/>
    </row>
    <row r="14" spans="1:14" s="167" customFormat="1" ht="24" customHeight="1">
      <c r="A14" s="195" t="s">
        <v>217</v>
      </c>
      <c r="B14" s="174">
        <v>11</v>
      </c>
      <c r="C14" s="170">
        <v>51491</v>
      </c>
      <c r="D14" s="170">
        <f>18175+C14</f>
        <v>69666</v>
      </c>
      <c r="E14" s="162">
        <v>65193</v>
      </c>
      <c r="F14" s="170">
        <f>+D14-E14</f>
        <v>4473</v>
      </c>
      <c r="G14" s="170">
        <v>0</v>
      </c>
      <c r="H14" s="170">
        <f>+F14+G14</f>
        <v>4473</v>
      </c>
      <c r="I14" s="172">
        <v>4252</v>
      </c>
      <c r="J14" s="172">
        <f>+H14-I14</f>
        <v>221</v>
      </c>
      <c r="K14" s="170">
        <v>0</v>
      </c>
      <c r="L14" s="164" t="s">
        <v>218</v>
      </c>
      <c r="M14" s="165"/>
      <c r="N14" s="166"/>
    </row>
    <row r="15" spans="1:106" s="184" customFormat="1" ht="24" customHeight="1">
      <c r="A15" s="177" t="s">
        <v>219</v>
      </c>
      <c r="B15" s="178"/>
      <c r="C15" s="179">
        <f>SUM(C14:C14)</f>
        <v>51491</v>
      </c>
      <c r="D15" s="179">
        <f>SUM(D14:D14)</f>
        <v>69666</v>
      </c>
      <c r="E15" s="196">
        <f>SUM(E14:E14)</f>
        <v>65193</v>
      </c>
      <c r="F15" s="179">
        <f>+F14</f>
        <v>4473</v>
      </c>
      <c r="G15" s="179">
        <f>SUM(G14:G14)</f>
        <v>0</v>
      </c>
      <c r="H15" s="179">
        <f>SUM(H14:H14)</f>
        <v>4473</v>
      </c>
      <c r="I15" s="197">
        <f>SUM(I14:I14)</f>
        <v>4252</v>
      </c>
      <c r="J15" s="197">
        <f>+H15-I15</f>
        <v>221</v>
      </c>
      <c r="K15" s="179">
        <f>SUM(K14:K14)</f>
        <v>0</v>
      </c>
      <c r="L15" s="198"/>
      <c r="M15" s="181"/>
      <c r="N15" s="182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183"/>
      <c r="BD15" s="183"/>
      <c r="BE15" s="183"/>
      <c r="BF15" s="183"/>
      <c r="BG15" s="183"/>
      <c r="BH15" s="183"/>
      <c r="BI15" s="183"/>
      <c r="BJ15" s="183"/>
      <c r="BK15" s="183"/>
      <c r="BL15" s="183"/>
      <c r="BM15" s="183"/>
      <c r="BN15" s="183"/>
      <c r="BO15" s="183"/>
      <c r="BP15" s="183"/>
      <c r="BQ15" s="183"/>
      <c r="BR15" s="183"/>
      <c r="BS15" s="183"/>
      <c r="BT15" s="183"/>
      <c r="BU15" s="183"/>
      <c r="BV15" s="183"/>
      <c r="BW15" s="183"/>
      <c r="BX15" s="183"/>
      <c r="BY15" s="183"/>
      <c r="BZ15" s="183"/>
      <c r="CA15" s="183"/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  <c r="CN15" s="183"/>
      <c r="CO15" s="183"/>
      <c r="CP15" s="183"/>
      <c r="CQ15" s="183"/>
      <c r="CR15" s="183"/>
      <c r="CS15" s="183"/>
      <c r="CT15" s="183"/>
      <c r="CU15" s="183"/>
      <c r="CV15" s="183"/>
      <c r="CW15" s="183"/>
      <c r="CX15" s="183"/>
      <c r="CY15" s="183"/>
      <c r="CZ15" s="183"/>
      <c r="DA15" s="183"/>
      <c r="DB15" s="183"/>
    </row>
    <row r="16" spans="1:14" s="167" customFormat="1" ht="29.25" customHeight="1">
      <c r="A16" s="168" t="s">
        <v>220</v>
      </c>
      <c r="B16" s="174"/>
      <c r="C16" s="170"/>
      <c r="D16" s="170"/>
      <c r="E16" s="171"/>
      <c r="F16" s="170"/>
      <c r="G16" s="170"/>
      <c r="H16" s="170"/>
      <c r="I16" s="172"/>
      <c r="J16" s="172"/>
      <c r="K16" s="170"/>
      <c r="L16" s="164"/>
      <c r="M16" s="165"/>
      <c r="N16" s="166"/>
    </row>
    <row r="17" spans="1:14" s="167" customFormat="1" ht="21" customHeight="1">
      <c r="A17" s="195" t="s">
        <v>217</v>
      </c>
      <c r="B17" s="174">
        <v>20</v>
      </c>
      <c r="C17" s="170">
        <v>97336</v>
      </c>
      <c r="D17" s="170">
        <v>130846</v>
      </c>
      <c r="E17" s="171">
        <f>32011+21538+68507</f>
        <v>122056</v>
      </c>
      <c r="F17" s="170">
        <f>+D17-E17</f>
        <v>8790</v>
      </c>
      <c r="G17" s="170">
        <v>0</v>
      </c>
      <c r="H17" s="170">
        <f>+F17+G17</f>
        <v>8790</v>
      </c>
      <c r="I17" s="172">
        <v>8687</v>
      </c>
      <c r="J17" s="199">
        <f>+H17-I17</f>
        <v>103</v>
      </c>
      <c r="K17" s="170">
        <v>0</v>
      </c>
      <c r="L17" s="164" t="s">
        <v>221</v>
      </c>
      <c r="M17" s="165"/>
      <c r="N17" s="166"/>
    </row>
    <row r="18" spans="1:14" s="167" customFormat="1" ht="21" customHeight="1">
      <c r="A18" s="168" t="s">
        <v>222</v>
      </c>
      <c r="B18" s="174"/>
      <c r="C18" s="170"/>
      <c r="D18" s="170"/>
      <c r="E18" s="171"/>
      <c r="F18" s="170"/>
      <c r="G18" s="170"/>
      <c r="H18" s="170"/>
      <c r="I18" s="172"/>
      <c r="J18" s="199"/>
      <c r="K18" s="170"/>
      <c r="L18" s="164"/>
      <c r="M18" s="165"/>
      <c r="N18" s="166"/>
    </row>
    <row r="19" spans="1:14" s="167" customFormat="1" ht="21" customHeight="1">
      <c r="A19" s="195" t="s">
        <v>217</v>
      </c>
      <c r="B19" s="174">
        <v>9</v>
      </c>
      <c r="C19" s="170">
        <v>43815</v>
      </c>
      <c r="D19" s="170">
        <f>40521-19461+C19</f>
        <v>64875</v>
      </c>
      <c r="E19" s="171">
        <f>7203+14405+9692+30828</f>
        <v>62128</v>
      </c>
      <c r="F19" s="170">
        <f>+D19-E19</f>
        <v>2747</v>
      </c>
      <c r="G19" s="170">
        <v>0</v>
      </c>
      <c r="H19" s="170">
        <f>+F19+G19</f>
        <v>2747</v>
      </c>
      <c r="I19" s="172">
        <v>2747</v>
      </c>
      <c r="J19" s="199">
        <f>+H19-I19</f>
        <v>0</v>
      </c>
      <c r="K19" s="170">
        <v>0</v>
      </c>
      <c r="L19" s="164" t="s">
        <v>221</v>
      </c>
      <c r="M19" s="165">
        <f>19461+21348</f>
        <v>40809</v>
      </c>
      <c r="N19" s="166"/>
    </row>
    <row r="20" spans="1:14" s="167" customFormat="1" ht="13.5" customHeight="1">
      <c r="A20" s="200"/>
      <c r="B20" s="174"/>
      <c r="C20" s="170"/>
      <c r="D20" s="170"/>
      <c r="E20" s="171"/>
      <c r="F20" s="170"/>
      <c r="G20" s="170"/>
      <c r="H20" s="201"/>
      <c r="I20" s="172"/>
      <c r="J20" s="199"/>
      <c r="K20" s="170"/>
      <c r="L20" s="164"/>
      <c r="M20" s="165"/>
      <c r="N20" s="166"/>
    </row>
    <row r="21" spans="1:106" s="184" customFormat="1" ht="21" customHeight="1">
      <c r="A21" s="177" t="s">
        <v>223</v>
      </c>
      <c r="B21" s="178"/>
      <c r="C21" s="179">
        <f aca="true" t="shared" si="2" ref="C21:I21">SUM(C17:C19)</f>
        <v>141151</v>
      </c>
      <c r="D21" s="179">
        <f t="shared" si="2"/>
        <v>195721</v>
      </c>
      <c r="E21" s="196">
        <f t="shared" si="2"/>
        <v>184184</v>
      </c>
      <c r="F21" s="179">
        <f t="shared" si="2"/>
        <v>11537</v>
      </c>
      <c r="G21" s="179">
        <f t="shared" si="2"/>
        <v>0</v>
      </c>
      <c r="H21" s="179">
        <f t="shared" si="2"/>
        <v>11537</v>
      </c>
      <c r="I21" s="197">
        <f t="shared" si="2"/>
        <v>11434</v>
      </c>
      <c r="J21" s="202">
        <f>+H21-I21</f>
        <v>103</v>
      </c>
      <c r="K21" s="179">
        <f>SUM(K17:K19)</f>
        <v>0</v>
      </c>
      <c r="L21" s="203"/>
      <c r="M21" s="181"/>
      <c r="N21" s="182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/>
      <c r="CB21" s="183"/>
      <c r="CC21" s="183"/>
      <c r="CD21" s="183"/>
      <c r="CE21" s="183"/>
      <c r="CF21" s="183"/>
      <c r="CG21" s="183"/>
      <c r="CH21" s="183"/>
      <c r="CI21" s="183"/>
      <c r="CJ21" s="183"/>
      <c r="CK21" s="183"/>
      <c r="CL21" s="183"/>
      <c r="CM21" s="183"/>
      <c r="CN21" s="183"/>
      <c r="CO21" s="183"/>
      <c r="CP21" s="183"/>
      <c r="CQ21" s="183"/>
      <c r="CR21" s="183"/>
      <c r="CS21" s="183"/>
      <c r="CT21" s="183"/>
      <c r="CU21" s="183"/>
      <c r="CV21" s="183"/>
      <c r="CW21" s="183"/>
      <c r="CX21" s="183"/>
      <c r="CY21" s="183"/>
      <c r="CZ21" s="183"/>
      <c r="DA21" s="183"/>
      <c r="DB21" s="183"/>
    </row>
    <row r="22" spans="1:14" s="167" customFormat="1" ht="21" customHeight="1">
      <c r="A22" s="204" t="s">
        <v>224</v>
      </c>
      <c r="B22" s="174"/>
      <c r="C22" s="170"/>
      <c r="D22" s="170"/>
      <c r="E22" s="171"/>
      <c r="F22" s="170"/>
      <c r="G22" s="170"/>
      <c r="H22" s="170"/>
      <c r="I22" s="172"/>
      <c r="J22" s="172"/>
      <c r="K22" s="170"/>
      <c r="L22" s="164"/>
      <c r="M22" s="165"/>
      <c r="N22" s="166"/>
    </row>
    <row r="23" spans="1:14" s="167" customFormat="1" ht="24" customHeight="1">
      <c r="A23" s="200" t="s">
        <v>225</v>
      </c>
      <c r="B23" s="174">
        <v>15.22</v>
      </c>
      <c r="C23" s="170">
        <v>4151</v>
      </c>
      <c r="D23" s="170">
        <f>100+C23</f>
        <v>4251</v>
      </c>
      <c r="E23" s="171">
        <v>4251</v>
      </c>
      <c r="F23" s="170">
        <f>+D23-E23</f>
        <v>0</v>
      </c>
      <c r="G23" s="170">
        <v>8760</v>
      </c>
      <c r="H23" s="170">
        <f aca="true" t="shared" si="3" ref="H23:H30">+F23+G23</f>
        <v>8760</v>
      </c>
      <c r="I23" s="172">
        <f>8755+5</f>
        <v>8760</v>
      </c>
      <c r="J23" s="199">
        <f aca="true" t="shared" si="4" ref="J23:J30">+H23-I23</f>
        <v>0</v>
      </c>
      <c r="K23" s="170">
        <v>0</v>
      </c>
      <c r="L23" s="164" t="s">
        <v>226</v>
      </c>
      <c r="M23" s="165"/>
      <c r="N23" s="166"/>
    </row>
    <row r="24" spans="1:14" s="167" customFormat="1" ht="22.5" customHeight="1">
      <c r="A24" s="33" t="s">
        <v>227</v>
      </c>
      <c r="B24" s="174"/>
      <c r="C24" s="170">
        <v>100</v>
      </c>
      <c r="D24" s="170">
        <v>100</v>
      </c>
      <c r="E24" s="171">
        <v>0</v>
      </c>
      <c r="F24" s="170">
        <f>+D24-E24</f>
        <v>100</v>
      </c>
      <c r="G24" s="170">
        <v>9566</v>
      </c>
      <c r="H24" s="170">
        <f t="shared" si="3"/>
        <v>9666</v>
      </c>
      <c r="I24" s="172">
        <f>+H24</f>
        <v>9666</v>
      </c>
      <c r="J24" s="199">
        <f t="shared" si="4"/>
        <v>0</v>
      </c>
      <c r="K24" s="170">
        <v>0</v>
      </c>
      <c r="L24" s="205" t="s">
        <v>228</v>
      </c>
      <c r="M24" s="165"/>
      <c r="N24" s="166"/>
    </row>
    <row r="25" spans="1:14" s="167" customFormat="1" ht="21.75" customHeight="1">
      <c r="A25" s="206" t="s">
        <v>229</v>
      </c>
      <c r="B25" s="174">
        <v>63</v>
      </c>
      <c r="C25" s="170">
        <v>12481</v>
      </c>
      <c r="D25" s="170">
        <v>12481</v>
      </c>
      <c r="E25" s="171">
        <v>12481</v>
      </c>
      <c r="F25" s="170">
        <v>0</v>
      </c>
      <c r="G25" s="170">
        <v>160</v>
      </c>
      <c r="H25" s="170">
        <f t="shared" si="3"/>
        <v>160</v>
      </c>
      <c r="I25" s="172">
        <v>160</v>
      </c>
      <c r="J25" s="199">
        <f t="shared" si="4"/>
        <v>0</v>
      </c>
      <c r="K25" s="170">
        <v>0</v>
      </c>
      <c r="L25" s="164" t="s">
        <v>226</v>
      </c>
      <c r="M25" s="165"/>
      <c r="N25" s="166"/>
    </row>
    <row r="26" spans="1:14" s="167" customFormat="1" ht="21.75" customHeight="1">
      <c r="A26" s="206" t="s">
        <v>230</v>
      </c>
      <c r="B26" s="174">
        <v>70</v>
      </c>
      <c r="C26" s="170">
        <v>100</v>
      </c>
      <c r="D26" s="170">
        <v>100</v>
      </c>
      <c r="E26" s="171">
        <v>100</v>
      </c>
      <c r="F26" s="170">
        <v>0</v>
      </c>
      <c r="G26" s="170">
        <v>3806</v>
      </c>
      <c r="H26" s="170">
        <f t="shared" si="3"/>
        <v>3806</v>
      </c>
      <c r="I26" s="172">
        <v>3806</v>
      </c>
      <c r="J26" s="199">
        <f t="shared" si="4"/>
        <v>0</v>
      </c>
      <c r="K26" s="170">
        <v>0</v>
      </c>
      <c r="L26" s="164" t="s">
        <v>226</v>
      </c>
      <c r="M26" s="165"/>
      <c r="N26" s="166"/>
    </row>
    <row r="27" spans="1:14" s="167" customFormat="1" ht="21.75" customHeight="1">
      <c r="A27" s="206" t="s">
        <v>231</v>
      </c>
      <c r="B27" s="174">
        <v>70</v>
      </c>
      <c r="C27" s="170">
        <v>100</v>
      </c>
      <c r="D27" s="170">
        <v>100</v>
      </c>
      <c r="E27" s="171">
        <v>100</v>
      </c>
      <c r="F27" s="170">
        <v>0</v>
      </c>
      <c r="G27" s="170">
        <v>2740</v>
      </c>
      <c r="H27" s="170">
        <f t="shared" si="3"/>
        <v>2740</v>
      </c>
      <c r="I27" s="172">
        <v>2740</v>
      </c>
      <c r="J27" s="199">
        <f t="shared" si="4"/>
        <v>0</v>
      </c>
      <c r="K27" s="170">
        <v>7464</v>
      </c>
      <c r="L27" s="164" t="s">
        <v>232</v>
      </c>
      <c r="M27" s="165"/>
      <c r="N27" s="166"/>
    </row>
    <row r="28" spans="1:14" s="167" customFormat="1" ht="21.75" customHeight="1">
      <c r="A28" s="206" t="s">
        <v>233</v>
      </c>
      <c r="B28" s="174">
        <v>70</v>
      </c>
      <c r="C28" s="170">
        <v>3598</v>
      </c>
      <c r="D28" s="170">
        <v>3598</v>
      </c>
      <c r="E28" s="171">
        <v>0</v>
      </c>
      <c r="F28" s="170">
        <f>+D28-E28</f>
        <v>3598</v>
      </c>
      <c r="G28" s="170">
        <v>0</v>
      </c>
      <c r="H28" s="170">
        <f t="shared" si="3"/>
        <v>3598</v>
      </c>
      <c r="I28" s="172">
        <v>3598</v>
      </c>
      <c r="J28" s="199">
        <f t="shared" si="4"/>
        <v>0</v>
      </c>
      <c r="K28" s="170"/>
      <c r="L28" s="164" t="s">
        <v>234</v>
      </c>
      <c r="M28" s="165"/>
      <c r="N28" s="166"/>
    </row>
    <row r="29" spans="1:14" s="167" customFormat="1" ht="21.75" customHeight="1">
      <c r="A29" s="206" t="s">
        <v>235</v>
      </c>
      <c r="B29" s="174">
        <v>56</v>
      </c>
      <c r="C29" s="170">
        <v>10472</v>
      </c>
      <c r="D29" s="170">
        <v>10472</v>
      </c>
      <c r="E29" s="171">
        <v>2800</v>
      </c>
      <c r="F29" s="170">
        <f>+D29-E29</f>
        <v>7672</v>
      </c>
      <c r="G29" s="170">
        <v>0</v>
      </c>
      <c r="H29" s="170">
        <f t="shared" si="3"/>
        <v>7672</v>
      </c>
      <c r="I29" s="172">
        <v>7672</v>
      </c>
      <c r="J29" s="199">
        <f t="shared" si="4"/>
        <v>0</v>
      </c>
      <c r="K29" s="170">
        <v>0</v>
      </c>
      <c r="L29" s="164" t="s">
        <v>236</v>
      </c>
      <c r="M29" s="165"/>
      <c r="N29" s="166"/>
    </row>
    <row r="30" spans="1:14" s="167" customFormat="1" ht="21.75" customHeight="1">
      <c r="A30" s="206" t="s">
        <v>237</v>
      </c>
      <c r="B30" s="174">
        <v>60</v>
      </c>
      <c r="C30" s="170">
        <v>5413</v>
      </c>
      <c r="D30" s="170">
        <v>5413</v>
      </c>
      <c r="E30" s="171">
        <v>5109</v>
      </c>
      <c r="F30" s="170">
        <f>+D30-E30</f>
        <v>304</v>
      </c>
      <c r="G30" s="170">
        <v>0</v>
      </c>
      <c r="H30" s="170">
        <f t="shared" si="3"/>
        <v>304</v>
      </c>
      <c r="I30" s="172">
        <v>304</v>
      </c>
      <c r="J30" s="199">
        <f t="shared" si="4"/>
        <v>0</v>
      </c>
      <c r="K30" s="170">
        <v>0</v>
      </c>
      <c r="L30" s="164" t="s">
        <v>232</v>
      </c>
      <c r="M30" s="165"/>
      <c r="N30" s="166"/>
    </row>
    <row r="31" spans="1:106" s="184" customFormat="1" ht="21" customHeight="1">
      <c r="A31" s="207" t="s">
        <v>238</v>
      </c>
      <c r="B31" s="208"/>
      <c r="C31" s="209">
        <f aca="true" t="shared" si="5" ref="C31:I31">SUM(C23:C30)</f>
        <v>36415</v>
      </c>
      <c r="D31" s="209">
        <f t="shared" si="5"/>
        <v>36515</v>
      </c>
      <c r="E31" s="210">
        <f t="shared" si="5"/>
        <v>24841</v>
      </c>
      <c r="F31" s="209">
        <f t="shared" si="5"/>
        <v>11674</v>
      </c>
      <c r="G31" s="209">
        <f t="shared" si="5"/>
        <v>25032</v>
      </c>
      <c r="H31" s="209">
        <f t="shared" si="5"/>
        <v>36706</v>
      </c>
      <c r="I31" s="211">
        <f t="shared" si="5"/>
        <v>36706</v>
      </c>
      <c r="J31" s="211"/>
      <c r="K31" s="209">
        <f>SUM(K23:K30)</f>
        <v>7464</v>
      </c>
      <c r="L31" s="212"/>
      <c r="M31" s="181"/>
      <c r="N31" s="182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183"/>
      <c r="BG31" s="183"/>
      <c r="BH31" s="183"/>
      <c r="BI31" s="183"/>
      <c r="BJ31" s="183"/>
      <c r="BK31" s="183"/>
      <c r="BL31" s="183"/>
      <c r="BM31" s="183"/>
      <c r="BN31" s="183"/>
      <c r="BO31" s="183"/>
      <c r="BP31" s="183"/>
      <c r="BQ31" s="183"/>
      <c r="BR31" s="183"/>
      <c r="BS31" s="183"/>
      <c r="BT31" s="183"/>
      <c r="BU31" s="183"/>
      <c r="BV31" s="183"/>
      <c r="BW31" s="183"/>
      <c r="BX31" s="183"/>
      <c r="BY31" s="183"/>
      <c r="BZ31" s="183"/>
      <c r="CA31" s="183"/>
      <c r="CB31" s="183"/>
      <c r="CC31" s="183"/>
      <c r="CD31" s="183"/>
      <c r="CE31" s="183"/>
      <c r="CF31" s="183"/>
      <c r="CG31" s="183"/>
      <c r="CH31" s="183"/>
      <c r="CI31" s="183"/>
      <c r="CJ31" s="183"/>
      <c r="CK31" s="183"/>
      <c r="CL31" s="183"/>
      <c r="CM31" s="183"/>
      <c r="CN31" s="183"/>
      <c r="CO31" s="183"/>
      <c r="CP31" s="183"/>
      <c r="CQ31" s="183"/>
      <c r="CR31" s="183"/>
      <c r="CS31" s="183"/>
      <c r="CT31" s="183"/>
      <c r="CU31" s="183"/>
      <c r="CV31" s="183"/>
      <c r="CW31" s="183"/>
      <c r="CX31" s="183"/>
      <c r="CY31" s="183"/>
      <c r="CZ31" s="183"/>
      <c r="DA31" s="183"/>
      <c r="DB31" s="183"/>
    </row>
    <row r="32" spans="1:106" s="220" customFormat="1" ht="21" customHeight="1">
      <c r="A32" s="204" t="s">
        <v>239</v>
      </c>
      <c r="B32" s="213"/>
      <c r="C32" s="214"/>
      <c r="D32" s="214"/>
      <c r="E32" s="215"/>
      <c r="F32" s="214"/>
      <c r="G32" s="214"/>
      <c r="H32" s="214"/>
      <c r="I32" s="216"/>
      <c r="J32" s="216"/>
      <c r="K32" s="214"/>
      <c r="L32" s="217"/>
      <c r="M32" s="218"/>
      <c r="N32" s="219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7"/>
      <c r="BQ32" s="167"/>
      <c r="BR32" s="167"/>
      <c r="BS32" s="167"/>
      <c r="BT32" s="167"/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7"/>
      <c r="CW32" s="167"/>
      <c r="CX32" s="167"/>
      <c r="CY32" s="167"/>
      <c r="CZ32" s="167"/>
      <c r="DA32" s="167"/>
      <c r="DB32" s="167"/>
    </row>
    <row r="33" spans="1:15" s="167" customFormat="1" ht="24" customHeight="1">
      <c r="A33" s="221" t="s">
        <v>240</v>
      </c>
      <c r="B33" s="174"/>
      <c r="C33" s="222">
        <v>431223</v>
      </c>
      <c r="D33" s="170">
        <v>514716</v>
      </c>
      <c r="E33" s="171">
        <f>488202-1</f>
        <v>488201</v>
      </c>
      <c r="F33" s="170">
        <f>+D33-E33</f>
        <v>26515</v>
      </c>
      <c r="G33" s="222">
        <v>0</v>
      </c>
      <c r="H33" s="170">
        <f>+F33+G33</f>
        <v>26515</v>
      </c>
      <c r="I33" s="172">
        <f>+H33</f>
        <v>26515</v>
      </c>
      <c r="J33" s="199">
        <f>+H33-I33</f>
        <v>0</v>
      </c>
      <c r="K33" s="170">
        <v>0</v>
      </c>
      <c r="L33" s="176" t="s">
        <v>241</v>
      </c>
      <c r="M33" s="165"/>
      <c r="N33" s="166"/>
      <c r="O33" s="166"/>
    </row>
    <row r="34" spans="1:15" s="167" customFormat="1" ht="24" customHeight="1">
      <c r="A34" s="221" t="s">
        <v>242</v>
      </c>
      <c r="B34" s="174"/>
      <c r="C34" s="222">
        <v>0</v>
      </c>
      <c r="D34" s="170">
        <v>150365</v>
      </c>
      <c r="E34" s="171">
        <v>126163</v>
      </c>
      <c r="F34" s="170">
        <f>+D34-E34</f>
        <v>24202</v>
      </c>
      <c r="G34" s="222">
        <v>0</v>
      </c>
      <c r="H34" s="170">
        <f>+F34+G34</f>
        <v>24202</v>
      </c>
      <c r="I34" s="172">
        <v>112</v>
      </c>
      <c r="J34" s="199">
        <f>+H34-I34</f>
        <v>24090</v>
      </c>
      <c r="K34" s="170">
        <v>0</v>
      </c>
      <c r="L34" s="176" t="s">
        <v>241</v>
      </c>
      <c r="M34" s="165"/>
      <c r="N34" s="166"/>
      <c r="O34" s="166"/>
    </row>
    <row r="35" spans="1:15" s="167" customFormat="1" ht="24" customHeight="1">
      <c r="A35" s="221" t="s">
        <v>243</v>
      </c>
      <c r="B35" s="174">
        <v>0.3333333333333333</v>
      </c>
      <c r="C35" s="222">
        <v>391</v>
      </c>
      <c r="D35" s="170">
        <v>391</v>
      </c>
      <c r="E35" s="171">
        <v>0</v>
      </c>
      <c r="F35" s="170">
        <f>+D35-E35</f>
        <v>391</v>
      </c>
      <c r="G35" s="222">
        <v>0</v>
      </c>
      <c r="H35" s="170">
        <f>+F35+G35</f>
        <v>391</v>
      </c>
      <c r="I35" s="172">
        <v>391</v>
      </c>
      <c r="J35" s="199">
        <f>+H35-I35</f>
        <v>0</v>
      </c>
      <c r="K35" s="170">
        <v>0</v>
      </c>
      <c r="L35" s="176" t="s">
        <v>241</v>
      </c>
      <c r="M35" s="165"/>
      <c r="N35" s="166"/>
      <c r="O35" s="166"/>
    </row>
    <row r="36" spans="1:15" s="167" customFormat="1" ht="24" customHeight="1">
      <c r="A36" s="221" t="s">
        <v>244</v>
      </c>
      <c r="B36" s="174">
        <v>0.3333333333333333</v>
      </c>
      <c r="C36" s="222">
        <v>53447</v>
      </c>
      <c r="D36" s="170">
        <v>53447</v>
      </c>
      <c r="E36" s="171">
        <f>47290-1792</f>
        <v>45498</v>
      </c>
      <c r="F36" s="170">
        <f>+D36-E36</f>
        <v>7949</v>
      </c>
      <c r="G36" s="222">
        <v>0</v>
      </c>
      <c r="H36" s="170">
        <f>+F36+G36</f>
        <v>7949</v>
      </c>
      <c r="I36" s="172">
        <v>7949</v>
      </c>
      <c r="J36" s="199">
        <f>+H36-I36</f>
        <v>0</v>
      </c>
      <c r="K36" s="170">
        <v>0</v>
      </c>
      <c r="L36" s="176" t="s">
        <v>241</v>
      </c>
      <c r="M36" s="165"/>
      <c r="N36" s="166"/>
      <c r="O36" s="166"/>
    </row>
    <row r="37" spans="1:15" s="167" customFormat="1" ht="24" customHeight="1">
      <c r="A37" s="221" t="s">
        <v>245</v>
      </c>
      <c r="B37" s="174">
        <v>0.3333333333333333</v>
      </c>
      <c r="C37" s="222">
        <v>0</v>
      </c>
      <c r="D37" s="170">
        <v>0</v>
      </c>
      <c r="E37" s="171">
        <v>0</v>
      </c>
      <c r="F37" s="170">
        <v>0</v>
      </c>
      <c r="G37" s="222">
        <v>74653</v>
      </c>
      <c r="H37" s="170">
        <f>+F37+G37</f>
        <v>74653</v>
      </c>
      <c r="I37" s="172">
        <v>74653</v>
      </c>
      <c r="J37" s="199">
        <f>+H37-I37</f>
        <v>0</v>
      </c>
      <c r="K37" s="170">
        <v>0</v>
      </c>
      <c r="L37" s="176" t="s">
        <v>241</v>
      </c>
      <c r="M37" s="165"/>
      <c r="N37" s="166"/>
      <c r="O37" s="166"/>
    </row>
    <row r="38" spans="1:106" s="225" customFormat="1" ht="27" customHeight="1">
      <c r="A38" s="207" t="s">
        <v>246</v>
      </c>
      <c r="B38" s="208"/>
      <c r="C38" s="209">
        <f aca="true" t="shared" si="6" ref="C38:K38">SUM(C33:C37)</f>
        <v>485061</v>
      </c>
      <c r="D38" s="209">
        <f t="shared" si="6"/>
        <v>718919</v>
      </c>
      <c r="E38" s="209">
        <f t="shared" si="6"/>
        <v>659862</v>
      </c>
      <c r="F38" s="209">
        <f t="shared" si="6"/>
        <v>59057</v>
      </c>
      <c r="G38" s="209">
        <f t="shared" si="6"/>
        <v>74653</v>
      </c>
      <c r="H38" s="209">
        <f t="shared" si="6"/>
        <v>133710</v>
      </c>
      <c r="I38" s="209">
        <f t="shared" si="6"/>
        <v>109620</v>
      </c>
      <c r="J38" s="209">
        <f t="shared" si="6"/>
        <v>24090</v>
      </c>
      <c r="K38" s="209">
        <f t="shared" si="6"/>
        <v>0</v>
      </c>
      <c r="L38" s="212"/>
      <c r="M38" s="223"/>
      <c r="N38" s="224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83"/>
      <c r="AV38" s="183"/>
      <c r="AW38" s="183"/>
      <c r="AX38" s="183"/>
      <c r="AY38" s="183"/>
      <c r="AZ38" s="183"/>
      <c r="BA38" s="183"/>
      <c r="BB38" s="183"/>
      <c r="BC38" s="183"/>
      <c r="BD38" s="183"/>
      <c r="BE38" s="183"/>
      <c r="BF38" s="183"/>
      <c r="BG38" s="183"/>
      <c r="BH38" s="183"/>
      <c r="BI38" s="183"/>
      <c r="BJ38" s="183"/>
      <c r="BK38" s="183"/>
      <c r="BL38" s="183"/>
      <c r="BM38" s="183"/>
      <c r="BN38" s="183"/>
      <c r="BO38" s="183"/>
      <c r="BP38" s="183"/>
      <c r="BQ38" s="183"/>
      <c r="BR38" s="183"/>
      <c r="BS38" s="183"/>
      <c r="BT38" s="183"/>
      <c r="BU38" s="183"/>
      <c r="BV38" s="183"/>
      <c r="BW38" s="183"/>
      <c r="BX38" s="183"/>
      <c r="BY38" s="183"/>
      <c r="BZ38" s="183"/>
      <c r="CA38" s="183"/>
      <c r="CB38" s="183"/>
      <c r="CC38" s="183"/>
      <c r="CD38" s="183"/>
      <c r="CE38" s="183"/>
      <c r="CF38" s="183"/>
      <c r="CG38" s="183"/>
      <c r="CH38" s="183"/>
      <c r="CI38" s="183"/>
      <c r="CJ38" s="183"/>
      <c r="CK38" s="183"/>
      <c r="CL38" s="183"/>
      <c r="CM38" s="183"/>
      <c r="CN38" s="183"/>
      <c r="CO38" s="183"/>
      <c r="CP38" s="183"/>
      <c r="CQ38" s="183"/>
      <c r="CR38" s="183"/>
      <c r="CS38" s="183"/>
      <c r="CT38" s="183"/>
      <c r="CU38" s="183"/>
      <c r="CV38" s="183"/>
      <c r="CW38" s="183"/>
      <c r="CX38" s="183"/>
      <c r="CY38" s="183"/>
      <c r="CZ38" s="183"/>
      <c r="DA38" s="183"/>
      <c r="DB38" s="183"/>
    </row>
    <row r="39" spans="1:106" s="233" customFormat="1" ht="36" customHeight="1" thickBot="1">
      <c r="A39" s="226" t="s">
        <v>247</v>
      </c>
      <c r="B39" s="227"/>
      <c r="C39" s="228">
        <f aca="true" t="shared" si="7" ref="C39:K39">C9+C12+C15+C21+C31+C38</f>
        <v>1665641</v>
      </c>
      <c r="D39" s="228">
        <f t="shared" si="7"/>
        <v>2176003</v>
      </c>
      <c r="E39" s="228">
        <f t="shared" si="7"/>
        <v>1164020</v>
      </c>
      <c r="F39" s="228">
        <f t="shared" si="7"/>
        <v>1011983</v>
      </c>
      <c r="G39" s="228">
        <f t="shared" si="7"/>
        <v>277566</v>
      </c>
      <c r="H39" s="228">
        <f t="shared" si="7"/>
        <v>1289549</v>
      </c>
      <c r="I39" s="228">
        <f t="shared" si="7"/>
        <v>1258590</v>
      </c>
      <c r="J39" s="228">
        <f t="shared" si="7"/>
        <v>30959</v>
      </c>
      <c r="K39" s="228">
        <f t="shared" si="7"/>
        <v>7464</v>
      </c>
      <c r="L39" s="229"/>
      <c r="M39" s="230"/>
      <c r="N39" s="231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232"/>
      <c r="AH39" s="232"/>
      <c r="AI39" s="232"/>
      <c r="AJ39" s="232"/>
      <c r="AK39" s="232"/>
      <c r="AL39" s="232"/>
      <c r="AM39" s="232"/>
      <c r="AN39" s="232"/>
      <c r="AO39" s="232"/>
      <c r="AP39" s="232"/>
      <c r="AQ39" s="232"/>
      <c r="AR39" s="232"/>
      <c r="AS39" s="232"/>
      <c r="AT39" s="232"/>
      <c r="AU39" s="232"/>
      <c r="AV39" s="232"/>
      <c r="AW39" s="232"/>
      <c r="AX39" s="232"/>
      <c r="AY39" s="232"/>
      <c r="AZ39" s="232"/>
      <c r="BA39" s="232"/>
      <c r="BB39" s="232"/>
      <c r="BC39" s="232"/>
      <c r="BD39" s="232"/>
      <c r="BE39" s="232"/>
      <c r="BF39" s="232"/>
      <c r="BG39" s="232"/>
      <c r="BH39" s="232"/>
      <c r="BI39" s="232"/>
      <c r="BJ39" s="232"/>
      <c r="BK39" s="232"/>
      <c r="BL39" s="232"/>
      <c r="BM39" s="232"/>
      <c r="BN39" s="232"/>
      <c r="BO39" s="232"/>
      <c r="BP39" s="232"/>
      <c r="BQ39" s="232"/>
      <c r="BR39" s="232"/>
      <c r="BS39" s="232"/>
      <c r="BT39" s="232"/>
      <c r="BU39" s="232"/>
      <c r="BV39" s="232"/>
      <c r="BW39" s="232"/>
      <c r="BX39" s="232"/>
      <c r="BY39" s="232"/>
      <c r="BZ39" s="232"/>
      <c r="CA39" s="232"/>
      <c r="CB39" s="232"/>
      <c r="CC39" s="232"/>
      <c r="CD39" s="232"/>
      <c r="CE39" s="232"/>
      <c r="CF39" s="232"/>
      <c r="CG39" s="232"/>
      <c r="CH39" s="232"/>
      <c r="CI39" s="232"/>
      <c r="CJ39" s="232"/>
      <c r="CK39" s="232"/>
      <c r="CL39" s="232"/>
      <c r="CM39" s="232"/>
      <c r="CN39" s="232"/>
      <c r="CO39" s="232"/>
      <c r="CP39" s="232"/>
      <c r="CQ39" s="232"/>
      <c r="CR39" s="232"/>
      <c r="CS39" s="232"/>
      <c r="CT39" s="232"/>
      <c r="CU39" s="232"/>
      <c r="CV39" s="232"/>
      <c r="CW39" s="232"/>
      <c r="CX39" s="232"/>
      <c r="CY39" s="232"/>
      <c r="CZ39" s="232"/>
      <c r="DA39" s="232"/>
      <c r="DB39" s="232"/>
    </row>
    <row r="40" spans="1:14" s="167" customFormat="1" ht="26.25" customHeight="1" outlineLevel="1" thickTop="1">
      <c r="A40" s="234" t="s">
        <v>248</v>
      </c>
      <c r="B40" s="235"/>
      <c r="C40" s="236"/>
      <c r="D40" s="236"/>
      <c r="E40" s="237"/>
      <c r="F40" s="236"/>
      <c r="G40" s="238"/>
      <c r="H40" s="238"/>
      <c r="I40" s="239"/>
      <c r="J40" s="240"/>
      <c r="K40" s="236"/>
      <c r="L40" s="241" t="s">
        <v>249</v>
      </c>
      <c r="M40" s="165"/>
      <c r="N40" s="166"/>
    </row>
    <row r="41" spans="1:15" s="167" customFormat="1" ht="32.25" customHeight="1" outlineLevel="1">
      <c r="A41" s="221" t="s">
        <v>251</v>
      </c>
      <c r="B41" s="174">
        <v>92.725</v>
      </c>
      <c r="C41" s="222"/>
      <c r="D41" s="170"/>
      <c r="E41" s="171"/>
      <c r="F41" s="170"/>
      <c r="G41" s="222">
        <f>150000</f>
        <v>150000</v>
      </c>
      <c r="H41" s="170"/>
      <c r="I41" s="172"/>
      <c r="J41" s="172"/>
      <c r="K41" s="170">
        <v>850000</v>
      </c>
      <c r="L41" s="176">
        <v>911900</v>
      </c>
      <c r="M41" s="165"/>
      <c r="N41" s="166"/>
      <c r="O41" s="166">
        <f>+G41+K41+L41</f>
        <v>1911900</v>
      </c>
    </row>
    <row r="42" spans="1:106" s="246" customFormat="1" ht="29.25" customHeight="1" outlineLevel="1" thickBot="1">
      <c r="A42" s="242" t="s">
        <v>250</v>
      </c>
      <c r="B42" s="187"/>
      <c r="C42" s="188">
        <f aca="true" t="shared" si="8" ref="C42:I42">SUM(C41:C41)</f>
        <v>0</v>
      </c>
      <c r="D42" s="188">
        <f t="shared" si="8"/>
        <v>0</v>
      </c>
      <c r="E42" s="189">
        <f t="shared" si="8"/>
        <v>0</v>
      </c>
      <c r="F42" s="188">
        <f t="shared" si="8"/>
        <v>0</v>
      </c>
      <c r="G42" s="188">
        <f t="shared" si="8"/>
        <v>150000</v>
      </c>
      <c r="H42" s="188">
        <f t="shared" si="8"/>
        <v>0</v>
      </c>
      <c r="I42" s="190">
        <f t="shared" si="8"/>
        <v>0</v>
      </c>
      <c r="J42" s="190"/>
      <c r="K42" s="188">
        <f>SUM(K41:K41)</f>
        <v>850000</v>
      </c>
      <c r="L42" s="243">
        <f>SUM(L41:L41)</f>
        <v>911900</v>
      </c>
      <c r="M42" s="244"/>
      <c r="N42" s="245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7"/>
      <c r="BQ42" s="167"/>
      <c r="BR42" s="167"/>
      <c r="BS42" s="167"/>
      <c r="BT42" s="167"/>
      <c r="BU42" s="167"/>
      <c r="BV42" s="167"/>
      <c r="BW42" s="167"/>
      <c r="BX42" s="167"/>
      <c r="BY42" s="167"/>
      <c r="BZ42" s="167"/>
      <c r="CA42" s="167"/>
      <c r="CB42" s="167"/>
      <c r="CC42" s="167"/>
      <c r="CD42" s="167"/>
      <c r="CE42" s="167"/>
      <c r="CF42" s="167"/>
      <c r="CG42" s="167"/>
      <c r="CH42" s="167"/>
      <c r="CI42" s="167"/>
      <c r="CJ42" s="167"/>
      <c r="CK42" s="167"/>
      <c r="CL42" s="167"/>
      <c r="CM42" s="167"/>
      <c r="CN42" s="167"/>
      <c r="CO42" s="167"/>
      <c r="CP42" s="167"/>
      <c r="CQ42" s="167"/>
      <c r="CR42" s="167"/>
      <c r="CS42" s="167"/>
      <c r="CT42" s="167"/>
      <c r="CU42" s="167"/>
      <c r="CV42" s="167"/>
      <c r="CW42" s="167"/>
      <c r="CX42" s="167"/>
      <c r="CY42" s="167"/>
      <c r="CZ42" s="167"/>
      <c r="DA42" s="167"/>
      <c r="DB42" s="167"/>
    </row>
    <row r="43" ht="12.75" thickTop="1"/>
  </sheetData>
  <mergeCells count="4">
    <mergeCell ref="A1:A4"/>
    <mergeCell ref="M3:N3"/>
    <mergeCell ref="C1:F1"/>
    <mergeCell ref="G1:I1"/>
  </mergeCells>
  <printOptions gridLines="1" horizontalCentered="1"/>
  <pageMargins left="0.61" right="0.39" top="1.02" bottom="0.5905511811023623" header="0.51" footer="0.3937007874015748"/>
  <pageSetup horizontalDpi="300" verticalDpi="300" orientation="landscape" paperSize="9" scale="85" r:id="rId1"/>
  <headerFooter alignWithMargins="0">
    <oddHeader>&amp;C&amp;"Arial CE,Félkövér"&amp;11Kimutatás a 2004. évtől rendelkezésre álló és pályázott felhalmozási célú központi és egyéb támogatásokról&amp;R&amp;"Arial CE,Félkövér"4 sz. kimutatás&amp;"Arial CE,Normál"
(ezer Ft-ban)</oddHeader>
    <oddFooter>&amp;L&amp;8Kaposvár, Nyomt: &amp;D &amp;T&amp;C&amp;8&amp;F_&amp;A  &amp;"Times New Roman CE,Dőlt" Szabó Tiborné&amp;R&amp;8&amp;P/&amp;N</oddFooter>
  </headerFooter>
  <rowBreaks count="1" manualBreakCount="1">
    <brk id="2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41"/>
  <sheetViews>
    <sheetView zoomScale="75" zoomScaleNormal="75" workbookViewId="0" topLeftCell="A1">
      <pane xSplit="1" ySplit="1" topLeftCell="I2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M29" sqref="M29"/>
    </sheetView>
  </sheetViews>
  <sheetFormatPr defaultColWidth="9.00390625" defaultRowHeight="12.75" outlineLevelCol="1"/>
  <cols>
    <col min="1" max="1" width="45.875" style="289" customWidth="1"/>
    <col min="2" max="2" width="13.375" style="290" customWidth="1"/>
    <col min="3" max="3" width="12.875" style="291" customWidth="1"/>
    <col min="4" max="4" width="13.375" style="291" customWidth="1"/>
    <col min="5" max="5" width="13.25390625" style="291" customWidth="1"/>
    <col min="6" max="6" width="13.00390625" style="291" customWidth="1"/>
    <col min="7" max="7" width="14.125" style="290" customWidth="1"/>
    <col min="8" max="8" width="14.375" style="290" customWidth="1"/>
    <col min="9" max="9" width="11.25390625" style="290" customWidth="1"/>
    <col min="10" max="10" width="10.00390625" style="290" customWidth="1"/>
    <col min="11" max="11" width="13.25390625" style="290" customWidth="1"/>
    <col min="12" max="12" width="13.375" style="290" customWidth="1"/>
    <col min="13" max="13" width="14.875" style="255" customWidth="1" outlineLevel="1"/>
    <col min="14" max="14" width="9.125" style="255" customWidth="1" outlineLevel="1"/>
    <col min="15" max="15" width="13.125" style="255" customWidth="1"/>
    <col min="16" max="16" width="17.25390625" style="255" customWidth="1" collapsed="1"/>
    <col min="17" max="17" width="14.125" style="255" customWidth="1"/>
    <col min="18" max="18" width="18.00390625" style="255" customWidth="1"/>
    <col min="19" max="19" width="10.75390625" style="255" customWidth="1"/>
    <col min="20" max="16384" width="9.125" style="255" customWidth="1"/>
  </cols>
  <sheetData>
    <row r="1" spans="1:13" ht="60.75" customHeight="1">
      <c r="A1" s="253" t="s">
        <v>252</v>
      </c>
      <c r="B1" s="254" t="s">
        <v>253</v>
      </c>
      <c r="C1" s="254" t="s">
        <v>254</v>
      </c>
      <c r="D1" s="254" t="s">
        <v>255</v>
      </c>
      <c r="E1" s="254" t="s">
        <v>256</v>
      </c>
      <c r="F1" s="254" t="s">
        <v>257</v>
      </c>
      <c r="G1" s="254" t="s">
        <v>258</v>
      </c>
      <c r="H1" s="254" t="s">
        <v>259</v>
      </c>
      <c r="I1" s="254" t="s">
        <v>260</v>
      </c>
      <c r="J1" s="254" t="s">
        <v>261</v>
      </c>
      <c r="K1" s="254" t="s">
        <v>262</v>
      </c>
      <c r="L1" s="254" t="s">
        <v>263</v>
      </c>
      <c r="M1" s="254" t="s">
        <v>264</v>
      </c>
    </row>
    <row r="2" spans="1:15" s="259" customFormat="1" ht="25.5" customHeight="1">
      <c r="A2" s="256" t="s">
        <v>265</v>
      </c>
      <c r="B2" s="257">
        <v>1119663</v>
      </c>
      <c r="C2" s="257">
        <f>+B2-D2</f>
        <v>27694</v>
      </c>
      <c r="D2" s="257">
        <v>1091969</v>
      </c>
      <c r="E2" s="257" t="s">
        <v>13</v>
      </c>
      <c r="F2" s="257" t="s">
        <v>13</v>
      </c>
      <c r="G2" s="257" t="s">
        <v>13</v>
      </c>
      <c r="H2" s="257" t="s">
        <v>13</v>
      </c>
      <c r="I2" s="257" t="s">
        <v>13</v>
      </c>
      <c r="J2" s="257" t="s">
        <v>13</v>
      </c>
      <c r="K2" s="257" t="s">
        <v>13</v>
      </c>
      <c r="L2" s="257" t="s">
        <v>13</v>
      </c>
      <c r="M2" s="258">
        <f aca="true" t="shared" si="0" ref="M2:M28">SUM(D2:L2)</f>
        <v>1091969</v>
      </c>
      <c r="O2" s="260">
        <f aca="true" t="shared" si="1" ref="O2:O40">SUM(C2:L2)</f>
        <v>1119663</v>
      </c>
    </row>
    <row r="3" spans="1:18" s="259" customFormat="1" ht="27.75" customHeight="1">
      <c r="A3" s="256" t="s">
        <v>266</v>
      </c>
      <c r="B3" s="257">
        <f>724+53570</f>
        <v>54294</v>
      </c>
      <c r="C3" s="257">
        <f>+B3-E3-G3-H3-I3-L3</f>
        <v>23140</v>
      </c>
      <c r="D3" s="257" t="s">
        <v>267</v>
      </c>
      <c r="E3" s="257">
        <f>174+112+4323</f>
        <v>4609</v>
      </c>
      <c r="F3" s="257" t="s">
        <v>13</v>
      </c>
      <c r="G3" s="257">
        <f>116+8571</f>
        <v>8687</v>
      </c>
      <c r="H3" s="257">
        <f>52+2695</f>
        <v>2747</v>
      </c>
      <c r="I3" s="257">
        <f>64+4188</f>
        <v>4252</v>
      </c>
      <c r="J3" s="257" t="s">
        <v>13</v>
      </c>
      <c r="K3" s="257" t="s">
        <v>13</v>
      </c>
      <c r="L3" s="257">
        <f>145+10714</f>
        <v>10859</v>
      </c>
      <c r="M3" s="258">
        <f t="shared" si="0"/>
        <v>31154</v>
      </c>
      <c r="O3" s="260">
        <f t="shared" si="1"/>
        <v>54294</v>
      </c>
      <c r="R3" s="259">
        <f>+G3+H3</f>
        <v>11434</v>
      </c>
    </row>
    <row r="4" spans="1:18" ht="24.75" customHeight="1">
      <c r="A4" s="256" t="s">
        <v>268</v>
      </c>
      <c r="B4" s="257">
        <v>0</v>
      </c>
      <c r="C4" s="257">
        <v>0</v>
      </c>
      <c r="D4" s="257" t="s">
        <v>13</v>
      </c>
      <c r="E4" s="257" t="s">
        <v>13</v>
      </c>
      <c r="F4" s="261">
        <v>8760</v>
      </c>
      <c r="G4" s="257" t="s">
        <v>13</v>
      </c>
      <c r="H4" s="257" t="s">
        <v>13</v>
      </c>
      <c r="I4" s="257" t="s">
        <v>13</v>
      </c>
      <c r="J4" s="257" t="s">
        <v>13</v>
      </c>
      <c r="K4" s="257" t="s">
        <v>13</v>
      </c>
      <c r="L4" s="257" t="s">
        <v>13</v>
      </c>
      <c r="M4" s="258">
        <f t="shared" si="0"/>
        <v>8760</v>
      </c>
      <c r="O4" s="260">
        <f t="shared" si="1"/>
        <v>8760</v>
      </c>
      <c r="R4" s="255">
        <f>11266+168</f>
        <v>11434</v>
      </c>
    </row>
    <row r="5" spans="1:18" ht="21" customHeight="1">
      <c r="A5" s="262" t="s">
        <v>46</v>
      </c>
      <c r="B5" s="257">
        <v>19689</v>
      </c>
      <c r="C5" s="257">
        <f>+B5-F5</f>
        <v>10023</v>
      </c>
      <c r="D5" s="257" t="s">
        <v>13</v>
      </c>
      <c r="E5" s="257" t="s">
        <v>13</v>
      </c>
      <c r="F5" s="263">
        <v>9666</v>
      </c>
      <c r="G5" s="257" t="s">
        <v>13</v>
      </c>
      <c r="H5" s="257" t="s">
        <v>13</v>
      </c>
      <c r="I5" s="257" t="s">
        <v>13</v>
      </c>
      <c r="J5" s="257" t="s">
        <v>13</v>
      </c>
      <c r="K5" s="257" t="s">
        <v>13</v>
      </c>
      <c r="L5" s="257" t="s">
        <v>13</v>
      </c>
      <c r="M5" s="258">
        <f t="shared" si="0"/>
        <v>9666</v>
      </c>
      <c r="O5" s="260">
        <f t="shared" si="1"/>
        <v>19689</v>
      </c>
      <c r="R5" s="255">
        <f>+R3-R4</f>
        <v>0</v>
      </c>
    </row>
    <row r="6" spans="1:15" ht="27.75" customHeight="1">
      <c r="A6" s="264" t="s">
        <v>269</v>
      </c>
      <c r="B6" s="257">
        <v>21616</v>
      </c>
      <c r="C6" s="257">
        <f>+B6-K6</f>
        <v>8000</v>
      </c>
      <c r="D6" s="257" t="s">
        <v>13</v>
      </c>
      <c r="E6" s="257" t="s">
        <v>13</v>
      </c>
      <c r="F6" s="257" t="s">
        <v>13</v>
      </c>
      <c r="G6" s="257" t="s">
        <v>13</v>
      </c>
      <c r="H6" s="257" t="s">
        <v>13</v>
      </c>
      <c r="I6" s="257" t="s">
        <v>13</v>
      </c>
      <c r="J6" s="257" t="s">
        <v>13</v>
      </c>
      <c r="K6" s="257">
        <v>13616</v>
      </c>
      <c r="L6" s="257" t="s">
        <v>13</v>
      </c>
      <c r="M6" s="258">
        <f t="shared" si="0"/>
        <v>13616</v>
      </c>
      <c r="O6" s="260">
        <f t="shared" si="1"/>
        <v>21616</v>
      </c>
    </row>
    <row r="7" spans="1:15" ht="30" customHeight="1">
      <c r="A7" s="262" t="s">
        <v>140</v>
      </c>
      <c r="B7" s="257">
        <v>6941</v>
      </c>
      <c r="C7" s="257">
        <f>+B7-K7</f>
        <v>1941</v>
      </c>
      <c r="D7" s="257" t="s">
        <v>13</v>
      </c>
      <c r="E7" s="257" t="s">
        <v>13</v>
      </c>
      <c r="F7" s="257" t="s">
        <v>13</v>
      </c>
      <c r="G7" s="257" t="s">
        <v>13</v>
      </c>
      <c r="H7" s="257" t="s">
        <v>13</v>
      </c>
      <c r="I7" s="257" t="s">
        <v>13</v>
      </c>
      <c r="J7" s="257" t="s">
        <v>13</v>
      </c>
      <c r="K7" s="257">
        <v>5000</v>
      </c>
      <c r="L7" s="257"/>
      <c r="M7" s="258">
        <f t="shared" si="0"/>
        <v>5000</v>
      </c>
      <c r="O7" s="260">
        <f t="shared" si="1"/>
        <v>6941</v>
      </c>
    </row>
    <row r="8" spans="1:15" ht="29.25" customHeight="1">
      <c r="A8" s="262" t="s">
        <v>142</v>
      </c>
      <c r="B8" s="257">
        <v>12000</v>
      </c>
      <c r="C8" s="257">
        <f>+B8-K8</f>
        <v>0</v>
      </c>
      <c r="D8" s="257" t="s">
        <v>13</v>
      </c>
      <c r="E8" s="257" t="s">
        <v>13</v>
      </c>
      <c r="F8" s="257" t="s">
        <v>13</v>
      </c>
      <c r="G8" s="257" t="s">
        <v>13</v>
      </c>
      <c r="H8" s="257" t="s">
        <v>13</v>
      </c>
      <c r="I8" s="257" t="s">
        <v>13</v>
      </c>
      <c r="J8" s="257" t="s">
        <v>13</v>
      </c>
      <c r="K8" s="257">
        <v>12000</v>
      </c>
      <c r="L8" s="257"/>
      <c r="M8" s="258">
        <f t="shared" si="0"/>
        <v>12000</v>
      </c>
      <c r="O8" s="260">
        <f t="shared" si="1"/>
        <v>12000</v>
      </c>
    </row>
    <row r="9" spans="1:15" ht="22.5" customHeight="1">
      <c r="A9" s="265" t="s">
        <v>270</v>
      </c>
      <c r="B9" s="257">
        <v>825</v>
      </c>
      <c r="C9" s="257">
        <v>825</v>
      </c>
      <c r="D9" s="257" t="s">
        <v>13</v>
      </c>
      <c r="E9" s="257" t="s">
        <v>13</v>
      </c>
      <c r="F9" s="257" t="s">
        <v>13</v>
      </c>
      <c r="G9" s="257" t="s">
        <v>13</v>
      </c>
      <c r="H9" s="257" t="s">
        <v>13</v>
      </c>
      <c r="I9" s="257" t="s">
        <v>13</v>
      </c>
      <c r="J9" s="258">
        <v>26515</v>
      </c>
      <c r="K9" s="257"/>
      <c r="L9" s="257" t="s">
        <v>13</v>
      </c>
      <c r="M9" s="258">
        <f t="shared" si="0"/>
        <v>26515</v>
      </c>
      <c r="O9" s="260">
        <f t="shared" si="1"/>
        <v>27340</v>
      </c>
    </row>
    <row r="10" spans="1:15" ht="19.5" customHeight="1">
      <c r="A10" s="265" t="s">
        <v>81</v>
      </c>
      <c r="B10" s="257">
        <v>2835</v>
      </c>
      <c r="C10" s="257">
        <f>+B10-J10</f>
        <v>2723</v>
      </c>
      <c r="D10" s="257" t="s">
        <v>13</v>
      </c>
      <c r="E10" s="257" t="s">
        <v>13</v>
      </c>
      <c r="F10" s="257" t="s">
        <v>13</v>
      </c>
      <c r="G10" s="257" t="s">
        <v>13</v>
      </c>
      <c r="H10" s="257" t="s">
        <v>13</v>
      </c>
      <c r="I10" s="257" t="s">
        <v>13</v>
      </c>
      <c r="J10" s="257">
        <v>112</v>
      </c>
      <c r="K10" s="257"/>
      <c r="L10" s="257" t="s">
        <v>13</v>
      </c>
      <c r="M10" s="258">
        <f t="shared" si="0"/>
        <v>112</v>
      </c>
      <c r="O10" s="260">
        <f t="shared" si="1"/>
        <v>2835</v>
      </c>
    </row>
    <row r="11" spans="1:15" ht="19.5" customHeight="1">
      <c r="A11" s="265" t="s">
        <v>271</v>
      </c>
      <c r="B11" s="257">
        <v>0</v>
      </c>
      <c r="C11" s="257">
        <v>0</v>
      </c>
      <c r="D11" s="257" t="s">
        <v>13</v>
      </c>
      <c r="E11" s="257" t="s">
        <v>13</v>
      </c>
      <c r="F11" s="257" t="s">
        <v>13</v>
      </c>
      <c r="G11" s="257" t="s">
        <v>13</v>
      </c>
      <c r="H11" s="257" t="s">
        <v>13</v>
      </c>
      <c r="I11" s="257" t="s">
        <v>13</v>
      </c>
      <c r="J11" s="257" t="s">
        <v>13</v>
      </c>
      <c r="K11" s="258">
        <v>1287</v>
      </c>
      <c r="L11" s="257"/>
      <c r="M11" s="258">
        <f t="shared" si="0"/>
        <v>1287</v>
      </c>
      <c r="O11" s="260">
        <f t="shared" si="1"/>
        <v>1287</v>
      </c>
    </row>
    <row r="12" spans="1:15" ht="19.5" customHeight="1">
      <c r="A12" s="265" t="s">
        <v>272</v>
      </c>
      <c r="B12" s="257">
        <v>0</v>
      </c>
      <c r="C12" s="257">
        <v>0</v>
      </c>
      <c r="D12" s="257" t="s">
        <v>13</v>
      </c>
      <c r="E12" s="257" t="s">
        <v>13</v>
      </c>
      <c r="F12" s="257" t="s">
        <v>13</v>
      </c>
      <c r="G12" s="257" t="s">
        <v>13</v>
      </c>
      <c r="H12" s="257" t="s">
        <v>13</v>
      </c>
      <c r="I12" s="257" t="s">
        <v>13</v>
      </c>
      <c r="J12" s="257" t="s">
        <v>13</v>
      </c>
      <c r="K12" s="258">
        <v>60000</v>
      </c>
      <c r="L12" s="257"/>
      <c r="M12" s="258">
        <f t="shared" si="0"/>
        <v>60000</v>
      </c>
      <c r="O12" s="260">
        <f t="shared" si="1"/>
        <v>60000</v>
      </c>
    </row>
    <row r="13" spans="1:15" ht="21.75" customHeight="1">
      <c r="A13" s="266" t="s">
        <v>12</v>
      </c>
      <c r="B13" s="257">
        <v>14020</v>
      </c>
      <c r="C13" s="257">
        <f>+B13-K13</f>
        <v>1424</v>
      </c>
      <c r="D13" s="257" t="s">
        <v>13</v>
      </c>
      <c r="E13" s="257" t="s">
        <v>13</v>
      </c>
      <c r="F13" s="257" t="s">
        <v>13</v>
      </c>
      <c r="G13" s="257" t="s">
        <v>13</v>
      </c>
      <c r="H13" s="257" t="s">
        <v>13</v>
      </c>
      <c r="I13" s="257" t="s">
        <v>13</v>
      </c>
      <c r="J13" s="257" t="s">
        <v>13</v>
      </c>
      <c r="K13" s="257">
        <f>10790+1806</f>
        <v>12596</v>
      </c>
      <c r="L13" s="257" t="s">
        <v>13</v>
      </c>
      <c r="M13" s="258">
        <f t="shared" si="0"/>
        <v>12596</v>
      </c>
      <c r="O13" s="260">
        <f t="shared" si="1"/>
        <v>14020</v>
      </c>
    </row>
    <row r="14" spans="1:15" ht="28.5" customHeight="1">
      <c r="A14" s="266" t="s">
        <v>15</v>
      </c>
      <c r="B14" s="257">
        <v>110592</v>
      </c>
      <c r="C14" s="257">
        <v>0</v>
      </c>
      <c r="D14" s="257" t="s">
        <v>13</v>
      </c>
      <c r="E14" s="257" t="s">
        <v>13</v>
      </c>
      <c r="F14" s="257" t="s">
        <v>13</v>
      </c>
      <c r="G14" s="257" t="s">
        <v>13</v>
      </c>
      <c r="H14" s="257" t="s">
        <v>13</v>
      </c>
      <c r="I14" s="257" t="s">
        <v>13</v>
      </c>
      <c r="J14" s="257" t="s">
        <v>13</v>
      </c>
      <c r="K14" s="257">
        <f>85980+26144+4073-5605</f>
        <v>110592</v>
      </c>
      <c r="L14" s="257" t="s">
        <v>13</v>
      </c>
      <c r="M14" s="258">
        <f t="shared" si="0"/>
        <v>110592</v>
      </c>
      <c r="O14" s="260">
        <f t="shared" si="1"/>
        <v>110592</v>
      </c>
    </row>
    <row r="15" spans="1:15" ht="26.25" customHeight="1">
      <c r="A15" s="266" t="s">
        <v>273</v>
      </c>
      <c r="B15" s="257"/>
      <c r="C15" s="257">
        <v>0</v>
      </c>
      <c r="D15" s="257" t="s">
        <v>13</v>
      </c>
      <c r="E15" s="257" t="s">
        <v>13</v>
      </c>
      <c r="F15" s="257" t="s">
        <v>13</v>
      </c>
      <c r="G15" s="257" t="s">
        <v>13</v>
      </c>
      <c r="H15" s="257" t="s">
        <v>13</v>
      </c>
      <c r="I15" s="257" t="s">
        <v>13</v>
      </c>
      <c r="J15" s="257" t="s">
        <v>13</v>
      </c>
      <c r="K15" s="258">
        <v>5605</v>
      </c>
      <c r="L15" s="257" t="s">
        <v>13</v>
      </c>
      <c r="M15" s="258">
        <f t="shared" si="0"/>
        <v>5605</v>
      </c>
      <c r="O15" s="260">
        <f t="shared" si="1"/>
        <v>5605</v>
      </c>
    </row>
    <row r="16" spans="1:15" ht="21" customHeight="1">
      <c r="A16" s="265" t="s">
        <v>274</v>
      </c>
      <c r="B16" s="257">
        <v>22470</v>
      </c>
      <c r="C16" s="257">
        <f>+B16-K16</f>
        <v>11135</v>
      </c>
      <c r="D16" s="257" t="s">
        <v>13</v>
      </c>
      <c r="E16" s="257" t="s">
        <v>13</v>
      </c>
      <c r="F16" s="257" t="s">
        <v>13</v>
      </c>
      <c r="G16" s="257" t="s">
        <v>13</v>
      </c>
      <c r="H16" s="257" t="s">
        <v>13</v>
      </c>
      <c r="I16" s="257" t="s">
        <v>13</v>
      </c>
      <c r="J16" s="257" t="s">
        <v>13</v>
      </c>
      <c r="K16" s="257">
        <v>11335</v>
      </c>
      <c r="L16" s="257" t="s">
        <v>13</v>
      </c>
      <c r="M16" s="258">
        <f t="shared" si="0"/>
        <v>11335</v>
      </c>
      <c r="O16" s="260">
        <f t="shared" si="1"/>
        <v>22470</v>
      </c>
    </row>
    <row r="17" spans="1:15" ht="27.75" customHeight="1">
      <c r="A17" s="264" t="s">
        <v>275</v>
      </c>
      <c r="B17" s="257">
        <v>26250</v>
      </c>
      <c r="C17" s="257">
        <v>0</v>
      </c>
      <c r="D17" s="257" t="s">
        <v>13</v>
      </c>
      <c r="E17" s="257" t="s">
        <v>13</v>
      </c>
      <c r="F17" s="257" t="s">
        <v>13</v>
      </c>
      <c r="G17" s="257" t="s">
        <v>13</v>
      </c>
      <c r="H17" s="257" t="s">
        <v>13</v>
      </c>
      <c r="I17" s="257" t="s">
        <v>13</v>
      </c>
      <c r="J17" s="257" t="s">
        <v>13</v>
      </c>
      <c r="K17" s="257">
        <v>6300</v>
      </c>
      <c r="L17" s="257">
        <v>5250</v>
      </c>
      <c r="M17" s="258">
        <f t="shared" si="0"/>
        <v>11550</v>
      </c>
      <c r="O17" s="260">
        <f t="shared" si="1"/>
        <v>11550</v>
      </c>
    </row>
    <row r="18" spans="1:15" ht="30.75" customHeight="1">
      <c r="A18" s="264" t="s">
        <v>276</v>
      </c>
      <c r="B18" s="257"/>
      <c r="C18" s="257">
        <v>0</v>
      </c>
      <c r="D18" s="257" t="s">
        <v>13</v>
      </c>
      <c r="E18" s="257" t="s">
        <v>13</v>
      </c>
      <c r="F18" s="257" t="s">
        <v>13</v>
      </c>
      <c r="G18" s="257" t="s">
        <v>13</v>
      </c>
      <c r="H18" s="257" t="s">
        <v>13</v>
      </c>
      <c r="I18" s="257" t="s">
        <v>13</v>
      </c>
      <c r="J18" s="257" t="s">
        <v>13</v>
      </c>
      <c r="K18" s="267" t="s">
        <v>277</v>
      </c>
      <c r="L18" s="257"/>
      <c r="M18" s="258">
        <f t="shared" si="0"/>
        <v>0</v>
      </c>
      <c r="O18" s="260">
        <f t="shared" si="1"/>
        <v>0</v>
      </c>
    </row>
    <row r="19" spans="1:15" ht="18" customHeight="1">
      <c r="A19" s="262" t="s">
        <v>278</v>
      </c>
      <c r="B19" s="257">
        <v>900</v>
      </c>
      <c r="C19" s="257">
        <v>400</v>
      </c>
      <c r="D19" s="257"/>
      <c r="E19" s="257"/>
      <c r="F19" s="257"/>
      <c r="G19" s="257"/>
      <c r="H19" s="257"/>
      <c r="I19" s="257"/>
      <c r="J19" s="257"/>
      <c r="K19" s="267" t="s">
        <v>279</v>
      </c>
      <c r="L19" s="257"/>
      <c r="M19" s="258">
        <f t="shared" si="0"/>
        <v>0</v>
      </c>
      <c r="O19" s="260">
        <f t="shared" si="1"/>
        <v>400</v>
      </c>
    </row>
    <row r="20" spans="1:15" ht="19.5" customHeight="1">
      <c r="A20" s="264" t="s">
        <v>280</v>
      </c>
      <c r="B20" s="257">
        <v>34228</v>
      </c>
      <c r="C20" s="257">
        <f>+B20-K20-L20</f>
        <v>9569</v>
      </c>
      <c r="D20" s="257" t="s">
        <v>13</v>
      </c>
      <c r="E20" s="257" t="s">
        <v>13</v>
      </c>
      <c r="F20" s="257" t="s">
        <v>13</v>
      </c>
      <c r="G20" s="257" t="s">
        <v>13</v>
      </c>
      <c r="H20" s="257" t="s">
        <v>13</v>
      </c>
      <c r="I20" s="257" t="s">
        <v>13</v>
      </c>
      <c r="J20" s="257" t="s">
        <v>13</v>
      </c>
      <c r="K20" s="257">
        <v>17813</v>
      </c>
      <c r="L20" s="257">
        <v>6846</v>
      </c>
      <c r="M20" s="258">
        <f t="shared" si="0"/>
        <v>24659</v>
      </c>
      <c r="O20" s="260">
        <f t="shared" si="1"/>
        <v>34228</v>
      </c>
    </row>
    <row r="21" spans="1:15" ht="23.25" customHeight="1">
      <c r="A21" s="264" t="s">
        <v>64</v>
      </c>
      <c r="B21" s="257">
        <v>147488</v>
      </c>
      <c r="C21" s="257">
        <f>+B21-K21-L21</f>
        <v>39330</v>
      </c>
      <c r="D21" s="257" t="s">
        <v>13</v>
      </c>
      <c r="E21" s="257" t="s">
        <v>13</v>
      </c>
      <c r="F21" s="257" t="s">
        <v>13</v>
      </c>
      <c r="G21" s="257" t="s">
        <v>13</v>
      </c>
      <c r="H21" s="257" t="s">
        <v>13</v>
      </c>
      <c r="I21" s="257" t="s">
        <v>13</v>
      </c>
      <c r="J21" s="257" t="s">
        <v>13</v>
      </c>
      <c r="K21" s="257">
        <v>78660</v>
      </c>
      <c r="L21" s="257">
        <v>29498</v>
      </c>
      <c r="M21" s="258">
        <f t="shared" si="0"/>
        <v>108158</v>
      </c>
      <c r="O21" s="260">
        <f t="shared" si="1"/>
        <v>147488</v>
      </c>
    </row>
    <row r="22" spans="1:15" ht="29.25" customHeight="1">
      <c r="A22" s="264" t="s">
        <v>75</v>
      </c>
      <c r="B22" s="257">
        <v>51250</v>
      </c>
      <c r="C22" s="257">
        <f>+B22-K22-L22</f>
        <v>29068</v>
      </c>
      <c r="D22" s="257" t="s">
        <v>13</v>
      </c>
      <c r="E22" s="257" t="s">
        <v>13</v>
      </c>
      <c r="F22" s="257" t="s">
        <v>13</v>
      </c>
      <c r="G22" s="257" t="s">
        <v>13</v>
      </c>
      <c r="H22" s="257" t="s">
        <v>13</v>
      </c>
      <c r="I22" s="257" t="s">
        <v>13</v>
      </c>
      <c r="J22" s="257" t="s">
        <v>13</v>
      </c>
      <c r="K22" s="257">
        <v>22182</v>
      </c>
      <c r="L22" s="257"/>
      <c r="M22" s="258">
        <f t="shared" si="0"/>
        <v>22182</v>
      </c>
      <c r="O22" s="260">
        <f t="shared" si="1"/>
        <v>51250</v>
      </c>
    </row>
    <row r="23" spans="1:15" ht="21.75" customHeight="1">
      <c r="A23" s="268" t="s">
        <v>281</v>
      </c>
      <c r="B23" s="257">
        <v>745</v>
      </c>
      <c r="C23" s="257">
        <v>0</v>
      </c>
      <c r="D23" s="257" t="s">
        <v>13</v>
      </c>
      <c r="E23" s="257" t="s">
        <v>13</v>
      </c>
      <c r="F23" s="257" t="s">
        <v>13</v>
      </c>
      <c r="G23" s="257" t="s">
        <v>13</v>
      </c>
      <c r="H23" s="257" t="s">
        <v>13</v>
      </c>
      <c r="I23" s="257" t="s">
        <v>13</v>
      </c>
      <c r="J23" s="257" t="s">
        <v>13</v>
      </c>
      <c r="K23" s="257">
        <v>440</v>
      </c>
      <c r="L23" s="257"/>
      <c r="M23" s="258">
        <f t="shared" si="0"/>
        <v>440</v>
      </c>
      <c r="O23" s="260">
        <f t="shared" si="1"/>
        <v>440</v>
      </c>
    </row>
    <row r="24" spans="1:15" ht="21.75" customHeight="1">
      <c r="A24" s="268" t="s">
        <v>282</v>
      </c>
      <c r="B24" s="257"/>
      <c r="C24" s="257">
        <v>0</v>
      </c>
      <c r="D24" s="257" t="s">
        <v>13</v>
      </c>
      <c r="E24" s="257" t="s">
        <v>13</v>
      </c>
      <c r="F24" s="257" t="s">
        <v>13</v>
      </c>
      <c r="G24" s="257" t="s">
        <v>13</v>
      </c>
      <c r="H24" s="257" t="s">
        <v>13</v>
      </c>
      <c r="I24" s="257" t="s">
        <v>13</v>
      </c>
      <c r="J24" s="257" t="s">
        <v>13</v>
      </c>
      <c r="K24" s="267" t="s">
        <v>283</v>
      </c>
      <c r="L24" s="257"/>
      <c r="M24" s="258">
        <f t="shared" si="0"/>
        <v>0</v>
      </c>
      <c r="O24" s="260">
        <f t="shared" si="1"/>
        <v>0</v>
      </c>
    </row>
    <row r="25" spans="1:15" ht="21.75" customHeight="1">
      <c r="A25" s="43" t="s">
        <v>166</v>
      </c>
      <c r="B25" s="257">
        <v>2469</v>
      </c>
      <c r="C25" s="257">
        <v>0</v>
      </c>
      <c r="D25" s="257"/>
      <c r="E25" s="257"/>
      <c r="F25" s="257"/>
      <c r="G25" s="257"/>
      <c r="H25" s="257"/>
      <c r="I25" s="257"/>
      <c r="J25" s="257"/>
      <c r="K25" s="257">
        <v>2469</v>
      </c>
      <c r="L25" s="257"/>
      <c r="M25" s="258">
        <f t="shared" si="0"/>
        <v>2469</v>
      </c>
      <c r="O25" s="260">
        <f t="shared" si="1"/>
        <v>2469</v>
      </c>
    </row>
    <row r="26" spans="1:15" ht="18.75" customHeight="1">
      <c r="A26" s="43" t="s">
        <v>284</v>
      </c>
      <c r="B26" s="257">
        <v>100</v>
      </c>
      <c r="C26" s="257">
        <f>+B26-K26</f>
        <v>0</v>
      </c>
      <c r="D26" s="257" t="s">
        <v>13</v>
      </c>
      <c r="E26" s="257" t="s">
        <v>13</v>
      </c>
      <c r="F26" s="257" t="s">
        <v>13</v>
      </c>
      <c r="G26" s="257" t="s">
        <v>13</v>
      </c>
      <c r="H26" s="257" t="s">
        <v>13</v>
      </c>
      <c r="I26" s="257" t="s">
        <v>13</v>
      </c>
      <c r="J26" s="257" t="s">
        <v>13</v>
      </c>
      <c r="K26" s="257">
        <v>100</v>
      </c>
      <c r="L26" s="257"/>
      <c r="M26" s="258">
        <f t="shared" si="0"/>
        <v>100</v>
      </c>
      <c r="O26" s="260">
        <f t="shared" si="1"/>
        <v>100</v>
      </c>
    </row>
    <row r="27" spans="1:16" ht="22.5" customHeight="1">
      <c r="A27" s="43" t="s">
        <v>170</v>
      </c>
      <c r="B27" s="257">
        <v>1875</v>
      </c>
      <c r="C27" s="257">
        <v>0</v>
      </c>
      <c r="D27" s="257" t="s">
        <v>13</v>
      </c>
      <c r="E27" s="257" t="s">
        <v>13</v>
      </c>
      <c r="F27" s="257" t="s">
        <v>13</v>
      </c>
      <c r="G27" s="257" t="s">
        <v>13</v>
      </c>
      <c r="H27" s="257" t="s">
        <v>13</v>
      </c>
      <c r="I27" s="257" t="s">
        <v>13</v>
      </c>
      <c r="J27" s="257" t="s">
        <v>13</v>
      </c>
      <c r="K27" s="267" t="s">
        <v>285</v>
      </c>
      <c r="L27" s="257"/>
      <c r="M27" s="258">
        <f t="shared" si="0"/>
        <v>0</v>
      </c>
      <c r="O27" s="260">
        <f t="shared" si="1"/>
        <v>0</v>
      </c>
      <c r="P27" s="269">
        <f>-P28-P29</f>
        <v>-17380</v>
      </c>
    </row>
    <row r="28" spans="1:17" ht="20.25" customHeight="1">
      <c r="A28" s="256" t="s">
        <v>286</v>
      </c>
      <c r="B28" s="263">
        <v>6000</v>
      </c>
      <c r="C28" s="257">
        <f>+B28-K28</f>
        <v>0</v>
      </c>
      <c r="D28" s="257" t="s">
        <v>13</v>
      </c>
      <c r="E28" s="257" t="s">
        <v>13</v>
      </c>
      <c r="F28" s="257" t="s">
        <v>13</v>
      </c>
      <c r="G28" s="257" t="s">
        <v>13</v>
      </c>
      <c r="H28" s="257" t="s">
        <v>13</v>
      </c>
      <c r="I28" s="257" t="s">
        <v>13</v>
      </c>
      <c r="J28" s="257" t="s">
        <v>13</v>
      </c>
      <c r="K28" s="263">
        <v>6000</v>
      </c>
      <c r="L28" s="257" t="s">
        <v>13</v>
      </c>
      <c r="M28" s="258">
        <f t="shared" si="0"/>
        <v>6000</v>
      </c>
      <c r="O28" s="260">
        <f t="shared" si="1"/>
        <v>6000</v>
      </c>
      <c r="P28" s="270">
        <f>+J9+F4+K11+K12+K15</f>
        <v>102167</v>
      </c>
      <c r="Q28" s="255">
        <f>+P29-Q29</f>
        <v>0</v>
      </c>
    </row>
    <row r="29" spans="1:18" s="273" customFormat="1" ht="35.25" customHeight="1">
      <c r="A29" s="271" t="s">
        <v>287</v>
      </c>
      <c r="B29" s="272">
        <f aca="true" t="shared" si="2" ref="B29:M29">SUM(B2:B28)</f>
        <v>1656250</v>
      </c>
      <c r="C29" s="272">
        <f t="shared" si="2"/>
        <v>165272</v>
      </c>
      <c r="D29" s="272">
        <f t="shared" si="2"/>
        <v>1091969</v>
      </c>
      <c r="E29" s="272">
        <f t="shared" si="2"/>
        <v>4609</v>
      </c>
      <c r="F29" s="272">
        <f t="shared" si="2"/>
        <v>18426</v>
      </c>
      <c r="G29" s="272">
        <f t="shared" si="2"/>
        <v>8687</v>
      </c>
      <c r="H29" s="272">
        <f t="shared" si="2"/>
        <v>2747</v>
      </c>
      <c r="I29" s="272">
        <f t="shared" si="2"/>
        <v>4252</v>
      </c>
      <c r="J29" s="272">
        <f t="shared" si="2"/>
        <v>26627</v>
      </c>
      <c r="K29" s="272">
        <f t="shared" si="2"/>
        <v>365995</v>
      </c>
      <c r="L29" s="272">
        <f t="shared" si="2"/>
        <v>52453</v>
      </c>
      <c r="M29" s="272">
        <f t="shared" si="2"/>
        <v>1575765</v>
      </c>
      <c r="O29" s="273">
        <f t="shared" si="1"/>
        <v>1741037</v>
      </c>
      <c r="P29" s="273">
        <f>+B29-O29</f>
        <v>-84787</v>
      </c>
      <c r="Q29" s="273">
        <f>+R29-M29</f>
        <v>-84787</v>
      </c>
      <c r="R29" s="273">
        <v>1490978</v>
      </c>
    </row>
    <row r="30" spans="1:15" ht="26.25" customHeight="1">
      <c r="A30" s="256" t="s">
        <v>288</v>
      </c>
      <c r="B30" s="257">
        <v>0</v>
      </c>
      <c r="C30" s="257">
        <v>0</v>
      </c>
      <c r="D30" s="257" t="s">
        <v>267</v>
      </c>
      <c r="E30" s="257" t="s">
        <v>267</v>
      </c>
      <c r="F30" s="258">
        <v>160</v>
      </c>
      <c r="G30" s="257" t="s">
        <v>267</v>
      </c>
      <c r="H30" s="257" t="s">
        <v>267</v>
      </c>
      <c r="I30" s="257" t="s">
        <v>267</v>
      </c>
      <c r="J30" s="257" t="s">
        <v>267</v>
      </c>
      <c r="K30" s="274" t="s">
        <v>267</v>
      </c>
      <c r="L30" s="257" t="s">
        <v>267</v>
      </c>
      <c r="M30" s="258">
        <f aca="true" t="shared" si="3" ref="M30:M38">SUM(D30:L30)</f>
        <v>160</v>
      </c>
      <c r="O30" s="260">
        <f t="shared" si="1"/>
        <v>160</v>
      </c>
    </row>
    <row r="31" spans="1:15" ht="26.25" customHeight="1">
      <c r="A31" s="256" t="s">
        <v>289</v>
      </c>
      <c r="B31" s="257">
        <v>0</v>
      </c>
      <c r="C31" s="257">
        <v>0</v>
      </c>
      <c r="D31" s="257" t="s">
        <v>267</v>
      </c>
      <c r="E31" s="257" t="s">
        <v>267</v>
      </c>
      <c r="F31" s="258">
        <v>3806</v>
      </c>
      <c r="G31" s="257" t="s">
        <v>267</v>
      </c>
      <c r="H31" s="257" t="s">
        <v>267</v>
      </c>
      <c r="I31" s="257" t="s">
        <v>267</v>
      </c>
      <c r="J31" s="257" t="s">
        <v>267</v>
      </c>
      <c r="K31" s="274" t="s">
        <v>267</v>
      </c>
      <c r="L31" s="257" t="s">
        <v>267</v>
      </c>
      <c r="M31" s="258">
        <f t="shared" si="3"/>
        <v>3806</v>
      </c>
      <c r="O31" s="260">
        <f t="shared" si="1"/>
        <v>3806</v>
      </c>
    </row>
    <row r="32" spans="1:15" ht="26.25" customHeight="1">
      <c r="A32" s="256" t="s">
        <v>290</v>
      </c>
      <c r="B32" s="257">
        <v>0</v>
      </c>
      <c r="C32" s="257">
        <v>0</v>
      </c>
      <c r="D32" s="257" t="s">
        <v>267</v>
      </c>
      <c r="E32" s="257" t="s">
        <v>267</v>
      </c>
      <c r="F32" s="258">
        <v>2740</v>
      </c>
      <c r="G32" s="257" t="s">
        <v>267</v>
      </c>
      <c r="H32" s="257" t="s">
        <v>267</v>
      </c>
      <c r="I32" s="257" t="s">
        <v>267</v>
      </c>
      <c r="J32" s="257" t="s">
        <v>267</v>
      </c>
      <c r="K32" s="274" t="s">
        <v>267</v>
      </c>
      <c r="L32" s="257" t="s">
        <v>267</v>
      </c>
      <c r="M32" s="258">
        <f t="shared" si="3"/>
        <v>2740</v>
      </c>
      <c r="O32" s="260">
        <f t="shared" si="1"/>
        <v>2740</v>
      </c>
    </row>
    <row r="33" spans="1:15" ht="26.25" customHeight="1">
      <c r="A33" s="256" t="s">
        <v>291</v>
      </c>
      <c r="B33" s="257">
        <v>0</v>
      </c>
      <c r="C33" s="257">
        <v>0</v>
      </c>
      <c r="D33" s="257" t="s">
        <v>267</v>
      </c>
      <c r="E33" s="257" t="s">
        <v>267</v>
      </c>
      <c r="F33" s="258">
        <v>3598</v>
      </c>
      <c r="G33" s="257" t="s">
        <v>267</v>
      </c>
      <c r="H33" s="257" t="s">
        <v>267</v>
      </c>
      <c r="I33" s="257" t="s">
        <v>267</v>
      </c>
      <c r="J33" s="257" t="s">
        <v>267</v>
      </c>
      <c r="K33" s="274" t="s">
        <v>267</v>
      </c>
      <c r="L33" s="257" t="s">
        <v>267</v>
      </c>
      <c r="M33" s="258">
        <f t="shared" si="3"/>
        <v>3598</v>
      </c>
      <c r="O33" s="260">
        <f t="shared" si="1"/>
        <v>3598</v>
      </c>
    </row>
    <row r="34" spans="1:15" ht="26.25" customHeight="1">
      <c r="A34" s="275" t="s">
        <v>235</v>
      </c>
      <c r="B34" s="257">
        <v>13678</v>
      </c>
      <c r="C34" s="257">
        <v>6006</v>
      </c>
      <c r="D34" s="257" t="s">
        <v>267</v>
      </c>
      <c r="E34" s="257" t="s">
        <v>267</v>
      </c>
      <c r="F34" s="257">
        <v>7672</v>
      </c>
      <c r="G34" s="257" t="s">
        <v>267</v>
      </c>
      <c r="H34" s="257" t="s">
        <v>267</v>
      </c>
      <c r="I34" s="257" t="s">
        <v>267</v>
      </c>
      <c r="J34" s="257" t="s">
        <v>267</v>
      </c>
      <c r="K34" s="257" t="s">
        <v>267</v>
      </c>
      <c r="L34" s="257" t="s">
        <v>267</v>
      </c>
      <c r="M34" s="258">
        <f t="shared" si="3"/>
        <v>7672</v>
      </c>
      <c r="O34" s="260">
        <f t="shared" si="1"/>
        <v>13678</v>
      </c>
    </row>
    <row r="35" spans="1:15" ht="26.25" customHeight="1">
      <c r="A35" s="275" t="s">
        <v>237</v>
      </c>
      <c r="B35" s="257">
        <v>507</v>
      </c>
      <c r="C35" s="257">
        <v>203</v>
      </c>
      <c r="D35" s="257" t="s">
        <v>267</v>
      </c>
      <c r="E35" s="257" t="s">
        <v>267</v>
      </c>
      <c r="F35" s="257">
        <v>304</v>
      </c>
      <c r="G35" s="257" t="s">
        <v>267</v>
      </c>
      <c r="H35" s="257" t="s">
        <v>267</v>
      </c>
      <c r="I35" s="257" t="s">
        <v>267</v>
      </c>
      <c r="J35" s="257" t="s">
        <v>267</v>
      </c>
      <c r="K35" s="257" t="s">
        <v>267</v>
      </c>
      <c r="L35" s="257" t="s">
        <v>267</v>
      </c>
      <c r="M35" s="258">
        <f t="shared" si="3"/>
        <v>304</v>
      </c>
      <c r="O35" s="260">
        <f t="shared" si="1"/>
        <v>507</v>
      </c>
    </row>
    <row r="36" spans="1:15" ht="26.25" customHeight="1">
      <c r="A36" s="276" t="s">
        <v>243</v>
      </c>
      <c r="B36" s="257">
        <v>1173</v>
      </c>
      <c r="C36" s="257">
        <v>391</v>
      </c>
      <c r="D36" s="257" t="s">
        <v>267</v>
      </c>
      <c r="E36" s="257" t="s">
        <v>267</v>
      </c>
      <c r="F36" s="257" t="s">
        <v>267</v>
      </c>
      <c r="G36" s="257" t="s">
        <v>267</v>
      </c>
      <c r="H36" s="257" t="s">
        <v>267</v>
      </c>
      <c r="I36" s="257" t="s">
        <v>267</v>
      </c>
      <c r="J36" s="257">
        <v>391</v>
      </c>
      <c r="K36" s="274">
        <v>391</v>
      </c>
      <c r="L36" s="257" t="s">
        <v>267</v>
      </c>
      <c r="M36" s="258">
        <f t="shared" si="3"/>
        <v>782</v>
      </c>
      <c r="O36" s="260">
        <f t="shared" si="1"/>
        <v>1173</v>
      </c>
    </row>
    <row r="37" spans="1:15" ht="26.25" customHeight="1">
      <c r="A37" s="276" t="s">
        <v>244</v>
      </c>
      <c r="B37" s="257">
        <v>18472</v>
      </c>
      <c r="C37" s="257">
        <f>+B37-J37-5261</f>
        <v>5262</v>
      </c>
      <c r="D37" s="257" t="s">
        <v>267</v>
      </c>
      <c r="E37" s="257" t="s">
        <v>267</v>
      </c>
      <c r="F37" s="257" t="s">
        <v>267</v>
      </c>
      <c r="G37" s="257" t="s">
        <v>267</v>
      </c>
      <c r="H37" s="257" t="s">
        <v>267</v>
      </c>
      <c r="I37" s="257" t="s">
        <v>267</v>
      </c>
      <c r="J37" s="257">
        <v>7949</v>
      </c>
      <c r="K37" s="274">
        <v>5261</v>
      </c>
      <c r="L37" s="257" t="s">
        <v>267</v>
      </c>
      <c r="M37" s="258">
        <f t="shared" si="3"/>
        <v>13210</v>
      </c>
      <c r="O37" s="260">
        <f t="shared" si="1"/>
        <v>18472</v>
      </c>
    </row>
    <row r="38" spans="1:15" ht="26.25" customHeight="1">
      <c r="A38" s="276" t="s">
        <v>245</v>
      </c>
      <c r="B38" s="257">
        <v>224638</v>
      </c>
      <c r="C38" s="257">
        <f>+B38-J38-K38</f>
        <v>74653</v>
      </c>
      <c r="D38" s="257" t="s">
        <v>267</v>
      </c>
      <c r="E38" s="257" t="s">
        <v>267</v>
      </c>
      <c r="F38" s="257" t="s">
        <v>267</v>
      </c>
      <c r="G38" s="257" t="s">
        <v>267</v>
      </c>
      <c r="H38" s="257" t="s">
        <v>267</v>
      </c>
      <c r="I38" s="257" t="s">
        <v>267</v>
      </c>
      <c r="J38" s="257">
        <v>74653</v>
      </c>
      <c r="K38" s="274">
        <v>75332</v>
      </c>
      <c r="L38" s="257" t="s">
        <v>267</v>
      </c>
      <c r="M38" s="258">
        <f t="shared" si="3"/>
        <v>149985</v>
      </c>
      <c r="O38" s="260">
        <f t="shared" si="1"/>
        <v>224638</v>
      </c>
    </row>
    <row r="39" spans="1:15" s="279" customFormat="1" ht="47.25" customHeight="1">
      <c r="A39" s="277" t="s">
        <v>292</v>
      </c>
      <c r="B39" s="278">
        <f aca="true" t="shared" si="4" ref="B39:M39">SUM(B30:B38)</f>
        <v>258468</v>
      </c>
      <c r="C39" s="278">
        <f t="shared" si="4"/>
        <v>86515</v>
      </c>
      <c r="D39" s="278">
        <f t="shared" si="4"/>
        <v>0</v>
      </c>
      <c r="E39" s="278">
        <f t="shared" si="4"/>
        <v>0</v>
      </c>
      <c r="F39" s="278">
        <f t="shared" si="4"/>
        <v>18280</v>
      </c>
      <c r="G39" s="278">
        <f t="shared" si="4"/>
        <v>0</v>
      </c>
      <c r="H39" s="278">
        <f t="shared" si="4"/>
        <v>0</v>
      </c>
      <c r="I39" s="278">
        <f t="shared" si="4"/>
        <v>0</v>
      </c>
      <c r="J39" s="278">
        <f t="shared" si="4"/>
        <v>82993</v>
      </c>
      <c r="K39" s="278">
        <f t="shared" si="4"/>
        <v>80984</v>
      </c>
      <c r="L39" s="278">
        <f t="shared" si="4"/>
        <v>0</v>
      </c>
      <c r="M39" s="278">
        <f t="shared" si="4"/>
        <v>182257</v>
      </c>
      <c r="O39" s="279">
        <f t="shared" si="1"/>
        <v>268772</v>
      </c>
    </row>
    <row r="40" spans="1:16" s="282" customFormat="1" ht="47.25" customHeight="1">
      <c r="A40" s="280" t="s">
        <v>293</v>
      </c>
      <c r="B40" s="281">
        <f aca="true" t="shared" si="5" ref="B40:M40">+B29+B39</f>
        <v>1914718</v>
      </c>
      <c r="C40" s="281">
        <f t="shared" si="5"/>
        <v>251787</v>
      </c>
      <c r="D40" s="281">
        <f t="shared" si="5"/>
        <v>1091969</v>
      </c>
      <c r="E40" s="281">
        <f t="shared" si="5"/>
        <v>4609</v>
      </c>
      <c r="F40" s="281">
        <f t="shared" si="5"/>
        <v>36706</v>
      </c>
      <c r="G40" s="281">
        <f t="shared" si="5"/>
        <v>8687</v>
      </c>
      <c r="H40" s="281">
        <f t="shared" si="5"/>
        <v>2747</v>
      </c>
      <c r="I40" s="281">
        <f t="shared" si="5"/>
        <v>4252</v>
      </c>
      <c r="J40" s="281">
        <f t="shared" si="5"/>
        <v>109620</v>
      </c>
      <c r="K40" s="281">
        <f t="shared" si="5"/>
        <v>446979</v>
      </c>
      <c r="L40" s="281">
        <f t="shared" si="5"/>
        <v>52453</v>
      </c>
      <c r="M40" s="281">
        <f t="shared" si="5"/>
        <v>1758022</v>
      </c>
      <c r="O40" s="273">
        <f t="shared" si="1"/>
        <v>2009809</v>
      </c>
      <c r="P40" s="282">
        <f>+B40-O40</f>
        <v>-95091</v>
      </c>
    </row>
    <row r="41" spans="1:13" ht="39" customHeight="1">
      <c r="A41" s="283" t="s">
        <v>294</v>
      </c>
      <c r="B41" s="284"/>
      <c r="C41" s="284"/>
      <c r="D41" s="285"/>
      <c r="E41" s="285"/>
      <c r="F41" s="286"/>
      <c r="G41" s="287"/>
      <c r="H41" s="287"/>
      <c r="I41" s="287"/>
      <c r="J41" s="287"/>
      <c r="K41" s="287"/>
      <c r="L41" s="287"/>
      <c r="M41" s="288"/>
    </row>
  </sheetData>
  <mergeCells count="1">
    <mergeCell ref="A41:C41"/>
  </mergeCells>
  <printOptions horizontalCentered="1"/>
  <pageMargins left="0.5905511811023623" right="0.2362204724409449" top="0.9" bottom="0.66" header="0.47" footer="0.38"/>
  <pageSetup horizontalDpi="300" verticalDpi="300" orientation="landscape" paperSize="9" scale="65" r:id="rId1"/>
  <headerFooter alignWithMargins="0">
    <oddHeader>&amp;C&amp;"Arial CE,Félkövér"&amp;12
KIMUTATÁS A KÜLSŐ FORRÁS IGÉNYBEVÉTELÉVEL MEGVALÓSULÓ BERUHÁZÁSOK ÉS FELÚJÍTÁSOK FORRÁSAIRÓL
 2004. év
&amp;R
&amp;11sz.melléklet
ezer Ft-ban&amp;10
</oddHeader>
    <oddFooter>&amp;LKaposvár,  Nyomt.:&amp;D &amp;T&amp;C&amp;F_&amp;A   &amp;"Arial CE,Dőlt"Szabó Tiborné&amp;R&amp;P/&amp;N</oddFooter>
  </headerFooter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KMV Polgármesteri Hivatal</dc:creator>
  <cp:keywords/>
  <dc:description/>
  <cp:lastModifiedBy>KMV Polgármesteri Hivatal</cp:lastModifiedBy>
  <cp:lastPrinted>2004-02-06T07:24:37Z</cp:lastPrinted>
  <dcterms:created xsi:type="dcterms:W3CDTF">2004-02-06T07:20:21Z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