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35" windowWidth="15165" windowHeight="8730" activeTab="0"/>
  </bookViews>
  <sheets>
    <sheet name="9 Fh-b 07besz" sheetId="1" r:id="rId1"/>
  </sheets>
  <definedNames>
    <definedName name="_xlnm.Print_Titles" localSheetId="0">'9 Fh-b 07besz'!$1:$2</definedName>
    <definedName name="_xlnm.Print_Area" localSheetId="0">'9 Fh-b 07besz'!$A$1:$H$191</definedName>
  </definedNames>
  <calcPr fullCalcOnLoad="1"/>
</workbook>
</file>

<file path=xl/sharedStrings.xml><?xml version="1.0" encoding="utf-8"?>
<sst xmlns="http://schemas.openxmlformats.org/spreadsheetml/2006/main" count="597" uniqueCount="272">
  <si>
    <t>Cseri park rekonstrukció:  megvalósíthatósági tanulmány és kiviteli tervek</t>
  </si>
  <si>
    <t>Cseri parki játszópark és köteles kalandpark tanulmányterv</t>
  </si>
  <si>
    <t>Csapadékvízelvezetés: Losonc köz  I.ütem</t>
  </si>
  <si>
    <t>Földút és járdaépítési program 2007.</t>
  </si>
  <si>
    <t>saját erő + 3.000 eft tám.</t>
  </si>
  <si>
    <t>Engedélyezési,  eljárási díjak és tám.kez.ktg.</t>
  </si>
  <si>
    <t>Polgármesteri Hivatal: WV Passat személygépkocsi csere</t>
  </si>
  <si>
    <t>Vagyonhasznosítás egyéb kisebb kiadásai</t>
  </si>
  <si>
    <t>Telekalakítások, földvédelmi járulék, alapító okirat</t>
  </si>
  <si>
    <t>NSH tám: 81.000eft (saját munka értéke + 8.004eft)</t>
  </si>
  <si>
    <t>Szilárd hulladéklerakó bővítéséhez  0132/6 hrsz ingatlan megszerzése</t>
  </si>
  <si>
    <t>Ingatlanvásárlás: játszótérnek 14426 hrsz  6.398m2</t>
  </si>
  <si>
    <t xml:space="preserve">Szabályozási tervek módosítása </t>
  </si>
  <si>
    <t>2006.évről áthúzódó ei: 1.200+650eft</t>
  </si>
  <si>
    <t>Megnevezés</t>
  </si>
  <si>
    <t>Összesen</t>
  </si>
  <si>
    <t>Ebből önkorm. forrás</t>
  </si>
  <si>
    <t>Megjegyzés</t>
  </si>
  <si>
    <t>Közlekedés</t>
  </si>
  <si>
    <t>Toponár-Kaposvár összekötő úthoz  terület vásárlás</t>
  </si>
  <si>
    <t>Parkoló építése Béke u.97-99 elött    kb. 26 db</t>
  </si>
  <si>
    <t>Közlekedés összesen</t>
  </si>
  <si>
    <t>Vízgazdálkodás</t>
  </si>
  <si>
    <t>Vízgazdálkodás összesen</t>
  </si>
  <si>
    <t>Közvilágítás</t>
  </si>
  <si>
    <t>Közvilágítási fejlesztések összesen</t>
  </si>
  <si>
    <t>Városgazdálkodás</t>
  </si>
  <si>
    <t>Városi Tűzoltóság - műszaki mentési szakfelszerelés</t>
  </si>
  <si>
    <t xml:space="preserve">Ingatlanvásárlás:  5375/6 hrsz Füredi út körforg.kialakításhoz </t>
  </si>
  <si>
    <t xml:space="preserve">Földterület vásárlás 21m2   Béke u.27-29. </t>
  </si>
  <si>
    <t>Kisajátítási tervek Baross u.9. és Vár 11.</t>
  </si>
  <si>
    <t>Városgazdálkodás összesen</t>
  </si>
  <si>
    <t xml:space="preserve"> Oktatás </t>
  </si>
  <si>
    <t>Széchenyi SZKI tanétterem és tanszálló   (2002-2006)</t>
  </si>
  <si>
    <t>Klebelsberg középiskolai kollégium építése</t>
  </si>
  <si>
    <t xml:space="preserve"> Oktatás összesen</t>
  </si>
  <si>
    <t xml:space="preserve"> Sport   </t>
  </si>
  <si>
    <t xml:space="preserve"> Sport összesen</t>
  </si>
  <si>
    <t xml:space="preserve"> Közigazgatás  </t>
  </si>
  <si>
    <t xml:space="preserve"> Közigazgatás összesen  </t>
  </si>
  <si>
    <t xml:space="preserve"> Lakásgazdálkodás </t>
  </si>
  <si>
    <t xml:space="preserve"> Lakásgazdálkodás összesen </t>
  </si>
  <si>
    <t xml:space="preserve">Művelődés, kultúra </t>
  </si>
  <si>
    <t>Kalandpark és állat-simogató látványterv</t>
  </si>
  <si>
    <t>Művelődés, kultúra összesen</t>
  </si>
  <si>
    <t>Egyéb nem beruházási kiadások</t>
  </si>
  <si>
    <t>Helyi védett épületek felújítása</t>
  </si>
  <si>
    <t>Kisgát III.: telkek kialakít., műv.ágból kivonása a VIDEOTON szakembereknek</t>
  </si>
  <si>
    <t>Egyéb nem beruh.kiad. összesen</t>
  </si>
  <si>
    <t>Kompenzációs ügyletek</t>
  </si>
  <si>
    <t>Teleki u. parkolóház telekcsere</t>
  </si>
  <si>
    <t xml:space="preserve"> Kompenzációs ügyek összesen:</t>
  </si>
  <si>
    <t>DÉDÁSZ ingatlan vásárlás</t>
  </si>
  <si>
    <t xml:space="preserve">273/2002.(IX.12.) önk.hat. 2007.lejár </t>
  </si>
  <si>
    <t>SM Katasztrófavédelmi Ig.-tól javítóműhely és berend.átvétele</t>
  </si>
  <si>
    <t>5/2005(II.24) önk.hat</t>
  </si>
  <si>
    <t>Komplex építési hulladékgazdálkodási rendszer (KIOP)</t>
  </si>
  <si>
    <t>Toponári temetőben elvégzendő beruházások</t>
  </si>
  <si>
    <t>Buszvárók telepítése</t>
  </si>
  <si>
    <t>Intézmények szennyvízcsatorna rákötései</t>
  </si>
  <si>
    <t>Fő u.21. csapadékcsatorna csere</t>
  </si>
  <si>
    <t>Kaposmenti hulladékgazdálkodási program előkészítése</t>
  </si>
  <si>
    <t>Élményfürdő termálvíz tározómedence létesítése</t>
  </si>
  <si>
    <t xml:space="preserve">Élményfürdő kereskedelmi egységek építése A épület </t>
  </si>
  <si>
    <t>Élményfürdő első beszerzés</t>
  </si>
  <si>
    <t>Vagyonvédelmi berendezések</t>
  </si>
  <si>
    <t>Mintalakótelepi rekonstrukciós program II üteme</t>
  </si>
  <si>
    <t>Orvosi rendelő kialakítása Szántó u. 5. alatt</t>
  </si>
  <si>
    <t>Sportcsarnok statikai vizsgálat és rekonstrukció tervezése</t>
  </si>
  <si>
    <t>Szentjakabi Bencés Apátság állagmegóvás</t>
  </si>
  <si>
    <t>Pályázatok előkészítése, tervezési feladatok</t>
  </si>
  <si>
    <t>Helyi támogatás: lakásépítés és  vásárlás</t>
  </si>
  <si>
    <t>Lakásmobilitás   (lakás-használatbavételi díjak)</t>
  </si>
  <si>
    <t>Közműhozzájárulás</t>
  </si>
  <si>
    <t xml:space="preserve">Munkáltatói kölcsönalap </t>
  </si>
  <si>
    <t>Egyéb kisebb kiadások</t>
  </si>
  <si>
    <t>Pályázati anyagok előkészítése, másolása</t>
  </si>
  <si>
    <t>Felhalmozási kiadások összesen:</t>
  </si>
  <si>
    <t>2006.dec. 31-ig tényleges teljesítés</t>
  </si>
  <si>
    <t>2007. évi  terv összesen</t>
  </si>
  <si>
    <t xml:space="preserve">2008. évi számítás </t>
  </si>
  <si>
    <t>2009. évi számítás</t>
  </si>
  <si>
    <t>2009. év után</t>
  </si>
  <si>
    <t>Szerződéses lekötöttség</t>
  </si>
  <si>
    <t>eredeti</t>
  </si>
  <si>
    <t>összege</t>
  </si>
  <si>
    <t>%-a</t>
  </si>
  <si>
    <t xml:space="preserve"> -</t>
  </si>
  <si>
    <t>Körforgalom tervezése: Hársfa-Baross G-Béla Király u</t>
  </si>
  <si>
    <t>Cseri út É-i oldal csapadékvíz elvezetés pályázati önerő</t>
  </si>
  <si>
    <t xml:space="preserve">Déli temető: vill.bekötés és ravatalozó asztal </t>
  </si>
  <si>
    <t>Városi Fürdő új termálkút-fej, elektromos ellátás, töltővezeték</t>
  </si>
  <si>
    <t>Ady E. u. déli tömb szabályozási terve</t>
  </si>
  <si>
    <t>Dr.Kaposvári Vétek György emléktábla</t>
  </si>
  <si>
    <t>garanciális visszatartás</t>
  </si>
  <si>
    <t>2006.évről áthúzódó ei: 1.526 eft</t>
  </si>
  <si>
    <t>Átvett p.eszk. 40.000eft</t>
  </si>
  <si>
    <t>Címzett támogatás 2006.évi áthúzódóval 5.968eft</t>
  </si>
  <si>
    <t>Városháza bővítés előkészítése</t>
  </si>
  <si>
    <t>Mező u-i parkoló építés  (folyt.)</t>
  </si>
  <si>
    <t xml:space="preserve">Ingatlanvásárlás:  Guba S.u.22.volt Fazekas HISZ telephely </t>
  </si>
  <si>
    <t>Teleki u.2 sz. épület átalakítása II.ütem</t>
  </si>
  <si>
    <t>Jégcsarnok jegyzett tőke emelés</t>
  </si>
  <si>
    <t>Orgona és Margaréta u közötti játszótér építés első üteme</t>
  </si>
  <si>
    <t>Volt DRVV terület: kerítés áthelyezés</t>
  </si>
  <si>
    <t>Terhesgondozó és Cs.s.kp. Honvéd u. tervdok.átdolg.</t>
  </si>
  <si>
    <t>Nyár u.- Jedlik Á.u.-Zrinyi u. által határolt terület vízrendezése</t>
  </si>
  <si>
    <t>Közvilágítás:   Mogyoró u, Pipitér u,  Borostyán u.</t>
  </si>
  <si>
    <t>Polgármesteri Hivatal:  fénymásolók cseréje, eszköz-, gépbesz. 2005-2006.</t>
  </si>
  <si>
    <t>Internet terminál vásárlása 2 db használt</t>
  </si>
  <si>
    <t>Teleki u. 2. és P.Hivatal összenyitásával kapcs. átalakítás, berendezés</t>
  </si>
  <si>
    <t>Önkormányzati bérlakásokba vízóra felszerelés</t>
  </si>
  <si>
    <t>Füredi út 148-152. 012/2hrsz ing.belterületbe csatolás</t>
  </si>
  <si>
    <t xml:space="preserve">Élményfürdő üzletrész vásárlása </t>
  </si>
  <si>
    <t>119/2005(IV.21)önk.hat.  évente.nov30.        2020-ig</t>
  </si>
  <si>
    <t>153/2006(VI.15)önk.hat 6)</t>
  </si>
  <si>
    <t>Gesztenye u. ívóvízvez.építése VKMB terh.</t>
  </si>
  <si>
    <t>szerz: 3120+2639</t>
  </si>
  <si>
    <t xml:space="preserve">Kinizsi Élip.SZKI áthely.volt Baross Koll. épületébe  </t>
  </si>
  <si>
    <t>saját erő 20%</t>
  </si>
  <si>
    <t>Városi Tűzoltóság - komm.ügyeleti vezérlőrendszer</t>
  </si>
  <si>
    <t>2006.évről áthúzódó ei:  2.300 eft</t>
  </si>
  <si>
    <t>Füredi II laktanya körny.véd.kármentesítése  (2004-2006)</t>
  </si>
  <si>
    <t xml:space="preserve">KAC tám: 2.804eft </t>
  </si>
  <si>
    <t>Címzett tám: 18.000eft</t>
  </si>
  <si>
    <t>Bev.terh. 227/2006(VII.20)önk.hat.  ( Sió-Avant)</t>
  </si>
  <si>
    <t>Csiky Gergely Színház rekonstrukció építési eng.tervek</t>
  </si>
  <si>
    <t>Ingatlan csere      5727/34 hrsz    2.164 m2   (Korona 2001.Kft)</t>
  </si>
  <si>
    <t>342/2006(XI.16)önk.hat.</t>
  </si>
  <si>
    <t>Bástya u. útépítés tervezése</t>
  </si>
  <si>
    <t>330/2006(XI.16)önk.hat. 1./</t>
  </si>
  <si>
    <t>Kaposvár-K.füred kerékpárút tervezése</t>
  </si>
  <si>
    <t xml:space="preserve"> 40% céltámogatás: 17.683eft </t>
  </si>
  <si>
    <t>Polgármesteri Hivatal szennyvíz-átemelő építése</t>
  </si>
  <si>
    <t>Vízvezeték építése: Gruber J. u</t>
  </si>
  <si>
    <t>Csapadékvízelvezetés: Losonc köz II.ütem</t>
  </si>
  <si>
    <t xml:space="preserve">Táncsics 1-3 előtt vízelvezetés </t>
  </si>
  <si>
    <t>Kaposvári "Életfa" plasztikára levelek készíttetése</t>
  </si>
  <si>
    <t>153/2006(VI.15)önk.hat 7)</t>
  </si>
  <si>
    <t>Házi kisátemelők és házi bekötések utólagos kiépítése</t>
  </si>
  <si>
    <t>Kossuth tér  közmű-kiváltások, egyéb munkák</t>
  </si>
  <si>
    <t>Közvilágítás: Kökörcsin- Galagonya-Vadkörte u.</t>
  </si>
  <si>
    <t>Garancia 2007.évre</t>
  </si>
  <si>
    <t>Garancia 2007.évre 4.404eft, Vsz:36eft</t>
  </si>
  <si>
    <t>Szabályozási terv és helyi ép.szab.módosítás</t>
  </si>
  <si>
    <t>Füredi u-Raktár u-5377/2.hrsz-közpark által határolt területre</t>
  </si>
  <si>
    <t xml:space="preserve">Húskombinát orvosi rendelő fűtésleválasztás (önk.rész) </t>
  </si>
  <si>
    <t>2006.évről áthúzódó ei:  9.025eft</t>
  </si>
  <si>
    <t>tám:500eft</t>
  </si>
  <si>
    <t>pályázat függvényében</t>
  </si>
  <si>
    <t xml:space="preserve">2006.évről áthúzódó ei: 1.679eft,  megvalósítás 2007-2008-ban  </t>
  </si>
  <si>
    <t>226/2006.(07.20) önk.hat.</t>
  </si>
  <si>
    <t>269/2006.(09.28) önk.hat.  2./</t>
  </si>
  <si>
    <t xml:space="preserve">            -</t>
  </si>
  <si>
    <t>További ráfordítás a Kaposvárért Közalapítvány finanszírozásában</t>
  </si>
  <si>
    <t>2006.évről áthúzódó ei: 2.994 eft   153/2006(VI.15)önk.hat 6)</t>
  </si>
  <si>
    <t>2006.évről áthúzódó ei: 7.560 eft  153/2006(VI.15)önk.hat 6)   349/2006(XI.16.)</t>
  </si>
  <si>
    <t>392/2006.(12.14) önk.hat. 3./</t>
  </si>
  <si>
    <t xml:space="preserve">NOSTRA Ifjúsági és szabadidő kp.tervezési program </t>
  </si>
  <si>
    <t>Diszpolgárok táblájának megnagyobbítása</t>
  </si>
  <si>
    <t>Polgármesteri Hivatal: új MikroVoks rendszer beszerzése</t>
  </si>
  <si>
    <t>KIOP tám:321.820eft, BM tám:11.342eft, áfa:10.031eft</t>
  </si>
  <si>
    <t>Jászai M. u. vízvez.ép. terv és vízjogi létesítési eng.terv</t>
  </si>
  <si>
    <t xml:space="preserve">V. Fürdő: vízbázisvédelmi tan.terv védőidom kijelöléshez </t>
  </si>
  <si>
    <t>4 db hulladékgyűjtő sziget</t>
  </si>
  <si>
    <t xml:space="preserve">   -</t>
  </si>
  <si>
    <t xml:space="preserve">  -</t>
  </si>
  <si>
    <t xml:space="preserve">Ált.Iskolai, Óvodai és Eü.Gondnokság telephely bővítés, átalakítás </t>
  </si>
  <si>
    <t>81/2007.(IV.26) önk.hat. 13./</t>
  </si>
  <si>
    <t>K.Uszoda és Gyógyfürdő fejlesztés eng.terve</t>
  </si>
  <si>
    <t>Füredi u.45-47. tel.rendszer kiép,riasztó felszer,számítógép csatl.</t>
  </si>
  <si>
    <t>Keleti temető XXI.parcella urnaliget kialakítása</t>
  </si>
  <si>
    <t>Kodály és Bárczy Ált.Iskolák akadálymentesítése önerő</t>
  </si>
  <si>
    <t xml:space="preserve">  EGT és Norvég alap tám. pályázattal </t>
  </si>
  <si>
    <t>Fő u. 84.   30 db önkormányzati bérlakás építés önerő</t>
  </si>
  <si>
    <t xml:space="preserve"> EGT   Norvég alap pályázat</t>
  </si>
  <si>
    <t>"SÁÉV" telep és környező ltp rehab.-   pályázati dok.</t>
  </si>
  <si>
    <t xml:space="preserve">Házi szennyvízbeköt.utólagos kiépítése, és házi kisátemelők </t>
  </si>
  <si>
    <t>Új irattár kialakítása, SALGO polcok beszerzése, világítás korszerűsítése</t>
  </si>
  <si>
    <t>2007. évi  előirányzat</t>
  </si>
  <si>
    <t>2006.évi  eredeti előirányzat</t>
  </si>
  <si>
    <t>alap</t>
  </si>
  <si>
    <t>ÁFA</t>
  </si>
  <si>
    <t xml:space="preserve"> ALAP Főkönyvi szla </t>
  </si>
  <si>
    <t xml:space="preserve">ÁFA Főkönyvi szla </t>
  </si>
  <si>
    <t>Szakág.-szakfeladat</t>
  </si>
  <si>
    <t>Egységkód</t>
  </si>
  <si>
    <t>18212 12</t>
  </si>
  <si>
    <t>18212 11</t>
  </si>
  <si>
    <t>18212 1</t>
  </si>
  <si>
    <t>18212 13</t>
  </si>
  <si>
    <t>13152 3</t>
  </si>
  <si>
    <t>13152 2</t>
  </si>
  <si>
    <t>13153 1</t>
  </si>
  <si>
    <t>56111 1</t>
  </si>
  <si>
    <t>18211 11</t>
  </si>
  <si>
    <t>Cseri u. 10. előtt zárt kerítés építése, tervezéssel  104,8 fm</t>
  </si>
  <si>
    <t>Polgármesteri Hivatal:  klima berendezés</t>
  </si>
  <si>
    <t>Izzó u. művelési ágból kivonás, telekalakítás</t>
  </si>
  <si>
    <t>x</t>
  </si>
  <si>
    <t>Útfelújítások pályázat készítése</t>
  </si>
  <si>
    <t xml:space="preserve"> / településfejl.akcióterv, mv.tan., eng.tervek/</t>
  </si>
  <si>
    <t>Gördülő sportoknak pálya kialakítása a Városligetben</t>
  </si>
  <si>
    <t xml:space="preserve">K.szentjakabi városrész és egyéb utcák szennyvízcsatornázása céltámogatással                                 </t>
  </si>
  <si>
    <t xml:space="preserve">Ammóniamentesítés, vízminőség jav.program: címzett tám. </t>
  </si>
  <si>
    <t>Fő u.93. lakóház építés előkészítése  (ép.és kiviteli terv)</t>
  </si>
  <si>
    <t>Cseri úti, műfű borítású sportpálya és kieg.létesítményei</t>
  </si>
  <si>
    <t>Ingatlanvásárlás:Piac-vásárcsarnok 31.sz.pavilon 10m2</t>
  </si>
  <si>
    <t>Közter.elkövetett jogsértések visszaszorítása prog.:műszaki eszközök</t>
  </si>
  <si>
    <t>853211 / 801115</t>
  </si>
  <si>
    <t xml:space="preserve">Cseri park rekonstrukció: II.ütem megvalósíthatósági tanulmány </t>
  </si>
  <si>
    <t xml:space="preserve">Ingatlanvásárlás:Piac-vásárcsarnok 63.sz.pavilon </t>
  </si>
  <si>
    <t>Városháza mélyparkoló kivit.terv</t>
  </si>
  <si>
    <t>Füredi út K-i old.buszmegálló kialakítás céljából kártalanítás</t>
  </si>
  <si>
    <t>Dr.Kiss Angyal Ernő zeneszerző emléktábla</t>
  </si>
  <si>
    <t>Intézmények akadálymentesítési terve 3+1 db</t>
  </si>
  <si>
    <t xml:space="preserve">67-es út geodéziai munkarész </t>
  </si>
  <si>
    <t>Ady D-i tömb  Center Invest   Ady 4 és Fő u74. lakások kompenzációs felúj.</t>
  </si>
  <si>
    <t>Ady E.u.17. és Achim A.u. ing.adásvétel és csere  Center Invest</t>
  </si>
  <si>
    <t>Polgármesteri Hivatal: informatikai fejlesztés    2006-2007.</t>
  </si>
  <si>
    <t xml:space="preserve">Okmányirodai ügyfél-hívó és -tájékoztató rendszer </t>
  </si>
  <si>
    <t>Nyugdíjasház hőmennyiségmérők felszerelése</t>
  </si>
  <si>
    <t>Szent István u. 12-22. előtt vízelvezetés</t>
  </si>
  <si>
    <t>Léva u. csapadékvíz elvez.terv</t>
  </si>
  <si>
    <t>Arany J.u.15 fogorvosi rendelő akadályment.rámpa</t>
  </si>
  <si>
    <t>Bárczi G.MKp Chevrolet Aveo tip.sz.gépkocsi beszerzése</t>
  </si>
  <si>
    <t>NOSTRA Ifjúsági Alkotó és Szórakoztató Központ eng.terv</t>
  </si>
  <si>
    <t>K.Uszoda és Gyógyfürdő fejlesztés megval.tan.</t>
  </si>
  <si>
    <t xml:space="preserve">Lakótelep rehabilitációja                                             </t>
  </si>
  <si>
    <t xml:space="preserve">  Körtönye u-val szemben a Cseri dűlőbe vezető út belterületen</t>
  </si>
  <si>
    <t xml:space="preserve">  Monostor u. egyoldali járda építése</t>
  </si>
  <si>
    <t xml:space="preserve">  Béla király u. végétől járda építése a Nyugdíjas Otthonig</t>
  </si>
  <si>
    <t xml:space="preserve">  Egyenesi u. Uránia lakóteleptől a buszfordulóig járda építése</t>
  </si>
  <si>
    <t>Zselickislak Dózsa Gy u.5. ing.után közműfejlesztési hozzájárulás</t>
  </si>
  <si>
    <t>Pécsi u. egészségházhoz vezető út-járda tervezés</t>
  </si>
  <si>
    <t>Kaposvár-K.újlak kerékpárút terv önerő</t>
  </si>
  <si>
    <t>Ingatlan visszavásárlás:Somogy Áruház parkoló területe</t>
  </si>
  <si>
    <t>Ingatlanvásárlás:Pécsi u-i egészségházhoz telek</t>
  </si>
  <si>
    <t>Rippl-Rónay Emlékmúzeum látogathatóságának fejl.tan.terv</t>
  </si>
  <si>
    <t>Deseda-tó körüli túraútvonalak kialakítása.tan.terv</t>
  </si>
  <si>
    <t>Komplex turisztikai ajánlat kialakítása.előzetes mv.tanulmány</t>
  </si>
  <si>
    <t>Működő hulladéklerakó D0,D3 deponiával bővítése: tervezés</t>
  </si>
  <si>
    <t>Bors István:"Alakoskodó" köztéri szobor elhelyezése statikus tervezői díj</t>
  </si>
  <si>
    <t>Ady D-i tömb csere  Center Invest</t>
  </si>
  <si>
    <t>Belváros rehab.:  Integrált Városfejlesztési Stratégia tan.</t>
  </si>
  <si>
    <t>Pécsi u.22.orvosi rendelőhöz :víz-, szennyvíz-,csap.víz.vez.terv</t>
  </si>
  <si>
    <t>Működő hulladéklerakó vízjogi eng.és elektromos tervezés</t>
  </si>
  <si>
    <t>Állati hulladék kezelő telep kiviteli terv</t>
  </si>
  <si>
    <t>Liget Időskorúak Otthona: ipari mosó- és centrifúgagép</t>
  </si>
  <si>
    <t>Cseri út É-i old.csap.víz elvez.terv korszerűsítése és vízügyi eng.</t>
  </si>
  <si>
    <t>Volt hajléktalanszálló bontási eng.terve</t>
  </si>
  <si>
    <t xml:space="preserve">  Kemping u. járda építése Gém utcától kempinghez vezető útig</t>
  </si>
  <si>
    <t>Kisebb közvilágítási fejlesztések 2007.</t>
  </si>
  <si>
    <t>Egészségügy és szociális ellátás</t>
  </si>
  <si>
    <t>módosított</t>
  </si>
  <si>
    <r>
      <t>2007. év teljesítés</t>
    </r>
    <r>
      <rPr>
        <b/>
        <sz val="9"/>
        <color indexed="8"/>
        <rFont val="Times New Roman"/>
        <family val="1"/>
      </rPr>
      <t xml:space="preserve"> </t>
    </r>
  </si>
  <si>
    <r>
      <t xml:space="preserve"> </t>
    </r>
    <r>
      <rPr>
        <b/>
        <sz val="10"/>
        <color indexed="8"/>
        <rFont val="Times New Roman"/>
        <family val="1"/>
      </rPr>
      <t>céltám:85% 492.271eft;                                                      társ.önkorm: 25.357+16.705+23.179eft</t>
    </r>
  </si>
  <si>
    <t xml:space="preserve">275/2003.(IX.18.) önk.hat.                                                                           Bruttó beruh:501.588eFt,  céltámogatás:200.635eFt össz. </t>
  </si>
  <si>
    <r>
      <t xml:space="preserve">kivitelezési és műszaki ell szerződés alapján   </t>
    </r>
    <r>
      <rPr>
        <b/>
        <sz val="10"/>
        <color indexed="8"/>
        <rFont val="Times New Roman"/>
        <family val="1"/>
      </rPr>
      <t xml:space="preserve">címzett tám: 176.256eft </t>
    </r>
  </si>
  <si>
    <t>Állati hulladék kezelő telep   EU  -  KIOP</t>
  </si>
  <si>
    <t xml:space="preserve">  2007.évi   KIOP tám:101.850eft,                                                   ÖTM tám: 3.217eft,   társult települések 133eft,          314/2006(X.17)önk.hat.</t>
  </si>
  <si>
    <t>Okmányiroda teljes körű akadálymentesítése:  terv, szakértői díj és pály.önerő</t>
  </si>
  <si>
    <t>Belváros rehab.tervek:Ady É-i tömb,Noszlopy térburk; Szivárvány Mozi rek.; Teleki 2. kistérségi kp.-Városháza rek. Vár u gyalogos kapcs.kiép.</t>
  </si>
  <si>
    <t>Rippl-Rónai "Szamaras kordé" szobor tervpály.és Bors István 2 db köztéri alkotásának elhelyezése</t>
  </si>
  <si>
    <t xml:space="preserve">Szelektív hulladékszigetek menny.bővítése, leégettek pótlása </t>
  </si>
  <si>
    <t>Kvár közlekedés-építési tervek (Béla király köz; Bartók-Zrinyi_Iszák u. körforg; Szántó u.;Gárdonyi Isk.parkoló; Buzsáki u 2-6 belső út járda )</t>
  </si>
  <si>
    <t>Városi Fürdő ing.telekhatár rend.(7091/1 és 7091/2 hrsz)</t>
  </si>
  <si>
    <t>Geodéziai felmérések: Piac bővítése Baross G.u;  Szoc.Otthon Vak B.u.;</t>
  </si>
  <si>
    <r>
      <t>Kvár-Töröcske,</t>
    </r>
    <r>
      <rPr>
        <sz val="10"/>
        <color indexed="8"/>
        <rFont val="Times New Roman"/>
        <family val="1"/>
      </rPr>
      <t xml:space="preserve"> Simonfa, Zselickislak, Zselicszentpál</t>
    </r>
    <r>
      <rPr>
        <sz val="11"/>
        <color indexed="8"/>
        <rFont val="Times New Roman"/>
        <family val="1"/>
      </rPr>
      <t xml:space="preserve"> szennyvízcsat.céltámogatással  </t>
    </r>
  </si>
  <si>
    <t>Egészségügy és szociális ellátás összesen</t>
  </si>
  <si>
    <t>Bérlakásból történő elhelyezéshez, ill. akcióterület megszerzéséhez ingatlanok vás.</t>
  </si>
  <si>
    <t xml:space="preserve">270/2007(XI.08) önk.hat. 4.806eft 2008.évre köt.váll. </t>
  </si>
</sst>
</file>

<file path=xl/styles.xml><?xml version="1.0" encoding="utf-8"?>
<styleSheet xmlns="http://schemas.openxmlformats.org/spreadsheetml/2006/main">
  <numFmts count="3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###,###"/>
    <numFmt numFmtId="166" formatCode="###,###,###"/>
    <numFmt numFmtId="167" formatCode="0;[Red]0"/>
    <numFmt numFmtId="168" formatCode="#,##0.0"/>
    <numFmt numFmtId="169" formatCode="#,##0.000"/>
    <numFmt numFmtId="170" formatCode="\+#,##0;\-#,##0"/>
    <numFmt numFmtId="171" formatCode="#,##0.0000"/>
    <numFmt numFmtId="172" formatCode="\+#,##0.0;\-#,##0.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  <numFmt numFmtId="183" formatCode="&quot;Igen&quot;;&quot;Igen&quot;;&quot;Nem&quot;"/>
    <numFmt numFmtId="184" formatCode="&quot;Igaz&quot;;&quot;Igaz&quot;;&quot;Hamis&quot;"/>
    <numFmt numFmtId="185" formatCode="&quot;Be&quot;;&quot;Be&quot;;&quot;Ki&quot;"/>
    <numFmt numFmtId="186" formatCode="_-* #,##0.0\ _F_t_-;\-* #,##0.0\ _F_t_-;_-* &quot;-&quot;??\ _F_t_-;_-@_-"/>
    <numFmt numFmtId="187" formatCode="_-* #,##0\ _F_t_-;\-* #,##0\ _F_t_-;_-* &quot;-&quot;??\ _F_t_-;_-@_-"/>
    <numFmt numFmtId="188" formatCode="[$-40E]yyyy\.\ mmmm\ d\."/>
    <numFmt numFmtId="189" formatCode="yyyy/mm/dd;@"/>
    <numFmt numFmtId="190" formatCode="mmm/yyyy"/>
    <numFmt numFmtId="191" formatCode="m\.\ d\.;@"/>
  </numFmts>
  <fonts count="3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9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2"/>
      <color indexed="8"/>
      <name val="Times New Roman"/>
      <family val="1"/>
    </font>
    <font>
      <sz val="16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25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0" fillId="17" borderId="7" applyNumberFormat="0" applyFont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28" fillId="4" borderId="0" applyNumberFormat="0" applyBorder="0" applyAlignment="0" applyProtection="0"/>
    <xf numFmtId="0" fontId="29" fillId="22" borderId="8" applyNumberFormat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3" fontId="3" fillId="0" borderId="10" xfId="0" applyNumberFormat="1" applyFont="1" applyFill="1" applyBorder="1" applyAlignment="1">
      <alignment horizontal="right" wrapText="1"/>
    </xf>
    <xf numFmtId="3" fontId="8" fillId="0" borderId="11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 horizontal="left" wrapText="1"/>
    </xf>
    <xf numFmtId="0" fontId="6" fillId="0" borderId="11" xfId="0" applyFont="1" applyFill="1" applyBorder="1" applyAlignment="1">
      <alignment wrapText="1"/>
    </xf>
    <xf numFmtId="3" fontId="6" fillId="0" borderId="11" xfId="0" applyNumberFormat="1" applyFont="1" applyFill="1" applyBorder="1" applyAlignment="1">
      <alignment wrapText="1"/>
    </xf>
    <xf numFmtId="3" fontId="8" fillId="0" borderId="12" xfId="0" applyNumberFormat="1" applyFont="1" applyFill="1" applyBorder="1" applyAlignment="1">
      <alignment horizontal="right"/>
    </xf>
    <xf numFmtId="0" fontId="6" fillId="0" borderId="11" xfId="0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left" wrapText="1"/>
    </xf>
    <xf numFmtId="3" fontId="8" fillId="0" borderId="13" xfId="0" applyNumberFormat="1" applyFont="1" applyFill="1" applyBorder="1" applyAlignment="1">
      <alignment horizontal="right"/>
    </xf>
    <xf numFmtId="3" fontId="9" fillId="0" borderId="14" xfId="0" applyNumberFormat="1" applyFont="1" applyFill="1" applyBorder="1" applyAlignment="1">
      <alignment wrapText="1"/>
    </xf>
    <xf numFmtId="3" fontId="4" fillId="0" borderId="0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 horizontal="right"/>
    </xf>
    <xf numFmtId="3" fontId="9" fillId="0" borderId="16" xfId="56" applyNumberFormat="1" applyFont="1" applyFill="1" applyBorder="1" applyAlignment="1">
      <alignment horizontal="right" wrapText="1"/>
      <protection/>
    </xf>
    <xf numFmtId="164" fontId="3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/>
    </xf>
    <xf numFmtId="3" fontId="9" fillId="0" borderId="17" xfId="56" applyNumberFormat="1" applyFont="1" applyFill="1" applyBorder="1" applyAlignment="1">
      <alignment horizontal="right" wrapText="1"/>
      <protection/>
    </xf>
    <xf numFmtId="3" fontId="4" fillId="0" borderId="18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right" wrapText="1"/>
    </xf>
    <xf numFmtId="3" fontId="10" fillId="0" borderId="18" xfId="0" applyNumberFormat="1" applyFont="1" applyFill="1" applyBorder="1" applyAlignment="1">
      <alignment horizontal="left" wrapText="1"/>
    </xf>
    <xf numFmtId="168" fontId="6" fillId="0" borderId="10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wrapText="1"/>
    </xf>
    <xf numFmtId="3" fontId="6" fillId="0" borderId="0" xfId="0" applyNumberFormat="1" applyFont="1" applyFill="1" applyBorder="1" applyAlignment="1">
      <alignment wrapText="1"/>
    </xf>
    <xf numFmtId="3" fontId="6" fillId="0" borderId="19" xfId="56" applyNumberFormat="1" applyFont="1" applyFill="1" applyBorder="1" applyAlignment="1">
      <alignment horizontal="right" wrapText="1"/>
      <protection/>
    </xf>
    <xf numFmtId="3" fontId="6" fillId="0" borderId="10" xfId="56" applyNumberFormat="1" applyFont="1" applyFill="1" applyBorder="1" applyAlignment="1">
      <alignment horizontal="right" wrapText="1"/>
      <protection/>
    </xf>
    <xf numFmtId="3" fontId="11" fillId="0" borderId="10" xfId="0" applyNumberFormat="1" applyFont="1" applyFill="1" applyBorder="1" applyAlignment="1">
      <alignment/>
    </xf>
    <xf numFmtId="3" fontId="6" fillId="0" borderId="0" xfId="0" applyNumberFormat="1" applyFont="1" applyFill="1" applyAlignment="1">
      <alignment wrapText="1"/>
    </xf>
    <xf numFmtId="3" fontId="4" fillId="0" borderId="0" xfId="0" applyNumberFormat="1" applyFont="1" applyFill="1" applyAlignment="1">
      <alignment wrapText="1"/>
    </xf>
    <xf numFmtId="3" fontId="3" fillId="0" borderId="20" xfId="0" applyNumberFormat="1" applyFont="1" applyFill="1" applyBorder="1" applyAlignment="1">
      <alignment/>
    </xf>
    <xf numFmtId="3" fontId="3" fillId="0" borderId="20" xfId="0" applyNumberFormat="1" applyFont="1" applyFill="1" applyBorder="1" applyAlignment="1">
      <alignment horizontal="right" wrapText="1"/>
    </xf>
    <xf numFmtId="0" fontId="6" fillId="0" borderId="21" xfId="0" applyFont="1" applyFill="1" applyBorder="1" applyAlignment="1">
      <alignment wrapText="1"/>
    </xf>
    <xf numFmtId="164" fontId="3" fillId="0" borderId="20" xfId="0" applyNumberFormat="1" applyFont="1" applyFill="1" applyBorder="1" applyAlignment="1">
      <alignment/>
    </xf>
    <xf numFmtId="0" fontId="6" fillId="0" borderId="21" xfId="0" applyFont="1" applyFill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3" fontId="8" fillId="0" borderId="22" xfId="0" applyNumberFormat="1" applyFont="1" applyFill="1" applyBorder="1" applyAlignment="1">
      <alignment horizontal="center" vertical="center"/>
    </xf>
    <xf numFmtId="168" fontId="8" fillId="0" borderId="22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right" wrapText="1"/>
    </xf>
    <xf numFmtId="0" fontId="4" fillId="0" borderId="16" xfId="0" applyNumberFormat="1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3" fontId="9" fillId="0" borderId="24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wrapText="1"/>
    </xf>
    <xf numFmtId="3" fontId="5" fillId="0" borderId="26" xfId="0" applyNumberFormat="1" applyFont="1" applyFill="1" applyBorder="1" applyAlignment="1">
      <alignment horizontal="center" wrapText="1"/>
    </xf>
    <xf numFmtId="3" fontId="8" fillId="0" borderId="26" xfId="0" applyNumberFormat="1" applyFont="1" applyFill="1" applyBorder="1" applyAlignment="1">
      <alignment horizontal="center" wrapText="1"/>
    </xf>
    <xf numFmtId="3" fontId="12" fillId="0" borderId="26" xfId="0" applyNumberFormat="1" applyFont="1" applyFill="1" applyBorder="1" applyAlignment="1">
      <alignment horizont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Fill="1" applyBorder="1" applyAlignment="1">
      <alignment horizontal="center" vertical="center" wrapText="1"/>
    </xf>
    <xf numFmtId="3" fontId="5" fillId="0" borderId="19" xfId="0" applyNumberFormat="1" applyFont="1" applyFill="1" applyBorder="1" applyAlignment="1">
      <alignment horizontal="center" wrapText="1"/>
    </xf>
    <xf numFmtId="3" fontId="5" fillId="0" borderId="10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12" fillId="0" borderId="10" xfId="0" applyNumberFormat="1" applyFont="1" applyFill="1" applyBorder="1" applyAlignment="1">
      <alignment horizontal="center" wrapText="1"/>
    </xf>
    <xf numFmtId="3" fontId="5" fillId="0" borderId="18" xfId="0" applyNumberFormat="1" applyFont="1" applyFill="1" applyBorder="1" applyAlignment="1">
      <alignment horizontal="center" vertical="center" wrapText="1"/>
    </xf>
    <xf numFmtId="3" fontId="9" fillId="0" borderId="15" xfId="0" applyNumberFormat="1" applyFont="1" applyFill="1" applyBorder="1" applyAlignment="1">
      <alignment horizontal="right"/>
    </xf>
    <xf numFmtId="3" fontId="8" fillId="0" borderId="15" xfId="0" applyNumberFormat="1" applyFont="1" applyFill="1" applyBorder="1" applyAlignment="1">
      <alignment horizontal="right"/>
    </xf>
    <xf numFmtId="3" fontId="8" fillId="0" borderId="28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3" fontId="9" fillId="0" borderId="10" xfId="0" applyNumberFormat="1" applyFont="1" applyFill="1" applyBorder="1" applyAlignment="1">
      <alignment horizontal="center" wrapText="1"/>
    </xf>
    <xf numFmtId="3" fontId="13" fillId="0" borderId="10" xfId="0" applyNumberFormat="1" applyFont="1" applyFill="1" applyBorder="1" applyAlignment="1">
      <alignment horizontal="center" wrapText="1"/>
    </xf>
    <xf numFmtId="3" fontId="7" fillId="0" borderId="18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3" fontId="6" fillId="0" borderId="0" xfId="0" applyNumberFormat="1" applyFont="1" applyFill="1" applyBorder="1" applyAlignment="1">
      <alignment horizontal="left" wrapText="1"/>
    </xf>
    <xf numFmtId="3" fontId="10" fillId="0" borderId="18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3" fontId="6" fillId="0" borderId="18" xfId="0" applyNumberFormat="1" applyFont="1" applyFill="1" applyBorder="1" applyAlignment="1">
      <alignment horizontal="left" wrapText="1"/>
    </xf>
    <xf numFmtId="3" fontId="3" fillId="0" borderId="10" xfId="0" applyNumberFormat="1" applyFont="1" applyFill="1" applyBorder="1" applyAlignment="1">
      <alignment horizontal="center" wrapText="1"/>
    </xf>
    <xf numFmtId="168" fontId="6" fillId="0" borderId="10" xfId="0" applyNumberFormat="1" applyFont="1" applyFill="1" applyBorder="1" applyAlignment="1">
      <alignment horizontal="center"/>
    </xf>
    <xf numFmtId="3" fontId="11" fillId="0" borderId="10" xfId="56" applyNumberFormat="1" applyFont="1" applyFill="1" applyBorder="1" applyAlignment="1">
      <alignment horizontal="right" wrapText="1"/>
      <protection/>
    </xf>
    <xf numFmtId="3" fontId="6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68" fontId="8" fillId="0" borderId="16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29" xfId="0" applyNumberFormat="1" applyFont="1" applyFill="1" applyBorder="1" applyAlignment="1">
      <alignment horizontal="right"/>
    </xf>
    <xf numFmtId="3" fontId="9" fillId="0" borderId="30" xfId="56" applyNumberFormat="1" applyFont="1" applyFill="1" applyBorder="1" applyAlignment="1">
      <alignment horizontal="right" wrapText="1"/>
      <protection/>
    </xf>
    <xf numFmtId="3" fontId="7" fillId="0" borderId="23" xfId="0" applyNumberFormat="1" applyFont="1" applyFill="1" applyBorder="1" applyAlignment="1">
      <alignment horizontal="left"/>
    </xf>
    <xf numFmtId="3" fontId="8" fillId="0" borderId="0" xfId="0" applyNumberFormat="1" applyFont="1" applyFill="1" applyAlignment="1">
      <alignment wrapText="1"/>
    </xf>
    <xf numFmtId="3" fontId="5" fillId="0" borderId="0" xfId="0" applyNumberFormat="1" applyFont="1" applyFill="1" applyAlignment="1">
      <alignment wrapText="1"/>
    </xf>
    <xf numFmtId="0" fontId="8" fillId="0" borderId="29" xfId="0" applyNumberFormat="1" applyFont="1" applyFill="1" applyBorder="1" applyAlignment="1">
      <alignment horizontal="center"/>
    </xf>
    <xf numFmtId="3" fontId="8" fillId="0" borderId="29" xfId="0" applyNumberFormat="1" applyFont="1" applyFill="1" applyBorder="1" applyAlignment="1">
      <alignment horizontal="center"/>
    </xf>
    <xf numFmtId="3" fontId="9" fillId="0" borderId="10" xfId="0" applyNumberFormat="1" applyFont="1" applyFill="1" applyBorder="1" applyAlignment="1">
      <alignment horizontal="right"/>
    </xf>
    <xf numFmtId="3" fontId="8" fillId="0" borderId="18" xfId="0" applyNumberFormat="1" applyFont="1" applyFill="1" applyBorder="1" applyAlignment="1">
      <alignment/>
    </xf>
    <xf numFmtId="3" fontId="6" fillId="0" borderId="19" xfId="0" applyNumberFormat="1" applyFont="1" applyFill="1" applyBorder="1" applyAlignment="1">
      <alignment/>
    </xf>
    <xf numFmtId="0" fontId="8" fillId="0" borderId="18" xfId="0" applyFont="1" applyFill="1" applyBorder="1" applyAlignment="1">
      <alignment wrapText="1"/>
    </xf>
    <xf numFmtId="0" fontId="8" fillId="0" borderId="0" xfId="0" applyFont="1" applyFill="1" applyBorder="1" applyAlignment="1">
      <alignment wrapText="1"/>
    </xf>
    <xf numFmtId="164" fontId="6" fillId="0" borderId="19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 horizontal="right"/>
    </xf>
    <xf numFmtId="3" fontId="6" fillId="0" borderId="31" xfId="56" applyNumberFormat="1" applyFont="1" applyFill="1" applyBorder="1" applyAlignment="1">
      <alignment horizontal="right" wrapText="1"/>
      <protection/>
    </xf>
    <xf numFmtId="0" fontId="4" fillId="0" borderId="18" xfId="0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16" xfId="0" applyFont="1" applyFill="1" applyBorder="1" applyAlignment="1">
      <alignment horizontal="center"/>
    </xf>
    <xf numFmtId="0" fontId="6" fillId="0" borderId="18" xfId="0" applyFont="1" applyFill="1" applyBorder="1" applyAlignment="1">
      <alignment wrapText="1"/>
    </xf>
    <xf numFmtId="0" fontId="6" fillId="0" borderId="0" xfId="0" applyFont="1" applyFill="1" applyBorder="1" applyAlignment="1">
      <alignment wrapText="1"/>
    </xf>
    <xf numFmtId="0" fontId="5" fillId="0" borderId="18" xfId="0" applyFont="1" applyFill="1" applyBorder="1" applyAlignment="1">
      <alignment wrapText="1"/>
    </xf>
    <xf numFmtId="0" fontId="10" fillId="0" borderId="18" xfId="0" applyFont="1" applyFill="1" applyBorder="1" applyAlignment="1">
      <alignment wrapText="1"/>
    </xf>
    <xf numFmtId="164" fontId="14" fillId="0" borderId="10" xfId="0" applyNumberFormat="1" applyFont="1" applyFill="1" applyBorder="1" applyAlignment="1">
      <alignment horizontal="right"/>
    </xf>
    <xf numFmtId="164" fontId="3" fillId="0" borderId="10" xfId="0" applyNumberFormat="1" applyFont="1" applyFill="1" applyBorder="1" applyAlignment="1">
      <alignment horizontal="center"/>
    </xf>
    <xf numFmtId="164" fontId="6" fillId="0" borderId="32" xfId="0" applyNumberFormat="1" applyFont="1" applyFill="1" applyBorder="1" applyAlignment="1">
      <alignment horizontal="left" wrapText="1"/>
    </xf>
    <xf numFmtId="3" fontId="3" fillId="0" borderId="20" xfId="0" applyNumberFormat="1" applyFont="1" applyFill="1" applyBorder="1" applyAlignment="1">
      <alignment horizontal="center" wrapText="1"/>
    </xf>
    <xf numFmtId="168" fontId="6" fillId="0" borderId="20" xfId="0" applyNumberFormat="1" applyFont="1" applyFill="1" applyBorder="1" applyAlignment="1">
      <alignment horizontal="center"/>
    </xf>
    <xf numFmtId="164" fontId="3" fillId="0" borderId="20" xfId="0" applyNumberFormat="1" applyFont="1" applyFill="1" applyBorder="1" applyAlignment="1">
      <alignment horizontal="center"/>
    </xf>
    <xf numFmtId="3" fontId="6" fillId="0" borderId="33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right" wrapText="1"/>
    </xf>
    <xf numFmtId="3" fontId="6" fillId="0" borderId="34" xfId="0" applyNumberFormat="1" applyFont="1" applyFill="1" applyBorder="1" applyAlignment="1">
      <alignment horizontal="left"/>
    </xf>
    <xf numFmtId="0" fontId="3" fillId="0" borderId="18" xfId="0" applyFont="1" applyFill="1" applyBorder="1" applyAlignment="1">
      <alignment wrapText="1"/>
    </xf>
    <xf numFmtId="0" fontId="3" fillId="0" borderId="0" xfId="0" applyFont="1" applyFill="1" applyBorder="1" applyAlignment="1">
      <alignment wrapText="1"/>
    </xf>
    <xf numFmtId="3" fontId="6" fillId="0" borderId="0" xfId="56" applyNumberFormat="1" applyFont="1" applyFill="1" applyBorder="1" applyAlignment="1">
      <alignment horizontal="right" wrapText="1"/>
      <protection/>
    </xf>
    <xf numFmtId="3" fontId="12" fillId="0" borderId="10" xfId="0" applyNumberFormat="1" applyFont="1" applyFill="1" applyBorder="1" applyAlignment="1">
      <alignment/>
    </xf>
    <xf numFmtId="3" fontId="15" fillId="0" borderId="0" xfId="0" applyNumberFormat="1" applyFont="1" applyFill="1" applyAlignment="1">
      <alignment wrapText="1"/>
    </xf>
    <xf numFmtId="3" fontId="3" fillId="0" borderId="20" xfId="0" applyNumberFormat="1" applyFont="1" applyFill="1" applyBorder="1" applyAlignment="1">
      <alignment horizontal="right" wrapText="1"/>
    </xf>
    <xf numFmtId="168" fontId="6" fillId="0" borderId="20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 horizontal="right"/>
    </xf>
    <xf numFmtId="0" fontId="4" fillId="0" borderId="33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wrapText="1"/>
    </xf>
    <xf numFmtId="164" fontId="6" fillId="0" borderId="10" xfId="0" applyNumberFormat="1" applyFont="1" applyFill="1" applyBorder="1" applyAlignment="1">
      <alignment/>
    </xf>
    <xf numFmtId="164" fontId="11" fillId="0" borderId="10" xfId="0" applyNumberFormat="1" applyFont="1" applyFill="1" applyBorder="1" applyAlignment="1">
      <alignment/>
    </xf>
    <xf numFmtId="0" fontId="10" fillId="0" borderId="18" xfId="0" applyFont="1" applyFill="1" applyBorder="1" applyAlignment="1">
      <alignment/>
    </xf>
    <xf numFmtId="0" fontId="6" fillId="0" borderId="33" xfId="0" applyFont="1" applyFill="1" applyBorder="1" applyAlignment="1">
      <alignment wrapText="1"/>
    </xf>
    <xf numFmtId="0" fontId="6" fillId="0" borderId="0" xfId="0" applyFont="1" applyFill="1" applyBorder="1" applyAlignment="1">
      <alignment/>
    </xf>
    <xf numFmtId="0" fontId="10" fillId="0" borderId="18" xfId="0" applyNumberFormat="1" applyFont="1" applyFill="1" applyBorder="1" applyAlignment="1">
      <alignment horizontal="left" wrapText="1"/>
    </xf>
    <xf numFmtId="3" fontId="11" fillId="0" borderId="10" xfId="0" applyNumberFormat="1" applyFont="1" applyFill="1" applyBorder="1" applyAlignment="1">
      <alignment horizontal="right"/>
    </xf>
    <xf numFmtId="3" fontId="6" fillId="0" borderId="18" xfId="0" applyNumberFormat="1" applyFont="1" applyFill="1" applyBorder="1" applyAlignment="1">
      <alignment horizontal="left"/>
    </xf>
    <xf numFmtId="3" fontId="10" fillId="0" borderId="18" xfId="56" applyNumberFormat="1" applyFont="1" applyFill="1" applyBorder="1" applyAlignment="1">
      <alignment horizontal="left" wrapText="1"/>
      <protection/>
    </xf>
    <xf numFmtId="3" fontId="4" fillId="0" borderId="0" xfId="0" applyNumberFormat="1" applyFont="1" applyFill="1" applyBorder="1" applyAlignment="1">
      <alignment/>
    </xf>
    <xf numFmtId="3" fontId="6" fillId="0" borderId="18" xfId="0" applyNumberFormat="1" applyFont="1" applyFill="1" applyBorder="1" applyAlignment="1">
      <alignment/>
    </xf>
    <xf numFmtId="3" fontId="4" fillId="0" borderId="0" xfId="0" applyNumberFormat="1" applyFont="1" applyFill="1" applyAlignment="1">
      <alignment horizontal="left"/>
    </xf>
    <xf numFmtId="0" fontId="10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right" wrapText="1"/>
    </xf>
    <xf numFmtId="0" fontId="4" fillId="0" borderId="17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6" fillId="0" borderId="0" xfId="0" applyNumberFormat="1" applyFont="1" applyFill="1" applyBorder="1" applyAlignment="1">
      <alignment horizontal="center" wrapText="1"/>
    </xf>
    <xf numFmtId="164" fontId="6" fillId="0" borderId="10" xfId="0" applyNumberFormat="1" applyFont="1" applyFill="1" applyBorder="1" applyAlignment="1">
      <alignment horizontal="right"/>
    </xf>
    <xf numFmtId="3" fontId="6" fillId="0" borderId="17" xfId="0" applyNumberFormat="1" applyFont="1" applyFill="1" applyBorder="1" applyAlignment="1">
      <alignment horizontal="right"/>
    </xf>
    <xf numFmtId="0" fontId="4" fillId="0" borderId="17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center" wrapText="1"/>
    </xf>
    <xf numFmtId="3" fontId="10" fillId="0" borderId="36" xfId="0" applyNumberFormat="1" applyFont="1" applyFill="1" applyBorder="1" applyAlignment="1">
      <alignment wrapText="1"/>
    </xf>
    <xf numFmtId="3" fontId="6" fillId="0" borderId="16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164" fontId="6" fillId="0" borderId="1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wrapText="1"/>
    </xf>
    <xf numFmtId="0" fontId="8" fillId="0" borderId="0" xfId="0" applyNumberFormat="1" applyFont="1" applyFill="1" applyBorder="1" applyAlignment="1">
      <alignment horizontal="center" wrapText="1"/>
    </xf>
    <xf numFmtId="3" fontId="8" fillId="0" borderId="0" xfId="0" applyNumberFormat="1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center" wrapText="1"/>
    </xf>
    <xf numFmtId="168" fontId="6" fillId="0" borderId="17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37" xfId="0" applyNumberFormat="1" applyFont="1" applyFill="1" applyBorder="1" applyAlignment="1">
      <alignment horizontal="right"/>
    </xf>
    <xf numFmtId="3" fontId="9" fillId="0" borderId="38" xfId="56" applyNumberFormat="1" applyFont="1" applyFill="1" applyBorder="1" applyAlignment="1">
      <alignment horizontal="right" wrapText="1"/>
      <protection/>
    </xf>
    <xf numFmtId="3" fontId="7" fillId="0" borderId="35" xfId="0" applyNumberFormat="1" applyFont="1" applyFill="1" applyBorder="1" applyAlignment="1">
      <alignment horizontal="left"/>
    </xf>
    <xf numFmtId="0" fontId="8" fillId="0" borderId="37" xfId="0" applyNumberFormat="1" applyFont="1" applyFill="1" applyBorder="1" applyAlignment="1">
      <alignment horizontal="center"/>
    </xf>
    <xf numFmtId="3" fontId="8" fillId="0" borderId="37" xfId="0" applyNumberFormat="1" applyFont="1" applyFill="1" applyBorder="1" applyAlignment="1">
      <alignment horizontal="center"/>
    </xf>
    <xf numFmtId="3" fontId="9" fillId="0" borderId="26" xfId="56" applyNumberFormat="1" applyFont="1" applyFill="1" applyBorder="1" applyAlignment="1">
      <alignment horizontal="right" wrapText="1"/>
      <protection/>
    </xf>
    <xf numFmtId="168" fontId="8" fillId="0" borderId="26" xfId="0" applyNumberFormat="1" applyFont="1" applyFill="1" applyBorder="1" applyAlignment="1">
      <alignment horizontal="right"/>
    </xf>
    <xf numFmtId="3" fontId="9" fillId="0" borderId="27" xfId="0" applyNumberFormat="1" applyFont="1" applyFill="1" applyBorder="1" applyAlignment="1">
      <alignment wrapText="1"/>
    </xf>
    <xf numFmtId="3" fontId="9" fillId="0" borderId="39" xfId="0" applyNumberFormat="1" applyFont="1" applyFill="1" applyBorder="1" applyAlignment="1">
      <alignment wrapText="1"/>
    </xf>
    <xf numFmtId="3" fontId="9" fillId="0" borderId="25" xfId="56" applyNumberFormat="1" applyFont="1" applyFill="1" applyBorder="1" applyAlignment="1">
      <alignment horizontal="right" wrapText="1"/>
      <protection/>
    </xf>
    <xf numFmtId="3" fontId="7" fillId="0" borderId="27" xfId="0" applyNumberFormat="1" applyFont="1" applyFill="1" applyBorder="1" applyAlignment="1">
      <alignment horizontal="left"/>
    </xf>
    <xf numFmtId="3" fontId="8" fillId="0" borderId="25" xfId="0" applyNumberFormat="1" applyFont="1" applyFill="1" applyBorder="1" applyAlignment="1">
      <alignment/>
    </xf>
    <xf numFmtId="0" fontId="9" fillId="0" borderId="39" xfId="0" applyNumberFormat="1" applyFont="1" applyFill="1" applyBorder="1" applyAlignment="1">
      <alignment horizontal="center" wrapText="1"/>
    </xf>
    <xf numFmtId="3" fontId="9" fillId="0" borderId="39" xfId="0" applyNumberFormat="1" applyFont="1" applyFill="1" applyBorder="1" applyAlignment="1">
      <alignment horizontal="center" wrapText="1"/>
    </xf>
    <xf numFmtId="3" fontId="4" fillId="0" borderId="0" xfId="0" applyNumberFormat="1" applyFont="1" applyFill="1" applyBorder="1" applyAlignment="1">
      <alignment horizontal="right" wrapText="1"/>
    </xf>
    <xf numFmtId="3" fontId="16" fillId="0" borderId="0" xfId="0" applyNumberFormat="1" applyFont="1" applyFill="1" applyAlignment="1">
      <alignment/>
    </xf>
    <xf numFmtId="3" fontId="10" fillId="0" borderId="0" xfId="0" applyNumberFormat="1" applyFont="1" applyFill="1" applyAlignment="1">
      <alignment horizontal="left"/>
    </xf>
    <xf numFmtId="0" fontId="4" fillId="0" borderId="0" xfId="0" applyNumberFormat="1" applyFont="1" applyFill="1" applyBorder="1" applyAlignment="1">
      <alignment horizontal="center" wrapText="1"/>
    </xf>
    <xf numFmtId="0" fontId="10" fillId="0" borderId="18" xfId="0" applyFont="1" applyFill="1" applyBorder="1" applyAlignment="1">
      <alignment horizontal="left" wrapText="1"/>
    </xf>
    <xf numFmtId="3" fontId="6" fillId="0" borderId="11" xfId="0" applyNumberFormat="1" applyFont="1" applyFill="1" applyBorder="1" applyAlignment="1">
      <alignment vertical="center" wrapText="1"/>
    </xf>
    <xf numFmtId="164" fontId="6" fillId="0" borderId="34" xfId="0" applyNumberFormat="1" applyFont="1" applyFill="1" applyBorder="1" applyAlignment="1">
      <alignment horizontal="left" wrapText="1"/>
    </xf>
    <xf numFmtId="0" fontId="6" fillId="0" borderId="40" xfId="0" applyFont="1" applyFill="1" applyBorder="1" applyAlignment="1">
      <alignment/>
    </xf>
    <xf numFmtId="3" fontId="3" fillId="0" borderId="15" xfId="0" applyNumberFormat="1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wrapText="1"/>
    </xf>
    <xf numFmtId="168" fontId="6" fillId="0" borderId="15" xfId="0" applyNumberFormat="1" applyFont="1" applyFill="1" applyBorder="1" applyAlignment="1">
      <alignment horizontal="right"/>
    </xf>
    <xf numFmtId="164" fontId="3" fillId="0" borderId="15" xfId="0" applyNumberFormat="1" applyFont="1" applyFill="1" applyBorder="1" applyAlignment="1">
      <alignment horizontal="right"/>
    </xf>
    <xf numFmtId="0" fontId="6" fillId="0" borderId="28" xfId="0" applyFont="1" applyFill="1" applyBorder="1" applyAlignment="1">
      <alignment/>
    </xf>
    <xf numFmtId="3" fontId="8" fillId="0" borderId="41" xfId="0" applyNumberFormat="1" applyFont="1" applyFill="1" applyBorder="1" applyAlignment="1">
      <alignment horizontal="right"/>
    </xf>
    <xf numFmtId="3" fontId="9" fillId="0" borderId="22" xfId="56" applyNumberFormat="1" applyFont="1" applyFill="1" applyBorder="1" applyAlignment="1">
      <alignment horizontal="right" wrapText="1"/>
      <protection/>
    </xf>
    <xf numFmtId="168" fontId="8" fillId="0" borderId="22" xfId="0" applyNumberFormat="1" applyFont="1" applyFill="1" applyBorder="1" applyAlignment="1">
      <alignment horizontal="right"/>
    </xf>
    <xf numFmtId="3" fontId="8" fillId="0" borderId="42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/>
    </xf>
    <xf numFmtId="3" fontId="8" fillId="0" borderId="40" xfId="0" applyNumberFormat="1" applyFont="1" applyFill="1" applyBorder="1" applyAlignment="1">
      <alignment wrapText="1"/>
    </xf>
    <xf numFmtId="3" fontId="9" fillId="0" borderId="15" xfId="0" applyNumberFormat="1" applyFont="1" applyFill="1" applyBorder="1" applyAlignment="1">
      <alignment horizontal="right" wrapText="1"/>
    </xf>
    <xf numFmtId="3" fontId="8" fillId="0" borderId="28" xfId="0" applyNumberFormat="1" applyFont="1" applyFill="1" applyBorder="1" applyAlignment="1">
      <alignment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43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center" vertical="center" wrapText="1"/>
    </xf>
    <xf numFmtId="0" fontId="5" fillId="0" borderId="45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 wrapText="1"/>
    </xf>
    <xf numFmtId="3" fontId="9" fillId="0" borderId="33" xfId="0" applyNumberFormat="1" applyFont="1" applyFill="1" applyBorder="1" applyAlignment="1">
      <alignment horizontal="center" vertical="center" wrapText="1"/>
    </xf>
    <xf numFmtId="0" fontId="5" fillId="0" borderId="24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Fill="1" applyBorder="1" applyAlignment="1">
      <alignment horizontal="center" vertical="center" wrapText="1"/>
    </xf>
    <xf numFmtId="3" fontId="17" fillId="0" borderId="40" xfId="0" applyNumberFormat="1" applyFont="1" applyFill="1" applyBorder="1" applyAlignment="1">
      <alignment horizontal="center" vertical="center" wrapText="1"/>
    </xf>
    <xf numFmtId="3" fontId="17" fillId="0" borderId="21" xfId="0" applyNumberFormat="1" applyFont="1" applyFill="1" applyBorder="1" applyAlignment="1">
      <alignment horizontal="center" vertical="center" wrapText="1"/>
    </xf>
    <xf numFmtId="3" fontId="8" fillId="0" borderId="46" xfId="0" applyNumberFormat="1" applyFont="1" applyFill="1" applyBorder="1" applyAlignment="1">
      <alignment horizontal="center" vertical="center" wrapText="1"/>
    </xf>
    <xf numFmtId="168" fontId="8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_Pályázatok 200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191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:A2"/>
    </sheetView>
  </sheetViews>
  <sheetFormatPr defaultColWidth="9.00390625" defaultRowHeight="12.75"/>
  <cols>
    <col min="1" max="1" width="71.00390625" style="26" customWidth="1"/>
    <col min="2" max="3" width="13.00390625" style="13" customWidth="1"/>
    <col min="4" max="4" width="13.00390625" style="167" customWidth="1"/>
    <col min="5" max="5" width="11.125" style="40" customWidth="1"/>
    <col min="6" max="6" width="12.75390625" style="167" customWidth="1"/>
    <col min="7" max="7" width="9.75390625" style="40" customWidth="1"/>
    <col min="8" max="8" width="40.00390625" style="13" customWidth="1"/>
    <col min="9" max="43" width="38.625" style="13" customWidth="1"/>
    <col min="44" max="44" width="2.625" style="13" customWidth="1"/>
    <col min="45" max="45" width="12.125" style="75" customWidth="1"/>
    <col min="46" max="46" width="12.25390625" style="75" customWidth="1"/>
    <col min="47" max="47" width="12.00390625" style="145" customWidth="1"/>
    <col min="48" max="48" width="11.75390625" style="168" customWidth="1"/>
    <col min="49" max="49" width="11.875" style="75" customWidth="1"/>
    <col min="50" max="50" width="10.625" style="75" customWidth="1"/>
    <col min="51" max="51" width="11.00390625" style="75" customWidth="1"/>
    <col min="52" max="52" width="38.875" style="169" customWidth="1"/>
    <col min="53" max="53" width="12.125" style="74" customWidth="1"/>
    <col min="54" max="54" width="27.00390625" style="75" customWidth="1"/>
    <col min="55" max="55" width="29.125" style="75" customWidth="1"/>
    <col min="56" max="58" width="13.00390625" style="13" customWidth="1"/>
    <col min="59" max="59" width="13.00390625" style="170" customWidth="1"/>
    <col min="60" max="60" width="13.00390625" style="13" customWidth="1"/>
    <col min="61" max="61" width="13.00390625" style="141" customWidth="1"/>
    <col min="62" max="62" width="13.00390625" style="13" customWidth="1"/>
    <col min="63" max="16384" width="9.125" style="75" customWidth="1"/>
  </cols>
  <sheetData>
    <row r="1" spans="1:62" s="31" customFormat="1" ht="24" customHeight="1">
      <c r="A1" s="196" t="s">
        <v>14</v>
      </c>
      <c r="B1" s="198" t="s">
        <v>179</v>
      </c>
      <c r="C1" s="198"/>
      <c r="D1" s="198" t="s">
        <v>83</v>
      </c>
      <c r="E1" s="198"/>
      <c r="F1" s="199" t="s">
        <v>255</v>
      </c>
      <c r="G1" s="199"/>
      <c r="H1" s="192" t="s">
        <v>17</v>
      </c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  <c r="AG1" s="43"/>
      <c r="AH1" s="43"/>
      <c r="AI1" s="43"/>
      <c r="AJ1" s="43"/>
      <c r="AK1" s="43"/>
      <c r="AL1" s="43"/>
      <c r="AM1" s="43"/>
      <c r="AN1" s="43"/>
      <c r="AO1" s="43"/>
      <c r="AP1" s="43"/>
      <c r="AQ1" s="43"/>
      <c r="AR1" s="43"/>
      <c r="AS1" s="44" t="s">
        <v>15</v>
      </c>
      <c r="AT1" s="45" t="s">
        <v>78</v>
      </c>
      <c r="AU1" s="46" t="s">
        <v>79</v>
      </c>
      <c r="AV1" s="47" t="s">
        <v>16</v>
      </c>
      <c r="AW1" s="45" t="s">
        <v>80</v>
      </c>
      <c r="AX1" s="45" t="s">
        <v>81</v>
      </c>
      <c r="AY1" s="45" t="s">
        <v>82</v>
      </c>
      <c r="AZ1" s="48" t="s">
        <v>17</v>
      </c>
      <c r="BA1" s="30"/>
      <c r="BD1" s="188" t="s">
        <v>180</v>
      </c>
      <c r="BE1" s="188" t="s">
        <v>181</v>
      </c>
      <c r="BF1" s="188" t="s">
        <v>182</v>
      </c>
      <c r="BG1" s="194" t="s">
        <v>183</v>
      </c>
      <c r="BH1" s="188" t="s">
        <v>184</v>
      </c>
      <c r="BI1" s="188" t="s">
        <v>185</v>
      </c>
      <c r="BJ1" s="190" t="s">
        <v>186</v>
      </c>
    </row>
    <row r="2" spans="1:62" s="31" customFormat="1" ht="24" customHeight="1">
      <c r="A2" s="197"/>
      <c r="B2" s="38" t="s">
        <v>84</v>
      </c>
      <c r="C2" s="38" t="s">
        <v>254</v>
      </c>
      <c r="D2" s="38" t="s">
        <v>85</v>
      </c>
      <c r="E2" s="39" t="s">
        <v>86</v>
      </c>
      <c r="F2" s="38" t="s">
        <v>85</v>
      </c>
      <c r="G2" s="39" t="s">
        <v>86</v>
      </c>
      <c r="H2" s="193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50"/>
      <c r="AT2" s="51"/>
      <c r="AU2" s="52"/>
      <c r="AV2" s="53"/>
      <c r="AW2" s="51"/>
      <c r="AX2" s="51"/>
      <c r="AY2" s="51"/>
      <c r="AZ2" s="54"/>
      <c r="BA2" s="30"/>
      <c r="BD2" s="189"/>
      <c r="BE2" s="189"/>
      <c r="BF2" s="189"/>
      <c r="BG2" s="195"/>
      <c r="BH2" s="189"/>
      <c r="BI2" s="189"/>
      <c r="BJ2" s="191"/>
    </row>
    <row r="3" spans="1:62" s="31" customFormat="1" ht="24" customHeight="1">
      <c r="A3" s="2" t="s">
        <v>18</v>
      </c>
      <c r="B3" s="14"/>
      <c r="C3" s="14"/>
      <c r="D3" s="55"/>
      <c r="E3" s="56"/>
      <c r="F3" s="55"/>
      <c r="G3" s="56"/>
      <c r="H3" s="57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0"/>
      <c r="AT3" s="51"/>
      <c r="AU3" s="59"/>
      <c r="AV3" s="60"/>
      <c r="AW3" s="51"/>
      <c r="AX3" s="51"/>
      <c r="AY3" s="51"/>
      <c r="AZ3" s="61"/>
      <c r="BA3" s="30"/>
      <c r="BD3" s="58"/>
      <c r="BE3" s="58"/>
      <c r="BF3" s="58"/>
      <c r="BG3" s="62"/>
      <c r="BH3" s="58"/>
      <c r="BI3" s="63"/>
      <c r="BJ3" s="58"/>
    </row>
    <row r="4" spans="1:62" s="31" customFormat="1" ht="20.25" customHeight="1">
      <c r="A4" s="3" t="s">
        <v>20</v>
      </c>
      <c r="B4" s="15">
        <v>377</v>
      </c>
      <c r="C4" s="15">
        <v>377</v>
      </c>
      <c r="D4" s="22">
        <v>377</v>
      </c>
      <c r="E4" s="24">
        <f aca="true" t="shared" si="0" ref="E4:E22">+D4/C4*100</f>
        <v>100</v>
      </c>
      <c r="F4" s="18">
        <v>377</v>
      </c>
      <c r="G4" s="24">
        <f aca="true" t="shared" si="1" ref="G4:G22">+F4/C4*100</f>
        <v>100</v>
      </c>
      <c r="H4" s="64" t="s">
        <v>94</v>
      </c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  <c r="AQ4" s="65"/>
      <c r="AR4" s="66"/>
      <c r="AS4" s="27">
        <f aca="true" t="shared" si="2" ref="AS4:AS17">+AT4+AU4+AW4+AX4</f>
        <v>4119</v>
      </c>
      <c r="AT4" s="28">
        <f>175+3567</f>
        <v>3742</v>
      </c>
      <c r="AU4" s="15">
        <v>377</v>
      </c>
      <c r="AV4" s="29">
        <f>+AU4</f>
        <v>377</v>
      </c>
      <c r="AW4" s="28">
        <v>0</v>
      </c>
      <c r="AX4" s="28">
        <v>0</v>
      </c>
      <c r="AY4" s="28"/>
      <c r="AZ4" s="67" t="s">
        <v>142</v>
      </c>
      <c r="BA4" s="30"/>
      <c r="BD4" s="15">
        <v>377</v>
      </c>
      <c r="BE4" s="40">
        <f aca="true" t="shared" si="3" ref="BE4:BE21">+BD4/1.2</f>
        <v>314.1666666666667</v>
      </c>
      <c r="BF4" s="40">
        <f aca="true" t="shared" si="4" ref="BF4:BF21">+BE4*0.2</f>
        <v>62.83333333333334</v>
      </c>
      <c r="BG4" s="68">
        <v>1254</v>
      </c>
      <c r="BH4" s="68" t="s">
        <v>187</v>
      </c>
      <c r="BI4" s="69">
        <v>452025</v>
      </c>
      <c r="BJ4" s="69">
        <v>160100</v>
      </c>
    </row>
    <row r="5" spans="1:62" s="31" customFormat="1" ht="20.25" customHeight="1">
      <c r="A5" s="4" t="s">
        <v>88</v>
      </c>
      <c r="B5" s="15">
        <v>1320</v>
      </c>
      <c r="C5" s="15">
        <f>1320-1080</f>
        <v>240</v>
      </c>
      <c r="D5" s="22">
        <v>240</v>
      </c>
      <c r="E5" s="24">
        <f t="shared" si="0"/>
        <v>100</v>
      </c>
      <c r="F5" s="18">
        <v>240</v>
      </c>
      <c r="G5" s="24">
        <f t="shared" si="1"/>
        <v>100</v>
      </c>
      <c r="H5" s="70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27">
        <f t="shared" si="2"/>
        <v>1320</v>
      </c>
      <c r="AT5" s="28">
        <v>0</v>
      </c>
      <c r="AU5" s="15">
        <v>1320</v>
      </c>
      <c r="AV5" s="29">
        <f>+AU5</f>
        <v>1320</v>
      </c>
      <c r="AW5" s="28">
        <v>0</v>
      </c>
      <c r="AX5" s="28">
        <v>0</v>
      </c>
      <c r="AY5" s="28"/>
      <c r="AZ5" s="67"/>
      <c r="BA5" s="30"/>
      <c r="BD5" s="15">
        <v>1320</v>
      </c>
      <c r="BE5" s="40">
        <f t="shared" si="3"/>
        <v>1100</v>
      </c>
      <c r="BF5" s="40">
        <f t="shared" si="4"/>
        <v>220</v>
      </c>
      <c r="BG5" s="68">
        <v>1254</v>
      </c>
      <c r="BH5" s="68" t="s">
        <v>187</v>
      </c>
      <c r="BI5" s="69">
        <v>452025</v>
      </c>
      <c r="BJ5" s="69">
        <v>160100</v>
      </c>
    </row>
    <row r="6" spans="1:62" s="31" customFormat="1" ht="20.25" customHeight="1">
      <c r="A6" s="3" t="s">
        <v>140</v>
      </c>
      <c r="B6" s="15">
        <v>304</v>
      </c>
      <c r="C6" s="15">
        <v>304</v>
      </c>
      <c r="D6" s="71" t="s">
        <v>166</v>
      </c>
      <c r="E6" s="72" t="s">
        <v>166</v>
      </c>
      <c r="F6" s="71" t="s">
        <v>166</v>
      </c>
      <c r="G6" s="72" t="s">
        <v>166</v>
      </c>
      <c r="H6" s="70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27">
        <f t="shared" si="2"/>
        <v>804</v>
      </c>
      <c r="AT6" s="28">
        <v>500</v>
      </c>
      <c r="AU6" s="15">
        <v>304</v>
      </c>
      <c r="AV6" s="29">
        <f>+AU6</f>
        <v>304</v>
      </c>
      <c r="AW6" s="28">
        <v>0</v>
      </c>
      <c r="AX6" s="28">
        <v>0</v>
      </c>
      <c r="AY6" s="28"/>
      <c r="AZ6" s="67"/>
      <c r="BA6" s="30"/>
      <c r="BD6" s="15">
        <v>304</v>
      </c>
      <c r="BE6" s="40">
        <f t="shared" si="3"/>
        <v>253.33333333333334</v>
      </c>
      <c r="BF6" s="40">
        <f t="shared" si="4"/>
        <v>50.66666666666667</v>
      </c>
      <c r="BG6" s="68">
        <v>1254</v>
      </c>
      <c r="BH6" s="68" t="s">
        <v>187</v>
      </c>
      <c r="BI6" s="69">
        <v>452025</v>
      </c>
      <c r="BJ6" s="69">
        <v>160100</v>
      </c>
    </row>
    <row r="7" spans="1:62" s="74" customFormat="1" ht="20.25" customHeight="1">
      <c r="A7" s="5" t="s">
        <v>3</v>
      </c>
      <c r="B7" s="16">
        <v>15000</v>
      </c>
      <c r="C7" s="16">
        <v>0</v>
      </c>
      <c r="D7" s="71" t="s">
        <v>166</v>
      </c>
      <c r="E7" s="72" t="s">
        <v>166</v>
      </c>
      <c r="F7" s="71" t="s">
        <v>166</v>
      </c>
      <c r="G7" s="72" t="s">
        <v>166</v>
      </c>
      <c r="H7" s="25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7">
        <f t="shared" si="2"/>
        <v>50874</v>
      </c>
      <c r="AT7" s="28">
        <f>4674+1200</f>
        <v>5874</v>
      </c>
      <c r="AU7" s="16">
        <v>15000</v>
      </c>
      <c r="AV7" s="73">
        <f>+AU7</f>
        <v>15000</v>
      </c>
      <c r="AW7" s="28">
        <v>15000</v>
      </c>
      <c r="AX7" s="28">
        <v>15000</v>
      </c>
      <c r="AY7" s="28"/>
      <c r="AZ7" s="67"/>
      <c r="BB7" s="67"/>
      <c r="BC7" s="75"/>
      <c r="BD7" s="16">
        <v>15000</v>
      </c>
      <c r="BE7" s="40">
        <f t="shared" si="3"/>
        <v>12500</v>
      </c>
      <c r="BF7" s="40">
        <f t="shared" si="4"/>
        <v>2500</v>
      </c>
      <c r="BG7" s="68">
        <v>1254</v>
      </c>
      <c r="BH7" s="68" t="s">
        <v>187</v>
      </c>
      <c r="BI7" s="69">
        <v>452025</v>
      </c>
      <c r="BJ7" s="69">
        <v>160100</v>
      </c>
    </row>
    <row r="8" spans="1:62" s="74" customFormat="1" ht="20.25" customHeight="1">
      <c r="A8" s="5" t="s">
        <v>229</v>
      </c>
      <c r="B8" s="16" t="s">
        <v>199</v>
      </c>
      <c r="C8" s="16">
        <f>4770+192</f>
        <v>4962</v>
      </c>
      <c r="D8" s="16">
        <f>4770+192</f>
        <v>4962</v>
      </c>
      <c r="E8" s="24">
        <f t="shared" si="0"/>
        <v>100</v>
      </c>
      <c r="F8" s="18">
        <f>154+38</f>
        <v>192</v>
      </c>
      <c r="G8" s="24">
        <f t="shared" si="1"/>
        <v>3.869407496977025</v>
      </c>
      <c r="H8" s="25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7"/>
      <c r="AT8" s="28"/>
      <c r="AU8" s="16"/>
      <c r="AV8" s="73"/>
      <c r="AW8" s="28"/>
      <c r="AX8" s="28"/>
      <c r="AY8" s="28"/>
      <c r="AZ8" s="67"/>
      <c r="BB8" s="67"/>
      <c r="BC8" s="75"/>
      <c r="BD8" s="16"/>
      <c r="BE8" s="40"/>
      <c r="BF8" s="40"/>
      <c r="BG8" s="68"/>
      <c r="BH8" s="68"/>
      <c r="BI8" s="69"/>
      <c r="BJ8" s="69"/>
    </row>
    <row r="9" spans="1:62" s="74" customFormat="1" ht="20.25" customHeight="1">
      <c r="A9" s="5" t="s">
        <v>230</v>
      </c>
      <c r="B9" s="16" t="s">
        <v>199</v>
      </c>
      <c r="C9" s="16">
        <f>6619+258</f>
        <v>6877</v>
      </c>
      <c r="D9" s="16">
        <f>6619+258</f>
        <v>6877</v>
      </c>
      <c r="E9" s="24">
        <f t="shared" si="0"/>
        <v>100</v>
      </c>
      <c r="F9" s="18">
        <v>258</v>
      </c>
      <c r="G9" s="24">
        <f t="shared" si="1"/>
        <v>3.751635887741748</v>
      </c>
      <c r="H9" s="25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7"/>
      <c r="AT9" s="28"/>
      <c r="AU9" s="16"/>
      <c r="AV9" s="73"/>
      <c r="AW9" s="28"/>
      <c r="AX9" s="28"/>
      <c r="AY9" s="28"/>
      <c r="AZ9" s="67"/>
      <c r="BB9" s="67"/>
      <c r="BC9" s="75"/>
      <c r="BD9" s="16"/>
      <c r="BE9" s="40"/>
      <c r="BF9" s="40"/>
      <c r="BG9" s="68"/>
      <c r="BH9" s="68"/>
      <c r="BI9" s="69"/>
      <c r="BJ9" s="69"/>
    </row>
    <row r="10" spans="1:62" s="74" customFormat="1" ht="20.25" customHeight="1">
      <c r="A10" s="5" t="s">
        <v>231</v>
      </c>
      <c r="B10" s="16" t="s">
        <v>199</v>
      </c>
      <c r="C10" s="16">
        <f>3757+108</f>
        <v>3865</v>
      </c>
      <c r="D10" s="16">
        <f>3757+108</f>
        <v>3865</v>
      </c>
      <c r="E10" s="24">
        <f t="shared" si="0"/>
        <v>100</v>
      </c>
      <c r="F10" s="18">
        <v>108</v>
      </c>
      <c r="G10" s="24">
        <f t="shared" si="1"/>
        <v>2.794307891332471</v>
      </c>
      <c r="H10" s="25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7"/>
      <c r="AT10" s="28"/>
      <c r="AU10" s="16"/>
      <c r="AV10" s="73"/>
      <c r="AW10" s="28"/>
      <c r="AX10" s="28"/>
      <c r="AY10" s="28"/>
      <c r="AZ10" s="67"/>
      <c r="BB10" s="67"/>
      <c r="BC10" s="75"/>
      <c r="BD10" s="16"/>
      <c r="BE10" s="40"/>
      <c r="BF10" s="40"/>
      <c r="BG10" s="68"/>
      <c r="BH10" s="68"/>
      <c r="BI10" s="69"/>
      <c r="BJ10" s="69"/>
    </row>
    <row r="11" spans="1:62" s="74" customFormat="1" ht="20.25" customHeight="1">
      <c r="A11" s="5" t="s">
        <v>232</v>
      </c>
      <c r="B11" s="16" t="s">
        <v>199</v>
      </c>
      <c r="C11" s="16">
        <v>4380</v>
      </c>
      <c r="D11" s="16">
        <v>4380</v>
      </c>
      <c r="E11" s="24">
        <f t="shared" si="0"/>
        <v>100</v>
      </c>
      <c r="F11" s="71" t="s">
        <v>166</v>
      </c>
      <c r="G11" s="71" t="s">
        <v>166</v>
      </c>
      <c r="H11" s="25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7"/>
      <c r="AT11" s="28"/>
      <c r="AU11" s="16"/>
      <c r="AV11" s="73"/>
      <c r="AW11" s="28"/>
      <c r="AX11" s="28"/>
      <c r="AY11" s="28"/>
      <c r="AZ11" s="67"/>
      <c r="BB11" s="67"/>
      <c r="BC11" s="75"/>
      <c r="BD11" s="16"/>
      <c r="BE11" s="40"/>
      <c r="BF11" s="40"/>
      <c r="BG11" s="68"/>
      <c r="BH11" s="68"/>
      <c r="BI11" s="69"/>
      <c r="BJ11" s="69"/>
    </row>
    <row r="12" spans="1:62" s="74" customFormat="1" ht="20.25" customHeight="1">
      <c r="A12" s="5" t="s">
        <v>251</v>
      </c>
      <c r="B12" s="16" t="s">
        <v>199</v>
      </c>
      <c r="C12" s="16">
        <f>1623+115</f>
        <v>1738</v>
      </c>
      <c r="D12" s="16">
        <f>1623+115</f>
        <v>1738</v>
      </c>
      <c r="E12" s="24">
        <f t="shared" si="0"/>
        <v>100</v>
      </c>
      <c r="F12" s="18">
        <v>115</v>
      </c>
      <c r="G12" s="24">
        <f t="shared" si="1"/>
        <v>6.61680092059839</v>
      </c>
      <c r="H12" s="25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7"/>
      <c r="AT12" s="28"/>
      <c r="AU12" s="16"/>
      <c r="AV12" s="73"/>
      <c r="AW12" s="28"/>
      <c r="AX12" s="28"/>
      <c r="AY12" s="28"/>
      <c r="AZ12" s="67"/>
      <c r="BB12" s="67"/>
      <c r="BC12" s="75"/>
      <c r="BD12" s="16"/>
      <c r="BE12" s="40"/>
      <c r="BF12" s="40"/>
      <c r="BG12" s="68"/>
      <c r="BH12" s="68"/>
      <c r="BI12" s="69"/>
      <c r="BJ12" s="69"/>
    </row>
    <row r="13" spans="1:62" s="74" customFormat="1" ht="20.25" customHeight="1">
      <c r="A13" s="5" t="s">
        <v>58</v>
      </c>
      <c r="B13" s="16">
        <v>3000</v>
      </c>
      <c r="C13" s="16">
        <v>3000</v>
      </c>
      <c r="D13" s="22">
        <v>2861</v>
      </c>
      <c r="E13" s="24">
        <f t="shared" si="0"/>
        <v>95.36666666666666</v>
      </c>
      <c r="F13" s="18">
        <v>2861</v>
      </c>
      <c r="G13" s="24">
        <f t="shared" si="1"/>
        <v>95.36666666666666</v>
      </c>
      <c r="H13" s="25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7">
        <f t="shared" si="2"/>
        <v>12000</v>
      </c>
      <c r="AT13" s="28">
        <v>3000</v>
      </c>
      <c r="AU13" s="16">
        <v>3000</v>
      </c>
      <c r="AV13" s="73">
        <f>+AU13</f>
        <v>3000</v>
      </c>
      <c r="AW13" s="28">
        <f>+AU13</f>
        <v>3000</v>
      </c>
      <c r="AX13" s="28">
        <f>+AU13</f>
        <v>3000</v>
      </c>
      <c r="AY13" s="28"/>
      <c r="AZ13" s="67"/>
      <c r="BB13" s="67"/>
      <c r="BC13" s="75"/>
      <c r="BD13" s="16">
        <v>3000</v>
      </c>
      <c r="BE13" s="40">
        <f t="shared" si="3"/>
        <v>2500</v>
      </c>
      <c r="BF13" s="40">
        <f t="shared" si="4"/>
        <v>500</v>
      </c>
      <c r="BG13" s="68">
        <v>1254</v>
      </c>
      <c r="BH13" s="68" t="s">
        <v>187</v>
      </c>
      <c r="BI13" s="69">
        <v>452025</v>
      </c>
      <c r="BJ13" s="69">
        <v>160100</v>
      </c>
    </row>
    <row r="14" spans="1:62" s="74" customFormat="1" ht="20.25" customHeight="1">
      <c r="A14" s="5" t="s">
        <v>131</v>
      </c>
      <c r="B14" s="16">
        <v>6000</v>
      </c>
      <c r="C14" s="16">
        <v>6000</v>
      </c>
      <c r="D14" s="22">
        <v>5712</v>
      </c>
      <c r="E14" s="24">
        <f t="shared" si="0"/>
        <v>95.19999999999999</v>
      </c>
      <c r="F14" s="18">
        <f>4570-600</f>
        <v>3970</v>
      </c>
      <c r="G14" s="24">
        <f t="shared" si="1"/>
        <v>66.16666666666666</v>
      </c>
      <c r="H14" s="25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7">
        <f t="shared" si="2"/>
        <v>6000</v>
      </c>
      <c r="AT14" s="28">
        <v>0</v>
      </c>
      <c r="AU14" s="16">
        <v>6000</v>
      </c>
      <c r="AV14" s="73">
        <v>3000</v>
      </c>
      <c r="AW14" s="28">
        <v>0</v>
      </c>
      <c r="AX14" s="28">
        <v>0</v>
      </c>
      <c r="AY14" s="28"/>
      <c r="AZ14" s="67" t="s">
        <v>4</v>
      </c>
      <c r="BB14" s="67"/>
      <c r="BC14" s="75"/>
      <c r="BD14" s="16">
        <v>6000</v>
      </c>
      <c r="BE14" s="40">
        <f t="shared" si="3"/>
        <v>5000</v>
      </c>
      <c r="BF14" s="40">
        <f t="shared" si="4"/>
        <v>1000</v>
      </c>
      <c r="BG14" s="68">
        <v>1254</v>
      </c>
      <c r="BH14" s="68" t="s">
        <v>187</v>
      </c>
      <c r="BI14" s="69">
        <v>452025</v>
      </c>
      <c r="BJ14" s="69">
        <v>160100</v>
      </c>
    </row>
    <row r="15" spans="1:62" s="74" customFormat="1" ht="20.25" customHeight="1">
      <c r="A15" s="5" t="s">
        <v>235</v>
      </c>
      <c r="B15" s="16">
        <v>0</v>
      </c>
      <c r="C15" s="16">
        <v>1700</v>
      </c>
      <c r="D15" s="71" t="s">
        <v>166</v>
      </c>
      <c r="E15" s="71" t="s">
        <v>166</v>
      </c>
      <c r="F15" s="71" t="s">
        <v>166</v>
      </c>
      <c r="G15" s="71" t="s">
        <v>166</v>
      </c>
      <c r="H15" s="25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7">
        <f>+AT15+AU15+AW15+AX15</f>
        <v>6000</v>
      </c>
      <c r="AT15" s="28">
        <v>0</v>
      </c>
      <c r="AU15" s="16">
        <v>6000</v>
      </c>
      <c r="AV15" s="73">
        <v>3000</v>
      </c>
      <c r="AW15" s="28">
        <v>0</v>
      </c>
      <c r="AX15" s="28">
        <v>0</v>
      </c>
      <c r="AY15" s="28"/>
      <c r="AZ15" s="67" t="s">
        <v>4</v>
      </c>
      <c r="BB15" s="67"/>
      <c r="BC15" s="75"/>
      <c r="BD15" s="16">
        <v>6000</v>
      </c>
      <c r="BE15" s="40">
        <f>+BD15/1.2</f>
        <v>5000</v>
      </c>
      <c r="BF15" s="40">
        <f>+BE15*0.2</f>
        <v>1000</v>
      </c>
      <c r="BG15" s="68">
        <v>1254</v>
      </c>
      <c r="BH15" s="68" t="s">
        <v>187</v>
      </c>
      <c r="BI15" s="69">
        <v>452025</v>
      </c>
      <c r="BJ15" s="69">
        <v>160100</v>
      </c>
    </row>
    <row r="16" spans="1:62" ht="20.25" customHeight="1">
      <c r="A16" s="5" t="s">
        <v>129</v>
      </c>
      <c r="B16" s="16">
        <v>2500</v>
      </c>
      <c r="C16" s="16">
        <v>2500</v>
      </c>
      <c r="D16" s="22">
        <f>192+2160</f>
        <v>2352</v>
      </c>
      <c r="E16" s="24">
        <f t="shared" si="0"/>
        <v>94.08</v>
      </c>
      <c r="F16" s="18">
        <v>192</v>
      </c>
      <c r="G16" s="24">
        <f t="shared" si="1"/>
        <v>7.68</v>
      </c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7">
        <f t="shared" si="2"/>
        <v>2500</v>
      </c>
      <c r="AT16" s="28">
        <v>0</v>
      </c>
      <c r="AU16" s="16">
        <v>2500</v>
      </c>
      <c r="AV16" s="73">
        <f aca="true" t="shared" si="5" ref="AV16:AV21">+AU16</f>
        <v>2500</v>
      </c>
      <c r="AW16" s="28">
        <v>0</v>
      </c>
      <c r="AX16" s="28">
        <v>0</v>
      </c>
      <c r="AY16" s="28"/>
      <c r="AZ16" s="67" t="s">
        <v>130</v>
      </c>
      <c r="BB16" s="67"/>
      <c r="BD16" s="16">
        <v>2500</v>
      </c>
      <c r="BE16" s="40">
        <f t="shared" si="3"/>
        <v>2083.3333333333335</v>
      </c>
      <c r="BF16" s="40">
        <f t="shared" si="4"/>
        <v>416.66666666666674</v>
      </c>
      <c r="BG16" s="68">
        <v>1254</v>
      </c>
      <c r="BH16" s="68" t="s">
        <v>187</v>
      </c>
      <c r="BI16" s="69">
        <v>452025</v>
      </c>
      <c r="BJ16" s="69">
        <v>160100</v>
      </c>
    </row>
    <row r="17" spans="1:62" ht="20.25" customHeight="1">
      <c r="A17" s="5" t="s">
        <v>99</v>
      </c>
      <c r="B17" s="16">
        <v>3000</v>
      </c>
      <c r="C17" s="16">
        <v>3000</v>
      </c>
      <c r="D17" s="22">
        <f>276+2724</f>
        <v>3000</v>
      </c>
      <c r="E17" s="24">
        <f t="shared" si="0"/>
        <v>100</v>
      </c>
      <c r="F17" s="18">
        <v>276</v>
      </c>
      <c r="G17" s="24">
        <f t="shared" si="1"/>
        <v>9.2</v>
      </c>
      <c r="H17" s="25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7">
        <f t="shared" si="2"/>
        <v>6000</v>
      </c>
      <c r="AT17" s="28">
        <v>3000</v>
      </c>
      <c r="AU17" s="16">
        <v>3000</v>
      </c>
      <c r="AV17" s="73">
        <f t="shared" si="5"/>
        <v>3000</v>
      </c>
      <c r="AW17" s="28">
        <v>0</v>
      </c>
      <c r="AX17" s="28">
        <v>0</v>
      </c>
      <c r="AY17" s="28"/>
      <c r="AZ17" s="23"/>
      <c r="BB17" s="67"/>
      <c r="BD17" s="16">
        <v>3000</v>
      </c>
      <c r="BE17" s="40">
        <f t="shared" si="3"/>
        <v>2500</v>
      </c>
      <c r="BF17" s="40">
        <f t="shared" si="4"/>
        <v>500</v>
      </c>
      <c r="BG17" s="68">
        <v>1254</v>
      </c>
      <c r="BH17" s="68" t="s">
        <v>187</v>
      </c>
      <c r="BI17" s="69">
        <v>452025</v>
      </c>
      <c r="BJ17" s="69">
        <v>160100</v>
      </c>
    </row>
    <row r="18" spans="1:62" s="31" customFormat="1" ht="20.25" customHeight="1">
      <c r="A18" s="3" t="s">
        <v>19</v>
      </c>
      <c r="B18" s="15">
        <v>6036</v>
      </c>
      <c r="C18" s="15">
        <v>6036</v>
      </c>
      <c r="D18" s="22">
        <f>36+71+12+440+33</f>
        <v>592</v>
      </c>
      <c r="E18" s="24">
        <f>+D18/C18*100</f>
        <v>9.807819748177602</v>
      </c>
      <c r="F18" s="18">
        <v>592</v>
      </c>
      <c r="G18" s="24">
        <f>+F18/C18*100</f>
        <v>9.807819748177602</v>
      </c>
      <c r="H18" s="25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7">
        <f>+AT18+AU18+AW18+AX18</f>
        <v>7010</v>
      </c>
      <c r="AT18" s="28">
        <v>974</v>
      </c>
      <c r="AU18" s="15">
        <v>6036</v>
      </c>
      <c r="AV18" s="29">
        <f t="shared" si="5"/>
        <v>6036</v>
      </c>
      <c r="AW18" s="28">
        <v>0</v>
      </c>
      <c r="AX18" s="28">
        <v>0</v>
      </c>
      <c r="AY18" s="28"/>
      <c r="AZ18" s="67" t="s">
        <v>95</v>
      </c>
      <c r="BA18" s="30"/>
      <c r="BD18" s="15">
        <v>6036</v>
      </c>
      <c r="BE18" s="40">
        <f t="shared" si="3"/>
        <v>5030</v>
      </c>
      <c r="BF18" s="40">
        <f t="shared" si="4"/>
        <v>1006</v>
      </c>
      <c r="BG18" s="68">
        <v>1254</v>
      </c>
      <c r="BH18" s="68" t="s">
        <v>187</v>
      </c>
      <c r="BI18" s="69">
        <v>452025</v>
      </c>
      <c r="BJ18" s="69">
        <v>160100</v>
      </c>
    </row>
    <row r="19" spans="1:62" s="31" customFormat="1" ht="31.5" customHeight="1">
      <c r="A19" s="3" t="s">
        <v>265</v>
      </c>
      <c r="B19" s="15">
        <v>0</v>
      </c>
      <c r="C19" s="15">
        <f>720+672</f>
        <v>1392</v>
      </c>
      <c r="D19" s="22">
        <f>480+120+120+192+480</f>
        <v>1392</v>
      </c>
      <c r="E19" s="24">
        <f>+D19/C19*100</f>
        <v>100</v>
      </c>
      <c r="F19" s="18">
        <v>1162</v>
      </c>
      <c r="G19" s="24">
        <f>+F19/C19*100</f>
        <v>83.47701149425288</v>
      </c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7">
        <f>+AT19+AU19+AW19+AX19</f>
        <v>0</v>
      </c>
      <c r="AT19" s="28"/>
      <c r="AU19" s="15"/>
      <c r="AV19" s="29">
        <f t="shared" si="5"/>
        <v>0</v>
      </c>
      <c r="AW19" s="28">
        <v>0</v>
      </c>
      <c r="AX19" s="28">
        <v>0</v>
      </c>
      <c r="AY19" s="28"/>
      <c r="AZ19" s="67"/>
      <c r="BA19" s="30"/>
      <c r="BD19" s="15"/>
      <c r="BE19" s="40">
        <f t="shared" si="3"/>
        <v>0</v>
      </c>
      <c r="BF19" s="40">
        <f t="shared" si="4"/>
        <v>0</v>
      </c>
      <c r="BG19" s="68">
        <v>1254</v>
      </c>
      <c r="BH19" s="68" t="s">
        <v>187</v>
      </c>
      <c r="BI19" s="69">
        <v>452025</v>
      </c>
      <c r="BJ19" s="69">
        <v>160100</v>
      </c>
    </row>
    <row r="20" spans="1:62" s="31" customFormat="1" ht="20.25" customHeight="1">
      <c r="A20" s="3" t="s">
        <v>213</v>
      </c>
      <c r="B20" s="15">
        <v>0</v>
      </c>
      <c r="C20" s="15">
        <f>486</f>
        <v>486</v>
      </c>
      <c r="D20" s="22">
        <v>486</v>
      </c>
      <c r="E20" s="24">
        <f>+D20/C20*100</f>
        <v>100</v>
      </c>
      <c r="F20" s="18">
        <v>486</v>
      </c>
      <c r="G20" s="24">
        <f>+F20/C20*100</f>
        <v>100</v>
      </c>
      <c r="H20" s="25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7">
        <f>+AT20+AU20+AW20+AX20</f>
        <v>0</v>
      </c>
      <c r="AT20" s="28"/>
      <c r="AU20" s="15"/>
      <c r="AV20" s="29">
        <f t="shared" si="5"/>
        <v>0</v>
      </c>
      <c r="AW20" s="28">
        <v>0</v>
      </c>
      <c r="AX20" s="28">
        <v>0</v>
      </c>
      <c r="AY20" s="28"/>
      <c r="AZ20" s="67"/>
      <c r="BA20" s="30"/>
      <c r="BD20" s="15"/>
      <c r="BE20" s="40">
        <f>+BD20/1.2</f>
        <v>0</v>
      </c>
      <c r="BF20" s="40">
        <f>+BE20*0.2</f>
        <v>0</v>
      </c>
      <c r="BG20" s="68">
        <v>1254</v>
      </c>
      <c r="BH20" s="68" t="s">
        <v>187</v>
      </c>
      <c r="BI20" s="69">
        <v>452025</v>
      </c>
      <c r="BJ20" s="69">
        <v>160100</v>
      </c>
    </row>
    <row r="21" spans="1:62" s="31" customFormat="1" ht="20.25" customHeight="1">
      <c r="A21" s="3" t="s">
        <v>234</v>
      </c>
      <c r="B21" s="15">
        <v>0</v>
      </c>
      <c r="C21" s="15">
        <v>764</v>
      </c>
      <c r="D21" s="22">
        <v>764</v>
      </c>
      <c r="E21" s="24">
        <f>+D21/C21*100</f>
        <v>100</v>
      </c>
      <c r="F21" s="71" t="s">
        <v>166</v>
      </c>
      <c r="G21" s="71" t="s">
        <v>166</v>
      </c>
      <c r="H21" s="25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7">
        <f>+AT21+AU21+AW21+AX21</f>
        <v>0</v>
      </c>
      <c r="AT21" s="28"/>
      <c r="AU21" s="15"/>
      <c r="AV21" s="29">
        <f t="shared" si="5"/>
        <v>0</v>
      </c>
      <c r="AW21" s="28">
        <v>0</v>
      </c>
      <c r="AX21" s="28">
        <v>0</v>
      </c>
      <c r="AY21" s="28"/>
      <c r="AZ21" s="67"/>
      <c r="BA21" s="30"/>
      <c r="BD21" s="15"/>
      <c r="BE21" s="40">
        <f t="shared" si="3"/>
        <v>0</v>
      </c>
      <c r="BF21" s="40">
        <f t="shared" si="4"/>
        <v>0</v>
      </c>
      <c r="BG21" s="68">
        <v>1254</v>
      </c>
      <c r="BH21" s="68" t="s">
        <v>187</v>
      </c>
      <c r="BI21" s="69">
        <v>452025</v>
      </c>
      <c r="BJ21" s="69">
        <v>160100</v>
      </c>
    </row>
    <row r="22" spans="1:62" s="82" customFormat="1" ht="20.25" customHeight="1">
      <c r="A22" s="6" t="s">
        <v>21</v>
      </c>
      <c r="B22" s="17">
        <f>SUM(B4:B21)</f>
        <v>37537</v>
      </c>
      <c r="C22" s="17">
        <f>SUM(C4:C21)</f>
        <v>47621</v>
      </c>
      <c r="D22" s="17">
        <f>SUM(D4:D21)</f>
        <v>39598</v>
      </c>
      <c r="E22" s="76">
        <f t="shared" si="0"/>
        <v>83.15239075197917</v>
      </c>
      <c r="F22" s="17">
        <f>SUM(F4:F21)</f>
        <v>10829</v>
      </c>
      <c r="G22" s="76">
        <f t="shared" si="1"/>
        <v>22.739967661325885</v>
      </c>
      <c r="H22" s="77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79">
        <f aca="true" t="shared" si="6" ref="AS22:AY22">SUM(AS4:AS21)</f>
        <v>96627</v>
      </c>
      <c r="AT22" s="17">
        <f t="shared" si="6"/>
        <v>17090</v>
      </c>
      <c r="AU22" s="17">
        <f t="shared" si="6"/>
        <v>43537</v>
      </c>
      <c r="AV22" s="17">
        <f t="shared" si="6"/>
        <v>37537</v>
      </c>
      <c r="AW22" s="17">
        <f t="shared" si="6"/>
        <v>18000</v>
      </c>
      <c r="AX22" s="17">
        <f t="shared" si="6"/>
        <v>18000</v>
      </c>
      <c r="AY22" s="17">
        <f t="shared" si="6"/>
        <v>0</v>
      </c>
      <c r="AZ22" s="80"/>
      <c r="BA22" s="81"/>
      <c r="BD22" s="17">
        <f>SUM(BD4:BD21)</f>
        <v>43537</v>
      </c>
      <c r="BE22" s="17">
        <f>SUM(BE4:BE21)</f>
        <v>36280.83333333333</v>
      </c>
      <c r="BF22" s="17">
        <f>SUM(BF4:BF21)</f>
        <v>7256.166666666667</v>
      </c>
      <c r="BG22" s="83"/>
      <c r="BH22" s="78"/>
      <c r="BI22" s="84"/>
      <c r="BJ22" s="69">
        <v>160100</v>
      </c>
    </row>
    <row r="23" spans="1:62" s="31" customFormat="1" ht="20.25" customHeight="1">
      <c r="A23" s="2" t="s">
        <v>22</v>
      </c>
      <c r="B23" s="15"/>
      <c r="C23" s="15"/>
      <c r="D23" s="85"/>
      <c r="E23" s="24"/>
      <c r="F23" s="18"/>
      <c r="G23" s="24"/>
      <c r="H23" s="86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87"/>
      <c r="AT23" s="28"/>
      <c r="AU23" s="15"/>
      <c r="AV23" s="29"/>
      <c r="AW23" s="28">
        <v>0</v>
      </c>
      <c r="AX23" s="28">
        <v>0</v>
      </c>
      <c r="AY23" s="28"/>
      <c r="AZ23" s="67"/>
      <c r="BA23" s="30"/>
      <c r="BD23" s="15"/>
      <c r="BE23" s="58"/>
      <c r="BF23" s="58"/>
      <c r="BG23" s="62"/>
      <c r="BH23" s="58"/>
      <c r="BI23" s="63"/>
      <c r="BJ23" s="58"/>
    </row>
    <row r="24" spans="1:62" s="94" customFormat="1" ht="19.5" customHeight="1">
      <c r="A24" s="4" t="s">
        <v>268</v>
      </c>
      <c r="B24" s="18">
        <f>173455+173742</f>
        <v>347197</v>
      </c>
      <c r="C24" s="18">
        <f>173455+173742</f>
        <v>347197</v>
      </c>
      <c r="D24" s="22">
        <v>347197</v>
      </c>
      <c r="E24" s="24">
        <f aca="true" t="shared" si="7" ref="E24:E45">+D24/C24*100</f>
        <v>100</v>
      </c>
      <c r="F24" s="18">
        <v>185993</v>
      </c>
      <c r="G24" s="24">
        <f aca="true" t="shared" si="8" ref="G24:G45">+F24/C24*100</f>
        <v>53.569875315742934</v>
      </c>
      <c r="H24" s="88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90">
        <f>+AT24+AU24+AW24+AX24+AY24</f>
        <v>579143</v>
      </c>
      <c r="AT24" s="28">
        <v>288</v>
      </c>
      <c r="AU24" s="18">
        <f>173455+173742</f>
        <v>347197</v>
      </c>
      <c r="AV24" s="91">
        <f>+AU24-295361-11851-7808-10834</f>
        <v>21343</v>
      </c>
      <c r="AW24" s="28">
        <v>231658</v>
      </c>
      <c r="AX24" s="28">
        <v>0</v>
      </c>
      <c r="AY24" s="92">
        <v>0</v>
      </c>
      <c r="AZ24" s="93" t="s">
        <v>256</v>
      </c>
      <c r="BA24" s="28">
        <f>+AU24-AV24</f>
        <v>325854</v>
      </c>
      <c r="BD24" s="18">
        <f>173455+173742</f>
        <v>347197</v>
      </c>
      <c r="BE24" s="40">
        <f aca="true" t="shared" si="9" ref="BE24:BE44">+BD24/1.2</f>
        <v>289330.8333333334</v>
      </c>
      <c r="BF24" s="40">
        <f aca="true" t="shared" si="10" ref="BF24:BF44">+BE24*0.2</f>
        <v>57866.16666666668</v>
      </c>
      <c r="BG24" s="41">
        <v>1254</v>
      </c>
      <c r="BH24" s="41" t="s">
        <v>187</v>
      </c>
      <c r="BI24" s="95">
        <v>901116</v>
      </c>
      <c r="BJ24" s="42">
        <v>160200</v>
      </c>
    </row>
    <row r="25" spans="1:62" s="94" customFormat="1" ht="19.5" customHeight="1">
      <c r="A25" s="4" t="s">
        <v>203</v>
      </c>
      <c r="B25" s="18">
        <f>43344+432+432</f>
        <v>44208</v>
      </c>
      <c r="C25" s="18">
        <f>43344+432+432</f>
        <v>44208</v>
      </c>
      <c r="D25" s="18">
        <v>44208</v>
      </c>
      <c r="E25" s="24">
        <f t="shared" si="7"/>
        <v>100</v>
      </c>
      <c r="F25" s="18">
        <v>44208</v>
      </c>
      <c r="G25" s="24">
        <f t="shared" si="8"/>
        <v>100</v>
      </c>
      <c r="H25" s="96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0">
        <f>+AT25+AU25+AW25+AX25+AY25</f>
        <v>433421</v>
      </c>
      <c r="AT25" s="28">
        <f>182400+197113+9700</f>
        <v>389213</v>
      </c>
      <c r="AU25" s="18">
        <f>43344+432+432</f>
        <v>44208</v>
      </c>
      <c r="AV25" s="91">
        <f>+AU25*0.6</f>
        <v>26524.8</v>
      </c>
      <c r="AW25" s="28">
        <v>0</v>
      </c>
      <c r="AX25" s="28">
        <v>0</v>
      </c>
      <c r="AY25" s="92">
        <v>0</v>
      </c>
      <c r="AZ25" s="98" t="s">
        <v>132</v>
      </c>
      <c r="BA25" s="28">
        <f>+AU25-AV25</f>
        <v>17683.2</v>
      </c>
      <c r="BB25" s="99" t="s">
        <v>257</v>
      </c>
      <c r="BC25" s="94">
        <f>+AS25*0.4</f>
        <v>173368.40000000002</v>
      </c>
      <c r="BD25" s="18">
        <f>43344+432+432</f>
        <v>44208</v>
      </c>
      <c r="BE25" s="40">
        <f t="shared" si="9"/>
        <v>36840</v>
      </c>
      <c r="BF25" s="40">
        <f t="shared" si="10"/>
        <v>7368</v>
      </c>
      <c r="BG25" s="41">
        <v>1254</v>
      </c>
      <c r="BH25" s="41" t="s">
        <v>187</v>
      </c>
      <c r="BI25" s="95">
        <v>901116</v>
      </c>
      <c r="BJ25" s="42">
        <v>160200</v>
      </c>
    </row>
    <row r="26" spans="1:62" s="94" customFormat="1" ht="19.5" customHeight="1">
      <c r="A26" s="4" t="s">
        <v>204</v>
      </c>
      <c r="B26" s="18">
        <f>217440+2880</f>
        <v>220320</v>
      </c>
      <c r="C26" s="18">
        <f>217440+2880</f>
        <v>220320</v>
      </c>
      <c r="D26" s="22">
        <f>217440+2880</f>
        <v>220320</v>
      </c>
      <c r="E26" s="24">
        <f t="shared" si="7"/>
        <v>100</v>
      </c>
      <c r="F26" s="18">
        <v>218207</v>
      </c>
      <c r="G26" s="24">
        <f t="shared" si="8"/>
        <v>99.04094045025418</v>
      </c>
      <c r="H26" s="96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0">
        <f>+AT26+AU26+AW26+AX26+AY26</f>
        <v>744270</v>
      </c>
      <c r="AT26" s="28">
        <v>12250</v>
      </c>
      <c r="AU26" s="18">
        <f>217440+2880</f>
        <v>220320</v>
      </c>
      <c r="AV26" s="100">
        <f>AU26-(173952+2304)</f>
        <v>44064</v>
      </c>
      <c r="AW26" s="28">
        <f>507360+3618</f>
        <v>510978</v>
      </c>
      <c r="AX26" s="28">
        <v>722</v>
      </c>
      <c r="AY26" s="92">
        <v>0</v>
      </c>
      <c r="AZ26" s="93" t="s">
        <v>258</v>
      </c>
      <c r="BA26" s="28">
        <f>+AU26-AV26</f>
        <v>176256</v>
      </c>
      <c r="BD26" s="18">
        <f>217440+2880</f>
        <v>220320</v>
      </c>
      <c r="BE26" s="40">
        <f t="shared" si="9"/>
        <v>183600</v>
      </c>
      <c r="BF26" s="40">
        <f t="shared" si="10"/>
        <v>36720</v>
      </c>
      <c r="BG26" s="41">
        <v>1254</v>
      </c>
      <c r="BH26" s="41" t="s">
        <v>187</v>
      </c>
      <c r="BI26" s="95">
        <v>781856</v>
      </c>
      <c r="BJ26" s="42">
        <v>160200</v>
      </c>
    </row>
    <row r="27" spans="1:62" s="31" customFormat="1" ht="19.5" customHeight="1">
      <c r="A27" s="7" t="s">
        <v>139</v>
      </c>
      <c r="B27" s="15">
        <v>310</v>
      </c>
      <c r="C27" s="15">
        <v>310</v>
      </c>
      <c r="D27" s="22">
        <v>310</v>
      </c>
      <c r="E27" s="24">
        <f t="shared" si="7"/>
        <v>100</v>
      </c>
      <c r="F27" s="18">
        <v>310</v>
      </c>
      <c r="G27" s="24">
        <f t="shared" si="8"/>
        <v>100</v>
      </c>
      <c r="H27" s="70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  <c r="AS27" s="87">
        <f aca="true" t="shared" si="11" ref="AS27:AS35">+AT27+AU27+AW27+AX27</f>
        <v>12388</v>
      </c>
      <c r="AT27" s="28">
        <v>12078</v>
      </c>
      <c r="AU27" s="15">
        <v>310</v>
      </c>
      <c r="AV27" s="29">
        <f aca="true" t="shared" si="12" ref="AV27:AV44">+AU27</f>
        <v>310</v>
      </c>
      <c r="AW27" s="28">
        <v>0</v>
      </c>
      <c r="AX27" s="28">
        <v>0</v>
      </c>
      <c r="AY27" s="28"/>
      <c r="AZ27" s="67"/>
      <c r="BA27" s="30"/>
      <c r="BD27" s="15">
        <v>310</v>
      </c>
      <c r="BE27" s="40">
        <f t="shared" si="9"/>
        <v>258.33333333333337</v>
      </c>
      <c r="BF27" s="40">
        <f t="shared" si="10"/>
        <v>51.66666666666668</v>
      </c>
      <c r="BG27" s="41">
        <v>1254</v>
      </c>
      <c r="BH27" s="41" t="s">
        <v>187</v>
      </c>
      <c r="BI27" s="95">
        <v>901116</v>
      </c>
      <c r="BJ27" s="42">
        <v>160200</v>
      </c>
    </row>
    <row r="28" spans="1:62" s="31" customFormat="1" ht="19.5" customHeight="1">
      <c r="A28" s="4" t="s">
        <v>2</v>
      </c>
      <c r="B28" s="15">
        <v>4000</v>
      </c>
      <c r="C28" s="15">
        <v>4000</v>
      </c>
      <c r="D28" s="22">
        <v>4000</v>
      </c>
      <c r="E28" s="24">
        <f t="shared" si="7"/>
        <v>100</v>
      </c>
      <c r="F28" s="18">
        <v>4000</v>
      </c>
      <c r="G28" s="24">
        <f t="shared" si="8"/>
        <v>100</v>
      </c>
      <c r="H28" s="70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66"/>
      <c r="AE28" s="66"/>
      <c r="AF28" s="66"/>
      <c r="AG28" s="66"/>
      <c r="AH28" s="66"/>
      <c r="AI28" s="66"/>
      <c r="AJ28" s="66"/>
      <c r="AK28" s="66"/>
      <c r="AL28" s="66"/>
      <c r="AM28" s="66"/>
      <c r="AN28" s="66"/>
      <c r="AO28" s="66"/>
      <c r="AP28" s="66"/>
      <c r="AQ28" s="66"/>
      <c r="AR28" s="66"/>
      <c r="AS28" s="87">
        <f t="shared" si="11"/>
        <v>4576</v>
      </c>
      <c r="AT28" s="28">
        <v>576</v>
      </c>
      <c r="AU28" s="15">
        <v>4000</v>
      </c>
      <c r="AV28" s="29">
        <f t="shared" si="12"/>
        <v>4000</v>
      </c>
      <c r="AW28" s="28">
        <v>0</v>
      </c>
      <c r="AX28" s="28">
        <v>0</v>
      </c>
      <c r="AY28" s="28"/>
      <c r="AZ28" s="67"/>
      <c r="BA28" s="30"/>
      <c r="BD28" s="15">
        <v>4000</v>
      </c>
      <c r="BE28" s="40">
        <f t="shared" si="9"/>
        <v>3333.3333333333335</v>
      </c>
      <c r="BF28" s="40">
        <f t="shared" si="10"/>
        <v>666.6666666666667</v>
      </c>
      <c r="BG28" s="41">
        <v>1254</v>
      </c>
      <c r="BH28" s="41" t="s">
        <v>187</v>
      </c>
      <c r="BI28" s="95">
        <v>901116</v>
      </c>
      <c r="BJ28" s="42">
        <v>160200</v>
      </c>
    </row>
    <row r="29" spans="1:62" ht="19.5" customHeight="1">
      <c r="A29" s="4" t="s">
        <v>135</v>
      </c>
      <c r="B29" s="16">
        <v>7503</v>
      </c>
      <c r="C29" s="16">
        <f>7503-806</f>
        <v>6697</v>
      </c>
      <c r="D29" s="22">
        <v>6697</v>
      </c>
      <c r="E29" s="24">
        <f>+D29/C29*100</f>
        <v>100</v>
      </c>
      <c r="F29" s="18">
        <v>6697</v>
      </c>
      <c r="G29" s="24">
        <f>+F29/C29*100</f>
        <v>100</v>
      </c>
      <c r="H29" s="25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7">
        <f>+AT29+AU29+AW29+AX29</f>
        <v>7503</v>
      </c>
      <c r="AT29" s="28">
        <v>0</v>
      </c>
      <c r="AU29" s="16">
        <v>7503</v>
      </c>
      <c r="AV29" s="73">
        <f>+AU29</f>
        <v>7503</v>
      </c>
      <c r="AW29" s="28">
        <v>0</v>
      </c>
      <c r="AX29" s="28">
        <v>0</v>
      </c>
      <c r="AY29" s="28"/>
      <c r="AZ29" s="67"/>
      <c r="BB29" s="67"/>
      <c r="BD29" s="16">
        <v>7503</v>
      </c>
      <c r="BE29" s="40">
        <f>+BD29/1.2</f>
        <v>6252.5</v>
      </c>
      <c r="BF29" s="40">
        <f>+BE29*0.2</f>
        <v>1250.5</v>
      </c>
      <c r="BG29" s="41">
        <v>1254</v>
      </c>
      <c r="BH29" s="41" t="s">
        <v>187</v>
      </c>
      <c r="BI29" s="95">
        <v>901116</v>
      </c>
      <c r="BJ29" s="42">
        <v>160200</v>
      </c>
    </row>
    <row r="30" spans="1:62" s="31" customFormat="1" ht="19.5" customHeight="1">
      <c r="A30" s="4" t="s">
        <v>60</v>
      </c>
      <c r="B30" s="15">
        <v>1024</v>
      </c>
      <c r="C30" s="15">
        <f>1024-800</f>
        <v>224</v>
      </c>
      <c r="D30" s="22">
        <f>190+34</f>
        <v>224</v>
      </c>
      <c r="E30" s="24">
        <f t="shared" si="7"/>
        <v>100</v>
      </c>
      <c r="F30" s="18">
        <v>190</v>
      </c>
      <c r="G30" s="24">
        <f t="shared" si="8"/>
        <v>84.82142857142857</v>
      </c>
      <c r="H30" s="70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6"/>
      <c r="AO30" s="66"/>
      <c r="AP30" s="66"/>
      <c r="AQ30" s="66"/>
      <c r="AR30" s="66"/>
      <c r="AS30" s="87">
        <f t="shared" si="11"/>
        <v>1024</v>
      </c>
      <c r="AT30" s="28">
        <v>0</v>
      </c>
      <c r="AU30" s="15">
        <v>1024</v>
      </c>
      <c r="AV30" s="29">
        <f t="shared" si="12"/>
        <v>1024</v>
      </c>
      <c r="AW30" s="28">
        <v>0</v>
      </c>
      <c r="AX30" s="28">
        <v>0</v>
      </c>
      <c r="AY30" s="28"/>
      <c r="AZ30" s="67"/>
      <c r="BA30" s="30"/>
      <c r="BD30" s="15">
        <v>1024</v>
      </c>
      <c r="BE30" s="40">
        <f t="shared" si="9"/>
        <v>853.3333333333334</v>
      </c>
      <c r="BF30" s="40">
        <f t="shared" si="10"/>
        <v>170.66666666666669</v>
      </c>
      <c r="BG30" s="41">
        <v>1254</v>
      </c>
      <c r="BH30" s="41" t="s">
        <v>187</v>
      </c>
      <c r="BI30" s="95">
        <v>901116</v>
      </c>
      <c r="BJ30" s="42">
        <v>160200</v>
      </c>
    </row>
    <row r="31" spans="1:62" s="31" customFormat="1" ht="19.5" customHeight="1">
      <c r="A31" s="4" t="s">
        <v>89</v>
      </c>
      <c r="B31" s="15">
        <v>5000</v>
      </c>
      <c r="C31" s="15">
        <v>0</v>
      </c>
      <c r="D31" s="71" t="s">
        <v>87</v>
      </c>
      <c r="E31" s="72" t="s">
        <v>87</v>
      </c>
      <c r="F31" s="101" t="s">
        <v>153</v>
      </c>
      <c r="G31" s="72" t="s">
        <v>166</v>
      </c>
      <c r="H31" s="70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87">
        <f t="shared" si="11"/>
        <v>5000</v>
      </c>
      <c r="AT31" s="28">
        <v>0</v>
      </c>
      <c r="AU31" s="15">
        <v>5000</v>
      </c>
      <c r="AV31" s="29">
        <f t="shared" si="12"/>
        <v>5000</v>
      </c>
      <c r="AW31" s="28">
        <v>0</v>
      </c>
      <c r="AX31" s="28">
        <v>0</v>
      </c>
      <c r="AY31" s="28"/>
      <c r="AZ31" s="67"/>
      <c r="BA31" s="30"/>
      <c r="BD31" s="15">
        <v>5000</v>
      </c>
      <c r="BE31" s="40">
        <f t="shared" si="9"/>
        <v>4166.666666666667</v>
      </c>
      <c r="BF31" s="40">
        <f t="shared" si="10"/>
        <v>833.3333333333335</v>
      </c>
      <c r="BG31" s="41">
        <v>1254</v>
      </c>
      <c r="BH31" s="41" t="s">
        <v>187</v>
      </c>
      <c r="BI31" s="95">
        <v>901116</v>
      </c>
      <c r="BJ31" s="42">
        <v>160200</v>
      </c>
    </row>
    <row r="32" spans="1:62" s="31" customFormat="1" ht="20.25" customHeight="1">
      <c r="A32" s="102" t="s">
        <v>249</v>
      </c>
      <c r="B32" s="32">
        <v>0</v>
      </c>
      <c r="C32" s="32">
        <v>340</v>
      </c>
      <c r="D32" s="103" t="s">
        <v>87</v>
      </c>
      <c r="E32" s="104" t="s">
        <v>87</v>
      </c>
      <c r="F32" s="105" t="s">
        <v>153</v>
      </c>
      <c r="G32" s="104" t="s">
        <v>166</v>
      </c>
      <c r="H32" s="10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66"/>
      <c r="AR32" s="66"/>
      <c r="AS32" s="87"/>
      <c r="AT32" s="28"/>
      <c r="AU32" s="15"/>
      <c r="AV32" s="29"/>
      <c r="AW32" s="28"/>
      <c r="AX32" s="28"/>
      <c r="AY32" s="28"/>
      <c r="AZ32" s="67"/>
      <c r="BA32" s="30"/>
      <c r="BD32" s="15"/>
      <c r="BE32" s="40"/>
      <c r="BF32" s="40"/>
      <c r="BG32" s="41"/>
      <c r="BH32" s="41"/>
      <c r="BI32" s="95"/>
      <c r="BJ32" s="42"/>
    </row>
    <row r="33" spans="1:62" s="31" customFormat="1" ht="19.5" customHeight="1">
      <c r="A33" s="4" t="s">
        <v>106</v>
      </c>
      <c r="B33" s="15">
        <v>0</v>
      </c>
      <c r="C33" s="15">
        <f>3500+1500+971</f>
        <v>5971</v>
      </c>
      <c r="D33" s="22">
        <v>5971</v>
      </c>
      <c r="E33" s="24">
        <f>+D33/C33*100</f>
        <v>100</v>
      </c>
      <c r="F33" s="71" t="s">
        <v>166</v>
      </c>
      <c r="G33" s="71" t="s">
        <v>166</v>
      </c>
      <c r="H33" s="70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6"/>
      <c r="AE33" s="66"/>
      <c r="AF33" s="66"/>
      <c r="AG33" s="66"/>
      <c r="AH33" s="66"/>
      <c r="AI33" s="66"/>
      <c r="AJ33" s="66"/>
      <c r="AK33" s="66"/>
      <c r="AL33" s="66"/>
      <c r="AM33" s="66"/>
      <c r="AN33" s="66"/>
      <c r="AO33" s="66"/>
      <c r="AP33" s="66"/>
      <c r="AQ33" s="66"/>
      <c r="AR33" s="66"/>
      <c r="AS33" s="87">
        <f>+AT33+AU33+AW33+AX33</f>
        <v>0</v>
      </c>
      <c r="AT33" s="28">
        <v>0</v>
      </c>
      <c r="AU33" s="15"/>
      <c r="AV33" s="29">
        <f t="shared" si="12"/>
        <v>0</v>
      </c>
      <c r="AW33" s="28">
        <v>0</v>
      </c>
      <c r="AX33" s="28">
        <v>0</v>
      </c>
      <c r="AY33" s="28"/>
      <c r="AZ33" s="67"/>
      <c r="BA33" s="30"/>
      <c r="BD33" s="15"/>
      <c r="BE33" s="40">
        <f t="shared" si="9"/>
        <v>0</v>
      </c>
      <c r="BF33" s="40">
        <f t="shared" si="10"/>
        <v>0</v>
      </c>
      <c r="BG33" s="41">
        <v>1254</v>
      </c>
      <c r="BH33" s="41" t="s">
        <v>187</v>
      </c>
      <c r="BI33" s="95">
        <v>901116</v>
      </c>
      <c r="BJ33" s="42">
        <v>160200</v>
      </c>
    </row>
    <row r="34" spans="1:62" s="31" customFormat="1" ht="19.5" customHeight="1">
      <c r="A34" s="4" t="s">
        <v>163</v>
      </c>
      <c r="B34" s="15">
        <v>2450</v>
      </c>
      <c r="C34" s="15">
        <v>2450</v>
      </c>
      <c r="D34" s="22">
        <v>2450</v>
      </c>
      <c r="E34" s="24">
        <f t="shared" si="7"/>
        <v>100</v>
      </c>
      <c r="F34" s="18">
        <v>2450</v>
      </c>
      <c r="G34" s="24">
        <f t="shared" si="8"/>
        <v>100</v>
      </c>
      <c r="H34" s="70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6"/>
      <c r="AN34" s="66"/>
      <c r="AO34" s="66"/>
      <c r="AP34" s="66"/>
      <c r="AQ34" s="66"/>
      <c r="AR34" s="66"/>
      <c r="AS34" s="87">
        <f t="shared" si="11"/>
        <v>2450</v>
      </c>
      <c r="AT34" s="28">
        <v>0</v>
      </c>
      <c r="AU34" s="15">
        <v>2450</v>
      </c>
      <c r="AV34" s="29">
        <f t="shared" si="12"/>
        <v>2450</v>
      </c>
      <c r="AW34" s="28">
        <v>0</v>
      </c>
      <c r="AX34" s="28">
        <v>0</v>
      </c>
      <c r="AY34" s="28"/>
      <c r="AZ34" s="67"/>
      <c r="BA34" s="30"/>
      <c r="BD34" s="15">
        <v>2450</v>
      </c>
      <c r="BE34" s="40">
        <f t="shared" si="9"/>
        <v>2041.6666666666667</v>
      </c>
      <c r="BF34" s="40">
        <f t="shared" si="10"/>
        <v>408.33333333333337</v>
      </c>
      <c r="BG34" s="41">
        <v>1254</v>
      </c>
      <c r="BH34" s="41" t="s">
        <v>187</v>
      </c>
      <c r="BI34" s="95">
        <v>781856</v>
      </c>
      <c r="BJ34" s="42">
        <v>160200</v>
      </c>
    </row>
    <row r="35" spans="1:62" s="31" customFormat="1" ht="19.5" customHeight="1">
      <c r="A35" s="4" t="s">
        <v>162</v>
      </c>
      <c r="B35" s="15">
        <v>408</v>
      </c>
      <c r="C35" s="15">
        <v>408</v>
      </c>
      <c r="D35" s="22">
        <v>408</v>
      </c>
      <c r="E35" s="24">
        <f t="shared" si="7"/>
        <v>100</v>
      </c>
      <c r="F35" s="18">
        <f>367+41</f>
        <v>408</v>
      </c>
      <c r="G35" s="24">
        <f t="shared" si="8"/>
        <v>100</v>
      </c>
      <c r="H35" s="70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66"/>
      <c r="AR35" s="66"/>
      <c r="AS35" s="87">
        <f t="shared" si="11"/>
        <v>408</v>
      </c>
      <c r="AT35" s="28">
        <v>0</v>
      </c>
      <c r="AU35" s="15">
        <v>408</v>
      </c>
      <c r="AV35" s="29">
        <f t="shared" si="12"/>
        <v>408</v>
      </c>
      <c r="AW35" s="28">
        <v>0</v>
      </c>
      <c r="AX35" s="28">
        <v>0</v>
      </c>
      <c r="AY35" s="28"/>
      <c r="AZ35" s="67"/>
      <c r="BA35" s="30"/>
      <c r="BD35" s="15">
        <v>408</v>
      </c>
      <c r="BE35" s="40">
        <f t="shared" si="9"/>
        <v>340</v>
      </c>
      <c r="BF35" s="40">
        <f t="shared" si="10"/>
        <v>68</v>
      </c>
      <c r="BG35" s="41">
        <v>1254</v>
      </c>
      <c r="BH35" s="41" t="s">
        <v>187</v>
      </c>
      <c r="BI35" s="95">
        <v>781856</v>
      </c>
      <c r="BJ35" s="42">
        <v>160200</v>
      </c>
    </row>
    <row r="36" spans="1:62" s="94" customFormat="1" ht="19.5" customHeight="1">
      <c r="A36" s="4" t="s">
        <v>116</v>
      </c>
      <c r="B36" s="18">
        <v>1094</v>
      </c>
      <c r="C36" s="18">
        <v>1094</v>
      </c>
      <c r="D36" s="107">
        <v>1094</v>
      </c>
      <c r="E36" s="24">
        <f t="shared" si="7"/>
        <v>100</v>
      </c>
      <c r="F36" s="18">
        <v>1094</v>
      </c>
      <c r="G36" s="24">
        <f t="shared" si="8"/>
        <v>100</v>
      </c>
      <c r="H36" s="96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0">
        <f>+AT36+AU36+AW36+AX36+AY36</f>
        <v>2065</v>
      </c>
      <c r="AT36" s="28">
        <v>971</v>
      </c>
      <c r="AU36" s="18">
        <v>1094</v>
      </c>
      <c r="AV36" s="91">
        <f t="shared" si="12"/>
        <v>1094</v>
      </c>
      <c r="AW36" s="28">
        <v>0</v>
      </c>
      <c r="AX36" s="28">
        <v>0</v>
      </c>
      <c r="AY36" s="92">
        <v>0</v>
      </c>
      <c r="AZ36" s="64" t="s">
        <v>138</v>
      </c>
      <c r="BA36" s="28">
        <f>+AU36-AV36</f>
        <v>0</v>
      </c>
      <c r="BD36" s="18">
        <v>1094</v>
      </c>
      <c r="BE36" s="40">
        <f t="shared" si="9"/>
        <v>911.6666666666667</v>
      </c>
      <c r="BF36" s="40">
        <f t="shared" si="10"/>
        <v>182.33333333333337</v>
      </c>
      <c r="BG36" s="41">
        <v>1254</v>
      </c>
      <c r="BH36" s="41" t="s">
        <v>187</v>
      </c>
      <c r="BI36" s="95">
        <v>781856</v>
      </c>
      <c r="BJ36" s="42">
        <v>160200</v>
      </c>
    </row>
    <row r="37" spans="1:62" ht="19.5" customHeight="1">
      <c r="A37" s="5" t="s">
        <v>59</v>
      </c>
      <c r="B37" s="16">
        <v>8000</v>
      </c>
      <c r="C37" s="16">
        <f>8000-6000</f>
        <v>2000</v>
      </c>
      <c r="D37" s="22">
        <f>498+1435</f>
        <v>1933</v>
      </c>
      <c r="E37" s="24">
        <f t="shared" si="7"/>
        <v>96.65</v>
      </c>
      <c r="F37" s="18">
        <v>1884</v>
      </c>
      <c r="G37" s="24">
        <f t="shared" si="8"/>
        <v>94.19999999999999</v>
      </c>
      <c r="H37" s="25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7">
        <f>+AT37+AU37+AW37+AX37</f>
        <v>15838</v>
      </c>
      <c r="AT37" s="28">
        <v>7838</v>
      </c>
      <c r="AU37" s="16">
        <v>8000</v>
      </c>
      <c r="AV37" s="73">
        <f t="shared" si="12"/>
        <v>8000</v>
      </c>
      <c r="AW37" s="28">
        <v>0</v>
      </c>
      <c r="AX37" s="28">
        <v>0</v>
      </c>
      <c r="AY37" s="28"/>
      <c r="AZ37" s="67"/>
      <c r="BB37" s="67"/>
      <c r="BD37" s="16">
        <v>8000</v>
      </c>
      <c r="BE37" s="40">
        <f t="shared" si="9"/>
        <v>6666.666666666667</v>
      </c>
      <c r="BF37" s="40">
        <f t="shared" si="10"/>
        <v>1333.3333333333335</v>
      </c>
      <c r="BG37" s="41">
        <v>1254</v>
      </c>
      <c r="BH37" s="41" t="s">
        <v>187</v>
      </c>
      <c r="BI37" s="95">
        <v>901116</v>
      </c>
      <c r="BJ37" s="42">
        <v>160200</v>
      </c>
    </row>
    <row r="38" spans="1:62" ht="19.5" customHeight="1">
      <c r="A38" s="8" t="s">
        <v>177</v>
      </c>
      <c r="B38" s="16">
        <v>5000</v>
      </c>
      <c r="C38" s="16">
        <f>5000+4237</f>
        <v>9237</v>
      </c>
      <c r="D38" s="22">
        <f>4913+4324</f>
        <v>9237</v>
      </c>
      <c r="E38" s="24">
        <f t="shared" si="7"/>
        <v>100</v>
      </c>
      <c r="F38" s="18">
        <f>4422+3891</f>
        <v>8313</v>
      </c>
      <c r="G38" s="24">
        <f t="shared" si="8"/>
        <v>89.99675219227021</v>
      </c>
      <c r="H38" s="25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7">
        <f>+AT38+AU38+AW38+AX38</f>
        <v>17078</v>
      </c>
      <c r="AT38" s="28">
        <v>12078</v>
      </c>
      <c r="AU38" s="16">
        <v>5000</v>
      </c>
      <c r="AV38" s="73">
        <f t="shared" si="12"/>
        <v>5000</v>
      </c>
      <c r="AW38" s="28">
        <v>0</v>
      </c>
      <c r="AX38" s="28">
        <v>0</v>
      </c>
      <c r="AY38" s="28"/>
      <c r="AZ38" s="67"/>
      <c r="BB38" s="67"/>
      <c r="BD38" s="16">
        <v>5000</v>
      </c>
      <c r="BE38" s="40">
        <f t="shared" si="9"/>
        <v>4166.666666666667</v>
      </c>
      <c r="BF38" s="40">
        <f t="shared" si="10"/>
        <v>833.3333333333335</v>
      </c>
      <c r="BG38" s="41">
        <v>1254</v>
      </c>
      <c r="BH38" s="41" t="s">
        <v>187</v>
      </c>
      <c r="BI38" s="95">
        <v>901116</v>
      </c>
      <c r="BJ38" s="42">
        <v>160200</v>
      </c>
    </row>
    <row r="39" spans="1:62" ht="19.5" customHeight="1">
      <c r="A39" s="108" t="s">
        <v>133</v>
      </c>
      <c r="B39" s="16">
        <v>3000</v>
      </c>
      <c r="C39" s="16">
        <v>5000</v>
      </c>
      <c r="D39" s="71" t="s">
        <v>166</v>
      </c>
      <c r="E39" s="71" t="s">
        <v>166</v>
      </c>
      <c r="F39" s="71" t="s">
        <v>166</v>
      </c>
      <c r="G39" s="71" t="s">
        <v>166</v>
      </c>
      <c r="H39" s="25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7">
        <f>+AT39+AU39+AW39+AX39</f>
        <v>3000</v>
      </c>
      <c r="AT39" s="28">
        <v>0</v>
      </c>
      <c r="AU39" s="16">
        <v>3000</v>
      </c>
      <c r="AV39" s="73">
        <f t="shared" si="12"/>
        <v>3000</v>
      </c>
      <c r="AW39" s="28">
        <v>0</v>
      </c>
      <c r="AX39" s="28">
        <v>0</v>
      </c>
      <c r="AY39" s="28"/>
      <c r="AZ39" s="67"/>
      <c r="BB39" s="67"/>
      <c r="BD39" s="16">
        <v>3000</v>
      </c>
      <c r="BE39" s="40">
        <f t="shared" si="9"/>
        <v>2500</v>
      </c>
      <c r="BF39" s="40">
        <f t="shared" si="10"/>
        <v>500</v>
      </c>
      <c r="BG39" s="41">
        <v>1254</v>
      </c>
      <c r="BH39" s="41" t="s">
        <v>187</v>
      </c>
      <c r="BI39" s="95">
        <v>901116</v>
      </c>
      <c r="BJ39" s="42">
        <v>160200</v>
      </c>
    </row>
    <row r="40" spans="1:62" ht="19.5" customHeight="1">
      <c r="A40" s="5" t="s">
        <v>134</v>
      </c>
      <c r="B40" s="16">
        <v>6500</v>
      </c>
      <c r="C40" s="16">
        <f>6500-1736</f>
        <v>4764</v>
      </c>
      <c r="D40" s="22">
        <v>4764</v>
      </c>
      <c r="E40" s="24">
        <f t="shared" si="7"/>
        <v>100</v>
      </c>
      <c r="F40" s="18">
        <v>4764</v>
      </c>
      <c r="G40" s="24">
        <f t="shared" si="8"/>
        <v>100</v>
      </c>
      <c r="H40" s="25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7">
        <f>+AT40+AU40+AW40+AX40</f>
        <v>7100</v>
      </c>
      <c r="AT40" s="28">
        <v>600</v>
      </c>
      <c r="AU40" s="16">
        <v>6500</v>
      </c>
      <c r="AV40" s="73">
        <f t="shared" si="12"/>
        <v>6500</v>
      </c>
      <c r="AW40" s="28">
        <v>0</v>
      </c>
      <c r="AX40" s="28">
        <v>0</v>
      </c>
      <c r="AY40" s="28"/>
      <c r="AZ40" s="67"/>
      <c r="BB40" s="67"/>
      <c r="BD40" s="16">
        <v>6500</v>
      </c>
      <c r="BE40" s="40">
        <f t="shared" si="9"/>
        <v>5416.666666666667</v>
      </c>
      <c r="BF40" s="40">
        <f t="shared" si="10"/>
        <v>1083.3333333333335</v>
      </c>
      <c r="BG40" s="41">
        <v>1254</v>
      </c>
      <c r="BH40" s="41" t="s">
        <v>187</v>
      </c>
      <c r="BI40" s="95">
        <v>781856</v>
      </c>
      <c r="BJ40" s="42">
        <v>160200</v>
      </c>
    </row>
    <row r="41" spans="1:62" ht="19.5" customHeight="1">
      <c r="A41" s="5" t="s">
        <v>136</v>
      </c>
      <c r="B41" s="16">
        <v>1700</v>
      </c>
      <c r="C41" s="16">
        <f>1700-1320</f>
        <v>380</v>
      </c>
      <c r="D41" s="22">
        <v>380</v>
      </c>
      <c r="E41" s="24">
        <f t="shared" si="7"/>
        <v>100</v>
      </c>
      <c r="F41" s="18">
        <v>380</v>
      </c>
      <c r="G41" s="24">
        <f t="shared" si="8"/>
        <v>100</v>
      </c>
      <c r="H41" s="25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7">
        <f>+AT41+AU41+AW41+AX41+AY41</f>
        <v>1700</v>
      </c>
      <c r="AT41" s="28">
        <v>0</v>
      </c>
      <c r="AU41" s="16">
        <v>1700</v>
      </c>
      <c r="AV41" s="73">
        <f t="shared" si="12"/>
        <v>1700</v>
      </c>
      <c r="AW41" s="28">
        <v>0</v>
      </c>
      <c r="AX41" s="28">
        <v>0</v>
      </c>
      <c r="AY41" s="28"/>
      <c r="AZ41" s="67"/>
      <c r="BB41" s="67"/>
      <c r="BD41" s="16">
        <v>1700</v>
      </c>
      <c r="BE41" s="40">
        <f t="shared" si="9"/>
        <v>1416.6666666666667</v>
      </c>
      <c r="BF41" s="40">
        <f t="shared" si="10"/>
        <v>283.33333333333337</v>
      </c>
      <c r="BG41" s="41">
        <v>1254</v>
      </c>
      <c r="BH41" s="41" t="s">
        <v>187</v>
      </c>
      <c r="BI41" s="95">
        <v>781856</v>
      </c>
      <c r="BJ41" s="42">
        <v>160200</v>
      </c>
    </row>
    <row r="42" spans="1:62" ht="19.5" customHeight="1">
      <c r="A42" s="5" t="s">
        <v>222</v>
      </c>
      <c r="B42" s="16">
        <v>1200</v>
      </c>
      <c r="C42" s="16">
        <v>1200</v>
      </c>
      <c r="D42" s="22">
        <v>1200</v>
      </c>
      <c r="E42" s="24">
        <f>+D42/C42*100</f>
        <v>100</v>
      </c>
      <c r="F42" s="18">
        <v>1200</v>
      </c>
      <c r="G42" s="24">
        <f>+F42/C42*100</f>
        <v>100</v>
      </c>
      <c r="H42" s="25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7">
        <f>+AT42+AU42+AW42+AX42</f>
        <v>1200</v>
      </c>
      <c r="AT42" s="28">
        <v>0</v>
      </c>
      <c r="AU42" s="16">
        <v>1200</v>
      </c>
      <c r="AV42" s="73">
        <f>+AU42</f>
        <v>1200</v>
      </c>
      <c r="AW42" s="28">
        <v>0</v>
      </c>
      <c r="AX42" s="28">
        <v>0</v>
      </c>
      <c r="AY42" s="28"/>
      <c r="AZ42" s="67"/>
      <c r="BB42" s="67"/>
      <c r="BD42" s="16">
        <v>1200</v>
      </c>
      <c r="BE42" s="40">
        <f>+BD42/1.2</f>
        <v>1000</v>
      </c>
      <c r="BF42" s="40">
        <f>+BE42*0.2</f>
        <v>200</v>
      </c>
      <c r="BG42" s="41">
        <v>1254</v>
      </c>
      <c r="BH42" s="41" t="s">
        <v>187</v>
      </c>
      <c r="BI42" s="95">
        <v>901116</v>
      </c>
      <c r="BJ42" s="42">
        <v>160200</v>
      </c>
    </row>
    <row r="43" spans="1:62" ht="19.5" customHeight="1">
      <c r="A43" s="108" t="s">
        <v>223</v>
      </c>
      <c r="B43" s="16">
        <v>0</v>
      </c>
      <c r="C43" s="16">
        <v>480</v>
      </c>
      <c r="D43" s="22">
        <v>480</v>
      </c>
      <c r="E43" s="24">
        <f>+D43/C43*100</f>
        <v>100</v>
      </c>
      <c r="F43" s="71" t="s">
        <v>166</v>
      </c>
      <c r="G43" s="71" t="s">
        <v>166</v>
      </c>
      <c r="H43" s="25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7">
        <f>+AT43+AU43+AW43+AX43</f>
        <v>1200</v>
      </c>
      <c r="AT43" s="28">
        <v>0</v>
      </c>
      <c r="AU43" s="16">
        <v>1200</v>
      </c>
      <c r="AV43" s="73">
        <f>+AU43</f>
        <v>1200</v>
      </c>
      <c r="AW43" s="28">
        <v>0</v>
      </c>
      <c r="AX43" s="28">
        <v>0</v>
      </c>
      <c r="AY43" s="28"/>
      <c r="AZ43" s="67"/>
      <c r="BB43" s="67"/>
      <c r="BD43" s="16">
        <v>1200</v>
      </c>
      <c r="BE43" s="40">
        <f>+BD43/1.2</f>
        <v>1000</v>
      </c>
      <c r="BF43" s="40">
        <f>+BE43*0.2</f>
        <v>200</v>
      </c>
      <c r="BG43" s="41">
        <v>1254</v>
      </c>
      <c r="BH43" s="41" t="s">
        <v>187</v>
      </c>
      <c r="BI43" s="95">
        <v>901116</v>
      </c>
      <c r="BJ43" s="42">
        <v>160200</v>
      </c>
    </row>
    <row r="44" spans="1:62" ht="19.5" customHeight="1">
      <c r="A44" s="108" t="s">
        <v>245</v>
      </c>
      <c r="B44" s="16">
        <v>0</v>
      </c>
      <c r="C44" s="16">
        <v>190</v>
      </c>
      <c r="D44" s="22">
        <v>190</v>
      </c>
      <c r="E44" s="24">
        <f t="shared" si="7"/>
        <v>100</v>
      </c>
      <c r="F44" s="18">
        <v>152</v>
      </c>
      <c r="G44" s="24">
        <f t="shared" si="8"/>
        <v>80</v>
      </c>
      <c r="H44" s="25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7">
        <f>+AT44+AU44+AW44+AX44</f>
        <v>1200</v>
      </c>
      <c r="AT44" s="28">
        <v>0</v>
      </c>
      <c r="AU44" s="16">
        <v>1200</v>
      </c>
      <c r="AV44" s="73">
        <f t="shared" si="12"/>
        <v>1200</v>
      </c>
      <c r="AW44" s="28">
        <v>0</v>
      </c>
      <c r="AX44" s="28">
        <v>0</v>
      </c>
      <c r="AY44" s="28"/>
      <c r="AZ44" s="67"/>
      <c r="BB44" s="67"/>
      <c r="BD44" s="16">
        <v>1200</v>
      </c>
      <c r="BE44" s="40">
        <f t="shared" si="9"/>
        <v>1000</v>
      </c>
      <c r="BF44" s="40">
        <f t="shared" si="10"/>
        <v>200</v>
      </c>
      <c r="BG44" s="41">
        <v>1254</v>
      </c>
      <c r="BH44" s="41" t="s">
        <v>187</v>
      </c>
      <c r="BI44" s="95">
        <v>901116</v>
      </c>
      <c r="BJ44" s="42">
        <v>160200</v>
      </c>
    </row>
    <row r="45" spans="1:62" s="82" customFormat="1" ht="20.25" customHeight="1">
      <c r="A45" s="6" t="s">
        <v>23</v>
      </c>
      <c r="B45" s="17">
        <f>SUM(B24:B44)</f>
        <v>658914</v>
      </c>
      <c r="C45" s="17">
        <f>SUM(C24:C44)</f>
        <v>656470</v>
      </c>
      <c r="D45" s="17">
        <f>SUM(D24:D44)</f>
        <v>651063</v>
      </c>
      <c r="E45" s="76">
        <f t="shared" si="7"/>
        <v>99.17635230855942</v>
      </c>
      <c r="F45" s="17">
        <f>SUM(F24:F44)</f>
        <v>480250</v>
      </c>
      <c r="G45" s="76">
        <f t="shared" si="8"/>
        <v>73.15642755952291</v>
      </c>
      <c r="H45" s="77"/>
      <c r="I45" s="78"/>
      <c r="J45" s="78"/>
      <c r="K45" s="78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  <c r="AP45" s="78"/>
      <c r="AQ45" s="78"/>
      <c r="AR45" s="78"/>
      <c r="AS45" s="79">
        <f aca="true" t="shared" si="13" ref="AS45:AY45">SUM(AS24:AS44)</f>
        <v>1840564</v>
      </c>
      <c r="AT45" s="17">
        <f t="shared" si="13"/>
        <v>435892</v>
      </c>
      <c r="AU45" s="17">
        <f t="shared" si="13"/>
        <v>661314</v>
      </c>
      <c r="AV45" s="17">
        <f t="shared" si="13"/>
        <v>141520.8</v>
      </c>
      <c r="AW45" s="17">
        <f t="shared" si="13"/>
        <v>742636</v>
      </c>
      <c r="AX45" s="17">
        <f t="shared" si="13"/>
        <v>722</v>
      </c>
      <c r="AY45" s="17">
        <f t="shared" si="13"/>
        <v>0</v>
      </c>
      <c r="AZ45" s="80"/>
      <c r="BA45" s="81"/>
      <c r="BD45" s="17">
        <f>SUM(BD24:BD44)</f>
        <v>661314</v>
      </c>
      <c r="BE45" s="17">
        <f>SUM(BE24:BE44)</f>
        <v>551094.9999999998</v>
      </c>
      <c r="BF45" s="17">
        <f>SUM(BF24:BF44)</f>
        <v>110219</v>
      </c>
      <c r="BG45" s="83"/>
      <c r="BH45" s="78"/>
      <c r="BI45" s="84"/>
      <c r="BJ45" s="42">
        <v>160200</v>
      </c>
    </row>
    <row r="46" spans="1:62" s="31" customFormat="1" ht="20.25" customHeight="1">
      <c r="A46" s="2" t="s">
        <v>24</v>
      </c>
      <c r="B46" s="15"/>
      <c r="C46" s="15"/>
      <c r="D46" s="85"/>
      <c r="E46" s="24"/>
      <c r="F46" s="18"/>
      <c r="G46" s="24"/>
      <c r="H46" s="86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87"/>
      <c r="AT46" s="28"/>
      <c r="AU46" s="15"/>
      <c r="AV46" s="29"/>
      <c r="AW46" s="28">
        <v>0</v>
      </c>
      <c r="AX46" s="28">
        <v>0</v>
      </c>
      <c r="AY46" s="28"/>
      <c r="AZ46" s="67"/>
      <c r="BA46" s="30"/>
      <c r="BD46" s="15"/>
      <c r="BE46" s="40"/>
      <c r="BF46" s="40"/>
      <c r="BG46" s="62"/>
      <c r="BH46" s="58"/>
      <c r="BI46" s="63"/>
      <c r="BJ46" s="58"/>
    </row>
    <row r="47" spans="1:62" s="31" customFormat="1" ht="19.5" customHeight="1">
      <c r="A47" s="4" t="s">
        <v>141</v>
      </c>
      <c r="B47" s="15">
        <f>152+658</f>
        <v>810</v>
      </c>
      <c r="C47" s="15">
        <f>152+658</f>
        <v>810</v>
      </c>
      <c r="D47" s="22">
        <v>809</v>
      </c>
      <c r="E47" s="24">
        <f>+D47/C47*100</f>
        <v>99.87654320987654</v>
      </c>
      <c r="F47" s="18">
        <v>809</v>
      </c>
      <c r="G47" s="24">
        <f>+F47/C47*100</f>
        <v>99.87654320987654</v>
      </c>
      <c r="H47" s="70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87">
        <f>+AT47+AU47+AW47+AX47</f>
        <v>810</v>
      </c>
      <c r="AT47" s="28">
        <v>0</v>
      </c>
      <c r="AU47" s="15">
        <f>152+658</f>
        <v>810</v>
      </c>
      <c r="AV47" s="29">
        <f>+AU47</f>
        <v>810</v>
      </c>
      <c r="AW47" s="28">
        <v>0</v>
      </c>
      <c r="AX47" s="28">
        <v>0</v>
      </c>
      <c r="AY47" s="28"/>
      <c r="AZ47" s="67"/>
      <c r="BA47" s="30"/>
      <c r="BD47" s="15">
        <f>152+658</f>
        <v>810</v>
      </c>
      <c r="BE47" s="40">
        <f>+BD47/1.2</f>
        <v>675</v>
      </c>
      <c r="BF47" s="40">
        <f>+BE47*0.2</f>
        <v>135</v>
      </c>
      <c r="BG47" s="41">
        <v>1254</v>
      </c>
      <c r="BH47" s="41" t="s">
        <v>187</v>
      </c>
      <c r="BI47" s="95">
        <v>751878</v>
      </c>
      <c r="BJ47" s="42">
        <v>160400</v>
      </c>
    </row>
    <row r="48" spans="1:62" ht="19.5" customHeight="1">
      <c r="A48" s="108" t="s">
        <v>252</v>
      </c>
      <c r="B48" s="16">
        <f>4000-2000+1000</f>
        <v>3000</v>
      </c>
      <c r="C48" s="16">
        <f>4000-2000+1000+826+506</f>
        <v>4332</v>
      </c>
      <c r="D48" s="22">
        <f>3826+403</f>
        <v>4229</v>
      </c>
      <c r="E48" s="24">
        <f>+D48/C48*100</f>
        <v>97.62234533702677</v>
      </c>
      <c r="F48" s="71" t="s">
        <v>166</v>
      </c>
      <c r="G48" s="71" t="s">
        <v>166</v>
      </c>
      <c r="H48" s="25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7">
        <f>+AT48+AU48+AW48+AX48</f>
        <v>18379</v>
      </c>
      <c r="AT48" s="28">
        <v>15379</v>
      </c>
      <c r="AU48" s="16">
        <f>4000-2000+1000</f>
        <v>3000</v>
      </c>
      <c r="AV48" s="73">
        <f>+AU48</f>
        <v>3000</v>
      </c>
      <c r="AW48" s="28">
        <v>0</v>
      </c>
      <c r="AX48" s="28">
        <v>0</v>
      </c>
      <c r="AY48" s="28"/>
      <c r="AZ48" s="67"/>
      <c r="BB48" s="67"/>
      <c r="BD48" s="16">
        <f>4000-2000+1000</f>
        <v>3000</v>
      </c>
      <c r="BE48" s="40">
        <f>+BD48/1.2</f>
        <v>2500</v>
      </c>
      <c r="BF48" s="40">
        <f>+BE48*0.2</f>
        <v>500</v>
      </c>
      <c r="BG48" s="41">
        <v>1254</v>
      </c>
      <c r="BH48" s="41" t="s">
        <v>187</v>
      </c>
      <c r="BI48" s="95">
        <v>751878</v>
      </c>
      <c r="BJ48" s="42">
        <v>160400</v>
      </c>
    </row>
    <row r="49" spans="1:62" ht="19.5" customHeight="1">
      <c r="A49" s="5" t="s">
        <v>107</v>
      </c>
      <c r="B49" s="16">
        <v>0</v>
      </c>
      <c r="C49" s="16">
        <f>1238+263+1300+615</f>
        <v>3416</v>
      </c>
      <c r="D49" s="22">
        <f>879+2537</f>
        <v>3416</v>
      </c>
      <c r="E49" s="24">
        <f>+D49/C49*100</f>
        <v>100</v>
      </c>
      <c r="F49" s="71" t="s">
        <v>166</v>
      </c>
      <c r="G49" s="71" t="s">
        <v>166</v>
      </c>
      <c r="H49" s="25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7">
        <f>+AT49+AU49+AW49+AX49</f>
        <v>0</v>
      </c>
      <c r="AT49" s="28"/>
      <c r="AU49" s="16"/>
      <c r="AV49" s="73">
        <f>+AU49</f>
        <v>0</v>
      </c>
      <c r="AW49" s="28">
        <v>0</v>
      </c>
      <c r="AX49" s="28">
        <v>0</v>
      </c>
      <c r="AY49" s="28"/>
      <c r="AZ49" s="67"/>
      <c r="BB49" s="67"/>
      <c r="BD49" s="16"/>
      <c r="BE49" s="40">
        <f>+BD49/1.2</f>
        <v>0</v>
      </c>
      <c r="BF49" s="40">
        <f>+BE49*0.2</f>
        <v>0</v>
      </c>
      <c r="BG49" s="41">
        <v>1254</v>
      </c>
      <c r="BH49" s="41" t="s">
        <v>187</v>
      </c>
      <c r="BI49" s="95">
        <v>751878</v>
      </c>
      <c r="BJ49" s="42">
        <v>160400</v>
      </c>
    </row>
    <row r="50" spans="1:62" s="82" customFormat="1" ht="20.25" customHeight="1">
      <c r="A50" s="6" t="s">
        <v>25</v>
      </c>
      <c r="B50" s="17">
        <f>SUM(B47:B49)</f>
        <v>3810</v>
      </c>
      <c r="C50" s="17">
        <f>SUM(C47:C49)</f>
        <v>8558</v>
      </c>
      <c r="D50" s="17">
        <f>SUM(D47:D49)</f>
        <v>8454</v>
      </c>
      <c r="E50" s="76">
        <f>+D50/C50*100</f>
        <v>98.78476279504557</v>
      </c>
      <c r="F50" s="17">
        <f>SUM(F47:F49)</f>
        <v>809</v>
      </c>
      <c r="G50" s="76">
        <f>+F50/C50*100</f>
        <v>9.453143257770508</v>
      </c>
      <c r="H50" s="77"/>
      <c r="I50" s="78"/>
      <c r="J50" s="78"/>
      <c r="K50" s="78"/>
      <c r="L50" s="78"/>
      <c r="M50" s="78"/>
      <c r="N50" s="78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  <c r="AP50" s="78"/>
      <c r="AQ50" s="78"/>
      <c r="AR50" s="78"/>
      <c r="AS50" s="79">
        <f aca="true" t="shared" si="14" ref="AS50:AY50">SUM(AS47:AS49)</f>
        <v>19189</v>
      </c>
      <c r="AT50" s="17">
        <f t="shared" si="14"/>
        <v>15379</v>
      </c>
      <c r="AU50" s="17">
        <f t="shared" si="14"/>
        <v>3810</v>
      </c>
      <c r="AV50" s="17">
        <f t="shared" si="14"/>
        <v>3810</v>
      </c>
      <c r="AW50" s="17">
        <f t="shared" si="14"/>
        <v>0</v>
      </c>
      <c r="AX50" s="17">
        <f t="shared" si="14"/>
        <v>0</v>
      </c>
      <c r="AY50" s="17">
        <f t="shared" si="14"/>
        <v>0</v>
      </c>
      <c r="AZ50" s="80"/>
      <c r="BA50" s="81"/>
      <c r="BD50" s="17">
        <f>SUM(BD47:BD49)</f>
        <v>3810</v>
      </c>
      <c r="BE50" s="17">
        <f>SUM(BE47:BE49)</f>
        <v>3175</v>
      </c>
      <c r="BF50" s="17">
        <f>SUM(BF47:BF49)</f>
        <v>635</v>
      </c>
      <c r="BG50" s="83"/>
      <c r="BH50" s="78"/>
      <c r="BI50" s="84"/>
      <c r="BJ50" s="42">
        <v>160400</v>
      </c>
    </row>
    <row r="51" spans="1:62" s="31" customFormat="1" ht="20.25" customHeight="1">
      <c r="A51" s="2" t="s">
        <v>26</v>
      </c>
      <c r="B51" s="15"/>
      <c r="C51" s="15"/>
      <c r="D51" s="85"/>
      <c r="E51" s="24"/>
      <c r="F51" s="18"/>
      <c r="G51" s="24"/>
      <c r="H51" s="86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87"/>
      <c r="AT51" s="28"/>
      <c r="AU51" s="15"/>
      <c r="AV51" s="29"/>
      <c r="AW51" s="28">
        <v>0</v>
      </c>
      <c r="AX51" s="28">
        <v>0</v>
      </c>
      <c r="AY51" s="28"/>
      <c r="AZ51" s="67"/>
      <c r="BA51" s="30"/>
      <c r="BD51" s="15"/>
      <c r="BE51" s="40"/>
      <c r="BF51" s="40"/>
      <c r="BG51" s="62"/>
      <c r="BH51" s="58"/>
      <c r="BI51" s="63"/>
      <c r="BJ51" s="58"/>
    </row>
    <row r="52" spans="1:62" s="31" customFormat="1" ht="20.25" customHeight="1">
      <c r="A52" s="4" t="s">
        <v>56</v>
      </c>
      <c r="B52" s="15">
        <v>334358</v>
      </c>
      <c r="C52" s="15">
        <v>334358</v>
      </c>
      <c r="D52" s="22">
        <v>334358</v>
      </c>
      <c r="E52" s="24">
        <f aca="true" t="shared" si="15" ref="E52:E73">+D52/C52*100</f>
        <v>100</v>
      </c>
      <c r="F52" s="18">
        <v>334358</v>
      </c>
      <c r="G52" s="24">
        <f aca="true" t="shared" si="16" ref="G52:G73">+F52/C52*100</f>
        <v>100</v>
      </c>
      <c r="H52" s="70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87">
        <f>+AT52+AU52+AW52+AX52</f>
        <v>453560</v>
      </c>
      <c r="AT52" s="28">
        <v>119202</v>
      </c>
      <c r="AU52" s="15">
        <v>334358</v>
      </c>
      <c r="AV52" s="29">
        <v>0</v>
      </c>
      <c r="AW52" s="28">
        <v>0</v>
      </c>
      <c r="AX52" s="28">
        <v>0</v>
      </c>
      <c r="AY52" s="28"/>
      <c r="AZ52" s="67" t="s">
        <v>161</v>
      </c>
      <c r="BA52" s="29">
        <f>-321820-11342-10031</f>
        <v>-343193</v>
      </c>
      <c r="BD52" s="15">
        <v>334358</v>
      </c>
      <c r="BE52" s="40">
        <f aca="true" t="shared" si="17" ref="BE52:BE73">+BD52/1.2</f>
        <v>278631.6666666667</v>
      </c>
      <c r="BF52" s="40">
        <f aca="true" t="shared" si="18" ref="BF52:BF73">+BE52*0.2</f>
        <v>55726.33333333334</v>
      </c>
      <c r="BG52" s="41">
        <v>1254</v>
      </c>
      <c r="BH52" s="41" t="s">
        <v>187</v>
      </c>
      <c r="BI52" s="95">
        <v>902113</v>
      </c>
      <c r="BJ52" s="42">
        <v>160501</v>
      </c>
    </row>
    <row r="53" spans="1:62" s="94" customFormat="1" ht="20.25" customHeight="1">
      <c r="A53" s="4" t="s">
        <v>259</v>
      </c>
      <c r="B53" s="18">
        <f>107211</f>
        <v>107211</v>
      </c>
      <c r="C53" s="18">
        <f>107211</f>
        <v>107211</v>
      </c>
      <c r="D53" s="22">
        <f>374+420+13961</f>
        <v>14755</v>
      </c>
      <c r="E53" s="24">
        <f t="shared" si="15"/>
        <v>13.762580332242027</v>
      </c>
      <c r="F53" s="18">
        <v>134</v>
      </c>
      <c r="G53" s="24">
        <f t="shared" si="16"/>
        <v>0.12498717482347893</v>
      </c>
      <c r="H53" s="109"/>
      <c r="I53" s="110"/>
      <c r="J53" s="110"/>
      <c r="K53" s="110"/>
      <c r="L53" s="110"/>
      <c r="M53" s="110"/>
      <c r="N53" s="110"/>
      <c r="O53" s="110"/>
      <c r="P53" s="110"/>
      <c r="Q53" s="110"/>
      <c r="R53" s="110"/>
      <c r="S53" s="110"/>
      <c r="T53" s="110"/>
      <c r="U53" s="110"/>
      <c r="V53" s="110"/>
      <c r="W53" s="110"/>
      <c r="X53" s="110"/>
      <c r="Y53" s="110"/>
      <c r="Z53" s="110"/>
      <c r="AA53" s="110"/>
      <c r="AB53" s="110"/>
      <c r="AC53" s="110"/>
      <c r="AD53" s="110"/>
      <c r="AE53" s="110"/>
      <c r="AF53" s="110"/>
      <c r="AG53" s="110"/>
      <c r="AH53" s="110"/>
      <c r="AI53" s="110"/>
      <c r="AJ53" s="110"/>
      <c r="AK53" s="110"/>
      <c r="AL53" s="110"/>
      <c r="AM53" s="110"/>
      <c r="AN53" s="110"/>
      <c r="AO53" s="110"/>
      <c r="AP53" s="110"/>
      <c r="AQ53" s="110"/>
      <c r="AR53" s="110"/>
      <c r="AS53" s="90">
        <f>+AT53+AU53+AW53+AX53+AY53</f>
        <v>159401</v>
      </c>
      <c r="AT53" s="28">
        <v>0</v>
      </c>
      <c r="AU53" s="18">
        <f>107211-AT53</f>
        <v>107211</v>
      </c>
      <c r="AV53" s="91">
        <f>+AU53-101850-3217-133</f>
        <v>2011</v>
      </c>
      <c r="AW53" s="28">
        <v>52190</v>
      </c>
      <c r="AX53" s="28">
        <v>0</v>
      </c>
      <c r="AY53" s="92">
        <v>0</v>
      </c>
      <c r="AZ53" s="93" t="s">
        <v>260</v>
      </c>
      <c r="BA53" s="28"/>
      <c r="BD53" s="18">
        <f>107211</f>
        <v>107211</v>
      </c>
      <c r="BE53" s="40">
        <f t="shared" si="17"/>
        <v>89342.5</v>
      </c>
      <c r="BF53" s="40">
        <f t="shared" si="18"/>
        <v>17868.5</v>
      </c>
      <c r="BG53" s="41">
        <v>1254</v>
      </c>
      <c r="BH53" s="41" t="s">
        <v>187</v>
      </c>
      <c r="BI53" s="95">
        <v>902113</v>
      </c>
      <c r="BJ53" s="42">
        <v>160502</v>
      </c>
    </row>
    <row r="54" spans="1:62" s="94" customFormat="1" ht="20.25" customHeight="1">
      <c r="A54" s="4" t="s">
        <v>247</v>
      </c>
      <c r="B54" s="15">
        <v>0</v>
      </c>
      <c r="C54" s="18">
        <v>3480</v>
      </c>
      <c r="D54" s="22">
        <v>3480</v>
      </c>
      <c r="E54" s="24">
        <f t="shared" si="15"/>
        <v>100</v>
      </c>
      <c r="F54" s="71" t="s">
        <v>166</v>
      </c>
      <c r="G54" s="71" t="s">
        <v>166</v>
      </c>
      <c r="H54" s="109"/>
      <c r="I54" s="110"/>
      <c r="J54" s="110"/>
      <c r="K54" s="110"/>
      <c r="L54" s="110"/>
      <c r="M54" s="110"/>
      <c r="N54" s="110"/>
      <c r="O54" s="110"/>
      <c r="P54" s="110"/>
      <c r="Q54" s="110"/>
      <c r="R54" s="110"/>
      <c r="S54" s="110"/>
      <c r="T54" s="110"/>
      <c r="U54" s="110"/>
      <c r="V54" s="110"/>
      <c r="W54" s="110"/>
      <c r="X54" s="110"/>
      <c r="Y54" s="110"/>
      <c r="Z54" s="110"/>
      <c r="AA54" s="110"/>
      <c r="AB54" s="110"/>
      <c r="AC54" s="110"/>
      <c r="AD54" s="110"/>
      <c r="AE54" s="110"/>
      <c r="AF54" s="110"/>
      <c r="AG54" s="110"/>
      <c r="AH54" s="110"/>
      <c r="AI54" s="110"/>
      <c r="AJ54" s="110"/>
      <c r="AK54" s="110"/>
      <c r="AL54" s="110"/>
      <c r="AM54" s="110"/>
      <c r="AN54" s="110"/>
      <c r="AO54" s="110"/>
      <c r="AP54" s="110"/>
      <c r="AQ54" s="110"/>
      <c r="AR54" s="110"/>
      <c r="AS54" s="90"/>
      <c r="AT54" s="28"/>
      <c r="AU54" s="18"/>
      <c r="AV54" s="91"/>
      <c r="AW54" s="28"/>
      <c r="AX54" s="28"/>
      <c r="AY54" s="92"/>
      <c r="AZ54" s="93"/>
      <c r="BA54" s="111"/>
      <c r="BD54" s="18"/>
      <c r="BE54" s="40"/>
      <c r="BF54" s="40"/>
      <c r="BG54" s="41"/>
      <c r="BH54" s="41"/>
      <c r="BI54" s="95"/>
      <c r="BJ54" s="42"/>
    </row>
    <row r="55" spans="1:62" s="31" customFormat="1" ht="20.25" customHeight="1">
      <c r="A55" s="9" t="s">
        <v>61</v>
      </c>
      <c r="B55" s="15">
        <v>40000</v>
      </c>
      <c r="C55" s="15">
        <v>40000</v>
      </c>
      <c r="D55" s="22">
        <f>22200+3072+250</f>
        <v>25522</v>
      </c>
      <c r="E55" s="24">
        <f t="shared" si="15"/>
        <v>63.805</v>
      </c>
      <c r="F55" s="18">
        <v>6660</v>
      </c>
      <c r="G55" s="24">
        <f t="shared" si="16"/>
        <v>16.650000000000002</v>
      </c>
      <c r="H55" s="70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87">
        <f aca="true" t="shared" si="19" ref="AS55:AS75">+AT55+AU55+AW55+AX55</f>
        <v>40000</v>
      </c>
      <c r="AT55" s="28">
        <v>0</v>
      </c>
      <c r="AU55" s="15">
        <v>40000</v>
      </c>
      <c r="AV55" s="29">
        <v>0</v>
      </c>
      <c r="AW55" s="28">
        <v>0</v>
      </c>
      <c r="AX55" s="28">
        <v>0</v>
      </c>
      <c r="AY55" s="28"/>
      <c r="AZ55" s="67" t="s">
        <v>96</v>
      </c>
      <c r="BA55" s="30"/>
      <c r="BD55" s="15">
        <v>40000</v>
      </c>
      <c r="BE55" s="40">
        <f t="shared" si="17"/>
        <v>33333.333333333336</v>
      </c>
      <c r="BF55" s="40">
        <f t="shared" si="18"/>
        <v>6666.666666666668</v>
      </c>
      <c r="BG55" s="41">
        <v>1254</v>
      </c>
      <c r="BH55" s="41" t="s">
        <v>187</v>
      </c>
      <c r="BI55" s="95">
        <v>902113</v>
      </c>
      <c r="BJ55" s="42">
        <v>160500</v>
      </c>
    </row>
    <row r="56" spans="1:62" s="31" customFormat="1" ht="20.25" customHeight="1">
      <c r="A56" s="8" t="s">
        <v>264</v>
      </c>
      <c r="B56" s="15">
        <f>2000+1600</f>
        <v>3600</v>
      </c>
      <c r="C56" s="15">
        <f>2000+1600</f>
        <v>3600</v>
      </c>
      <c r="D56" s="22">
        <v>3600</v>
      </c>
      <c r="E56" s="24">
        <f t="shared" si="15"/>
        <v>100</v>
      </c>
      <c r="F56" s="18">
        <v>3600</v>
      </c>
      <c r="G56" s="24">
        <f t="shared" si="16"/>
        <v>100</v>
      </c>
      <c r="H56" s="25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87">
        <f t="shared" si="19"/>
        <v>2000</v>
      </c>
      <c r="AT56" s="28">
        <v>0</v>
      </c>
      <c r="AU56" s="15">
        <v>2000</v>
      </c>
      <c r="AV56" s="29">
        <f>+AU56</f>
        <v>2000</v>
      </c>
      <c r="AW56" s="28">
        <v>0</v>
      </c>
      <c r="AX56" s="28">
        <v>0</v>
      </c>
      <c r="AY56" s="28"/>
      <c r="AZ56" s="23" t="s">
        <v>164</v>
      </c>
      <c r="BA56" s="30"/>
      <c r="BD56" s="15">
        <v>2000</v>
      </c>
      <c r="BE56" s="40">
        <f t="shared" si="17"/>
        <v>1666.6666666666667</v>
      </c>
      <c r="BF56" s="40">
        <f t="shared" si="18"/>
        <v>333.33333333333337</v>
      </c>
      <c r="BG56" s="41">
        <v>1254</v>
      </c>
      <c r="BH56" s="41" t="s">
        <v>187</v>
      </c>
      <c r="BI56" s="95">
        <v>902113</v>
      </c>
      <c r="BJ56" s="42">
        <v>160500</v>
      </c>
    </row>
    <row r="57" spans="1:62" s="31" customFormat="1" ht="20.25" customHeight="1">
      <c r="A57" s="8" t="s">
        <v>241</v>
      </c>
      <c r="B57" s="15">
        <v>0</v>
      </c>
      <c r="C57" s="15">
        <v>12352</v>
      </c>
      <c r="D57" s="22">
        <v>12352</v>
      </c>
      <c r="E57" s="24">
        <f>+D57/C57*100</f>
        <v>100</v>
      </c>
      <c r="F57" s="71" t="s">
        <v>166</v>
      </c>
      <c r="G57" s="71" t="s">
        <v>166</v>
      </c>
      <c r="H57" s="25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87">
        <f>+AT57+AU57+AW57+AX57</f>
        <v>0</v>
      </c>
      <c r="AT57" s="28">
        <v>0</v>
      </c>
      <c r="AU57" s="15"/>
      <c r="AV57" s="29">
        <f>+AU57</f>
        <v>0</v>
      </c>
      <c r="AW57" s="28">
        <v>0</v>
      </c>
      <c r="AX57" s="28">
        <v>0</v>
      </c>
      <c r="AY57" s="28"/>
      <c r="AZ57" s="23"/>
      <c r="BA57" s="30"/>
      <c r="BD57" s="15"/>
      <c r="BE57" s="40">
        <f>+BD57/1.2</f>
        <v>0</v>
      </c>
      <c r="BF57" s="40">
        <f>+BE57*0.2</f>
        <v>0</v>
      </c>
      <c r="BG57" s="41">
        <v>1254</v>
      </c>
      <c r="BH57" s="41" t="s">
        <v>187</v>
      </c>
      <c r="BI57" s="95">
        <v>902113</v>
      </c>
      <c r="BJ57" s="42">
        <v>160500</v>
      </c>
    </row>
    <row r="58" spans="1:62" s="31" customFormat="1" ht="20.25" customHeight="1">
      <c r="A58" s="8" t="s">
        <v>246</v>
      </c>
      <c r="B58" s="15">
        <v>0</v>
      </c>
      <c r="C58" s="15">
        <f>498+240+60</f>
        <v>798</v>
      </c>
      <c r="D58" s="15">
        <f>498+240</f>
        <v>738</v>
      </c>
      <c r="E58" s="24">
        <f>+D58/C58*100</f>
        <v>92.4812030075188</v>
      </c>
      <c r="F58" s="71" t="s">
        <v>166</v>
      </c>
      <c r="G58" s="71" t="s">
        <v>166</v>
      </c>
      <c r="H58" s="25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87">
        <f>+AT58+AU58+AW58+AX58</f>
        <v>0</v>
      </c>
      <c r="AT58" s="28">
        <v>0</v>
      </c>
      <c r="AU58" s="15"/>
      <c r="AV58" s="29">
        <f>+AU58</f>
        <v>0</v>
      </c>
      <c r="AW58" s="28">
        <v>0</v>
      </c>
      <c r="AX58" s="28">
        <v>0</v>
      </c>
      <c r="AY58" s="28"/>
      <c r="AZ58" s="23"/>
      <c r="BA58" s="30"/>
      <c r="BD58" s="15"/>
      <c r="BE58" s="40">
        <f>+BD58/1.2</f>
        <v>0</v>
      </c>
      <c r="BF58" s="40">
        <f>+BE58*0.2</f>
        <v>0</v>
      </c>
      <c r="BG58" s="41">
        <v>1254</v>
      </c>
      <c r="BH58" s="41" t="s">
        <v>187</v>
      </c>
      <c r="BI58" s="95">
        <v>902113</v>
      </c>
      <c r="BJ58" s="42">
        <v>160500</v>
      </c>
    </row>
    <row r="59" spans="1:62" s="31" customFormat="1" ht="20.25" customHeight="1">
      <c r="A59" s="8" t="s">
        <v>122</v>
      </c>
      <c r="B59" s="15">
        <f>6341-36</f>
        <v>6305</v>
      </c>
      <c r="C59" s="15">
        <f>6341-36+237</f>
        <v>6542</v>
      </c>
      <c r="D59" s="22">
        <v>6542</v>
      </c>
      <c r="E59" s="24">
        <f t="shared" si="15"/>
        <v>100</v>
      </c>
      <c r="F59" s="18">
        <v>6542</v>
      </c>
      <c r="G59" s="24">
        <f t="shared" si="16"/>
        <v>100</v>
      </c>
      <c r="H59" s="70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87">
        <f t="shared" si="19"/>
        <v>30080</v>
      </c>
      <c r="AT59" s="28">
        <f>11575+12200</f>
        <v>23775</v>
      </c>
      <c r="AU59" s="15">
        <f>6341-36</f>
        <v>6305</v>
      </c>
      <c r="AV59" s="112">
        <f>+AU59-2804</f>
        <v>3501</v>
      </c>
      <c r="AW59" s="28">
        <v>0</v>
      </c>
      <c r="AX59" s="28">
        <v>0</v>
      </c>
      <c r="AY59" s="28"/>
      <c r="AZ59" s="67" t="s">
        <v>123</v>
      </c>
      <c r="BA59" s="30">
        <v>2804</v>
      </c>
      <c r="BD59" s="15">
        <f>6341-36</f>
        <v>6305</v>
      </c>
      <c r="BE59" s="40">
        <f t="shared" si="17"/>
        <v>5254.166666666667</v>
      </c>
      <c r="BF59" s="40">
        <f t="shared" si="18"/>
        <v>1050.8333333333335</v>
      </c>
      <c r="BG59" s="41">
        <v>1254</v>
      </c>
      <c r="BH59" s="41" t="s">
        <v>187</v>
      </c>
      <c r="BI59" s="95">
        <v>751845</v>
      </c>
      <c r="BJ59" s="42">
        <v>160500</v>
      </c>
    </row>
    <row r="60" spans="1:62" s="31" customFormat="1" ht="20.25" customHeight="1">
      <c r="A60" s="8" t="s">
        <v>176</v>
      </c>
      <c r="B60" s="15">
        <v>5759</v>
      </c>
      <c r="C60" s="15">
        <v>5759</v>
      </c>
      <c r="D60" s="22">
        <v>5759</v>
      </c>
      <c r="E60" s="24">
        <f t="shared" si="15"/>
        <v>100</v>
      </c>
      <c r="F60" s="18">
        <v>5759</v>
      </c>
      <c r="G60" s="24">
        <f t="shared" si="16"/>
        <v>100</v>
      </c>
      <c r="H60" s="70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87">
        <f t="shared" si="19"/>
        <v>21189</v>
      </c>
      <c r="AT60" s="28">
        <f>4875+10555</f>
        <v>15430</v>
      </c>
      <c r="AU60" s="15">
        <v>5759</v>
      </c>
      <c r="AV60" s="29">
        <f aca="true" t="shared" si="20" ref="AV60:AV73">+AU60</f>
        <v>5759</v>
      </c>
      <c r="AW60" s="28">
        <v>0</v>
      </c>
      <c r="AX60" s="28">
        <v>0</v>
      </c>
      <c r="AY60" s="28"/>
      <c r="AZ60" s="67" t="s">
        <v>117</v>
      </c>
      <c r="BA60" s="113"/>
      <c r="BD60" s="15">
        <v>5759</v>
      </c>
      <c r="BE60" s="40">
        <f t="shared" si="17"/>
        <v>4799.166666666667</v>
      </c>
      <c r="BF60" s="40">
        <f t="shared" si="18"/>
        <v>959.8333333333335</v>
      </c>
      <c r="BG60" s="41">
        <v>1254</v>
      </c>
      <c r="BH60" s="41" t="s">
        <v>187</v>
      </c>
      <c r="BI60" s="95">
        <v>751845</v>
      </c>
      <c r="BJ60" s="42">
        <v>160500</v>
      </c>
    </row>
    <row r="61" spans="1:62" s="31" customFormat="1" ht="20.25" customHeight="1">
      <c r="A61" s="9" t="s">
        <v>91</v>
      </c>
      <c r="B61" s="15">
        <v>14000</v>
      </c>
      <c r="C61" s="15">
        <f>14000-179-1204</f>
        <v>12617</v>
      </c>
      <c r="D61" s="22">
        <f>300+378+3819+6120</f>
        <v>10617</v>
      </c>
      <c r="E61" s="24">
        <f t="shared" si="15"/>
        <v>84.14837124514544</v>
      </c>
      <c r="F61" s="18">
        <v>10617</v>
      </c>
      <c r="G61" s="24">
        <f t="shared" si="16"/>
        <v>84.14837124514544</v>
      </c>
      <c r="H61" s="70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87">
        <f t="shared" si="19"/>
        <v>14000</v>
      </c>
      <c r="AT61" s="28">
        <v>0</v>
      </c>
      <c r="AU61" s="15">
        <v>14000</v>
      </c>
      <c r="AV61" s="29">
        <f t="shared" si="20"/>
        <v>14000</v>
      </c>
      <c r="AW61" s="28">
        <v>0</v>
      </c>
      <c r="AX61" s="28">
        <v>0</v>
      </c>
      <c r="AY61" s="28"/>
      <c r="AZ61" s="67"/>
      <c r="BA61" s="30"/>
      <c r="BD61" s="15">
        <v>14000</v>
      </c>
      <c r="BE61" s="40">
        <f t="shared" si="17"/>
        <v>11666.666666666668</v>
      </c>
      <c r="BF61" s="40">
        <f t="shared" si="18"/>
        <v>2333.3333333333335</v>
      </c>
      <c r="BG61" s="41">
        <v>1254</v>
      </c>
      <c r="BH61" s="41" t="s">
        <v>187</v>
      </c>
      <c r="BI61" s="95">
        <v>751845</v>
      </c>
      <c r="BJ61" s="42">
        <v>160500</v>
      </c>
    </row>
    <row r="62" spans="1:62" s="31" customFormat="1" ht="20.25" customHeight="1">
      <c r="A62" s="9" t="s">
        <v>62</v>
      </c>
      <c r="B62" s="15">
        <v>5250</v>
      </c>
      <c r="C62" s="15">
        <v>5250</v>
      </c>
      <c r="D62" s="22">
        <v>5250</v>
      </c>
      <c r="E62" s="24">
        <f t="shared" si="15"/>
        <v>100</v>
      </c>
      <c r="F62" s="71" t="s">
        <v>166</v>
      </c>
      <c r="G62" s="71" t="s">
        <v>166</v>
      </c>
      <c r="H62" s="64" t="s">
        <v>94</v>
      </c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5"/>
      <c r="AD62" s="65"/>
      <c r="AE62" s="65"/>
      <c r="AF62" s="65"/>
      <c r="AG62" s="65"/>
      <c r="AH62" s="65"/>
      <c r="AI62" s="65"/>
      <c r="AJ62" s="65"/>
      <c r="AK62" s="65"/>
      <c r="AL62" s="65"/>
      <c r="AM62" s="65"/>
      <c r="AN62" s="65"/>
      <c r="AO62" s="65"/>
      <c r="AP62" s="65"/>
      <c r="AQ62" s="65"/>
      <c r="AR62" s="66"/>
      <c r="AS62" s="87">
        <f t="shared" si="19"/>
        <v>64319</v>
      </c>
      <c r="AT62" s="28">
        <v>59069</v>
      </c>
      <c r="AU62" s="15">
        <v>5250</v>
      </c>
      <c r="AV62" s="29">
        <f t="shared" si="20"/>
        <v>5250</v>
      </c>
      <c r="AW62" s="28">
        <v>0</v>
      </c>
      <c r="AX62" s="28">
        <v>0</v>
      </c>
      <c r="AY62" s="28"/>
      <c r="AZ62" s="67" t="s">
        <v>142</v>
      </c>
      <c r="BA62" s="30"/>
      <c r="BD62" s="15">
        <v>5250</v>
      </c>
      <c r="BE62" s="40">
        <f t="shared" si="17"/>
        <v>4375</v>
      </c>
      <c r="BF62" s="40">
        <f t="shared" si="18"/>
        <v>875</v>
      </c>
      <c r="BG62" s="41">
        <v>1254</v>
      </c>
      <c r="BH62" s="41" t="s">
        <v>187</v>
      </c>
      <c r="BI62" s="95">
        <v>751845</v>
      </c>
      <c r="BJ62" s="42">
        <v>160500</v>
      </c>
    </row>
    <row r="63" spans="1:62" s="31" customFormat="1" ht="20.25" customHeight="1">
      <c r="A63" s="36" t="s">
        <v>63</v>
      </c>
      <c r="B63" s="32">
        <f>4440</f>
        <v>4440</v>
      </c>
      <c r="C63" s="32">
        <f>4440</f>
        <v>4440</v>
      </c>
      <c r="D63" s="114">
        <f>4404+36</f>
        <v>4440</v>
      </c>
      <c r="E63" s="115">
        <f t="shared" si="15"/>
        <v>100</v>
      </c>
      <c r="F63" s="116">
        <v>4404</v>
      </c>
      <c r="G63" s="115">
        <f t="shared" si="16"/>
        <v>99.1891891891892</v>
      </c>
      <c r="H63" s="117" t="s">
        <v>94</v>
      </c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5"/>
      <c r="Z63" s="65"/>
      <c r="AA63" s="65"/>
      <c r="AB63" s="65"/>
      <c r="AC63" s="65"/>
      <c r="AD63" s="65"/>
      <c r="AE63" s="65"/>
      <c r="AF63" s="65"/>
      <c r="AG63" s="65"/>
      <c r="AH63" s="65"/>
      <c r="AI63" s="65"/>
      <c r="AJ63" s="65"/>
      <c r="AK63" s="65"/>
      <c r="AL63" s="65"/>
      <c r="AM63" s="65"/>
      <c r="AN63" s="65"/>
      <c r="AO63" s="65"/>
      <c r="AP63" s="65"/>
      <c r="AQ63" s="65"/>
      <c r="AR63" s="66"/>
      <c r="AS63" s="87">
        <f t="shared" si="19"/>
        <v>45463</v>
      </c>
      <c r="AT63" s="28">
        <v>41023</v>
      </c>
      <c r="AU63" s="15">
        <f>4440</f>
        <v>4440</v>
      </c>
      <c r="AV63" s="29">
        <f t="shared" si="20"/>
        <v>4440</v>
      </c>
      <c r="AW63" s="28">
        <v>0</v>
      </c>
      <c r="AX63" s="28">
        <v>0</v>
      </c>
      <c r="AY63" s="28"/>
      <c r="AZ63" s="67" t="s">
        <v>143</v>
      </c>
      <c r="BA63" s="30"/>
      <c r="BD63" s="15">
        <f>4440</f>
        <v>4440</v>
      </c>
      <c r="BE63" s="40">
        <f t="shared" si="17"/>
        <v>3700</v>
      </c>
      <c r="BF63" s="40">
        <f t="shared" si="18"/>
        <v>740</v>
      </c>
      <c r="BG63" s="41">
        <v>1253</v>
      </c>
      <c r="BH63" s="41" t="s">
        <v>187</v>
      </c>
      <c r="BI63" s="95">
        <v>751845</v>
      </c>
      <c r="BJ63" s="42">
        <v>160500</v>
      </c>
    </row>
    <row r="64" spans="1:62" s="31" customFormat="1" ht="18.75" customHeight="1">
      <c r="A64" s="9" t="s">
        <v>64</v>
      </c>
      <c r="B64" s="15">
        <v>235</v>
      </c>
      <c r="C64" s="15">
        <v>235</v>
      </c>
      <c r="D64" s="22">
        <v>235</v>
      </c>
      <c r="E64" s="24">
        <f t="shared" si="15"/>
        <v>100</v>
      </c>
      <c r="F64" s="18">
        <v>235</v>
      </c>
      <c r="G64" s="24">
        <f t="shared" si="16"/>
        <v>100</v>
      </c>
      <c r="H64" s="70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87">
        <f t="shared" si="19"/>
        <v>11604</v>
      </c>
      <c r="AT64" s="28">
        <v>11369</v>
      </c>
      <c r="AU64" s="15">
        <v>235</v>
      </c>
      <c r="AV64" s="29">
        <f t="shared" si="20"/>
        <v>235</v>
      </c>
      <c r="AW64" s="28">
        <v>0</v>
      </c>
      <c r="AX64" s="28">
        <v>0</v>
      </c>
      <c r="AY64" s="28"/>
      <c r="AZ64" s="67"/>
      <c r="BA64" s="30"/>
      <c r="BD64" s="15">
        <v>235</v>
      </c>
      <c r="BE64" s="40">
        <f t="shared" si="17"/>
        <v>195.83333333333334</v>
      </c>
      <c r="BF64" s="40">
        <f t="shared" si="18"/>
        <v>39.16666666666667</v>
      </c>
      <c r="BG64" s="41">
        <v>13152</v>
      </c>
      <c r="BH64" s="41" t="s">
        <v>187</v>
      </c>
      <c r="BI64" s="95">
        <v>751845</v>
      </c>
      <c r="BJ64" s="42">
        <v>160500</v>
      </c>
    </row>
    <row r="65" spans="1:62" s="31" customFormat="1" ht="18.75" customHeight="1">
      <c r="A65" s="9" t="s">
        <v>266</v>
      </c>
      <c r="B65" s="15">
        <v>0</v>
      </c>
      <c r="C65" s="15">
        <v>108</v>
      </c>
      <c r="D65" s="22">
        <v>108</v>
      </c>
      <c r="E65" s="24">
        <f t="shared" si="15"/>
        <v>100</v>
      </c>
      <c r="F65" s="18">
        <v>108</v>
      </c>
      <c r="G65" s="24">
        <f t="shared" si="16"/>
        <v>100</v>
      </c>
      <c r="H65" s="64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6"/>
      <c r="AS65" s="87">
        <f t="shared" si="19"/>
        <v>0</v>
      </c>
      <c r="AT65" s="28"/>
      <c r="AU65" s="15">
        <v>0</v>
      </c>
      <c r="AV65" s="29">
        <f t="shared" si="20"/>
        <v>0</v>
      </c>
      <c r="AW65" s="28">
        <v>0</v>
      </c>
      <c r="AX65" s="28">
        <v>0</v>
      </c>
      <c r="AY65" s="28"/>
      <c r="AZ65" s="67"/>
      <c r="BA65" s="30"/>
      <c r="BD65" s="15"/>
      <c r="BE65" s="40">
        <f t="shared" si="17"/>
        <v>0</v>
      </c>
      <c r="BF65" s="40">
        <f t="shared" si="18"/>
        <v>0</v>
      </c>
      <c r="BG65" s="41">
        <v>1254</v>
      </c>
      <c r="BH65" s="41" t="s">
        <v>187</v>
      </c>
      <c r="BI65" s="95">
        <v>751845</v>
      </c>
      <c r="BJ65" s="42">
        <v>160500</v>
      </c>
    </row>
    <row r="66" spans="1:62" s="31" customFormat="1" ht="18.75" customHeight="1">
      <c r="A66" s="9" t="s">
        <v>169</v>
      </c>
      <c r="B66" s="15">
        <v>0</v>
      </c>
      <c r="C66" s="15">
        <v>16500</v>
      </c>
      <c r="D66" s="22">
        <v>16500</v>
      </c>
      <c r="E66" s="24">
        <f>+D66/C66*100</f>
        <v>100</v>
      </c>
      <c r="F66" s="18">
        <v>11550</v>
      </c>
      <c r="G66" s="24">
        <f>+F66/C66*100</f>
        <v>70</v>
      </c>
      <c r="H66" s="64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5"/>
      <c r="X66" s="65"/>
      <c r="Y66" s="65"/>
      <c r="Z66" s="65"/>
      <c r="AA66" s="65"/>
      <c r="AB66" s="65"/>
      <c r="AC66" s="65"/>
      <c r="AD66" s="65"/>
      <c r="AE66" s="65"/>
      <c r="AF66" s="65"/>
      <c r="AG66" s="65"/>
      <c r="AH66" s="65"/>
      <c r="AI66" s="65"/>
      <c r="AJ66" s="65"/>
      <c r="AK66" s="65"/>
      <c r="AL66" s="65"/>
      <c r="AM66" s="65"/>
      <c r="AN66" s="65"/>
      <c r="AO66" s="65"/>
      <c r="AP66" s="65"/>
      <c r="AQ66" s="65"/>
      <c r="AR66" s="66"/>
      <c r="AS66" s="87">
        <f>+AT66+AU66+AW66+AX66</f>
        <v>0</v>
      </c>
      <c r="AT66" s="28"/>
      <c r="AU66" s="15">
        <v>0</v>
      </c>
      <c r="AV66" s="29">
        <f t="shared" si="20"/>
        <v>0</v>
      </c>
      <c r="AW66" s="28">
        <v>0</v>
      </c>
      <c r="AX66" s="28">
        <v>0</v>
      </c>
      <c r="AY66" s="28"/>
      <c r="AZ66" s="67"/>
      <c r="BA66" s="30"/>
      <c r="BD66" s="15"/>
      <c r="BE66" s="40">
        <f t="shared" si="17"/>
        <v>0</v>
      </c>
      <c r="BF66" s="40">
        <f t="shared" si="18"/>
        <v>0</v>
      </c>
      <c r="BG66" s="41">
        <v>1254</v>
      </c>
      <c r="BH66" s="41" t="s">
        <v>187</v>
      </c>
      <c r="BI66" s="95">
        <v>751845</v>
      </c>
      <c r="BJ66" s="42">
        <v>160500</v>
      </c>
    </row>
    <row r="67" spans="1:62" s="31" customFormat="1" ht="18.75" customHeight="1">
      <c r="A67" s="9" t="s">
        <v>227</v>
      </c>
      <c r="B67" s="15">
        <v>0</v>
      </c>
      <c r="C67" s="15">
        <v>2340</v>
      </c>
      <c r="D67" s="22">
        <v>2340</v>
      </c>
      <c r="E67" s="24">
        <f>+D67/C67*100</f>
        <v>100</v>
      </c>
      <c r="F67" s="71" t="s">
        <v>166</v>
      </c>
      <c r="G67" s="71" t="s">
        <v>166</v>
      </c>
      <c r="H67" s="64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65"/>
      <c r="AO67" s="65"/>
      <c r="AP67" s="65"/>
      <c r="AQ67" s="65"/>
      <c r="AR67" s="66"/>
      <c r="AS67" s="87">
        <f>+AT67+AU67+AW67+AX67</f>
        <v>0</v>
      </c>
      <c r="AT67" s="28"/>
      <c r="AU67" s="15">
        <v>0</v>
      </c>
      <c r="AV67" s="29">
        <f>+AU67</f>
        <v>0</v>
      </c>
      <c r="AW67" s="28">
        <v>0</v>
      </c>
      <c r="AX67" s="28">
        <v>0</v>
      </c>
      <c r="AY67" s="28"/>
      <c r="AZ67" s="67"/>
      <c r="BA67" s="30"/>
      <c r="BD67" s="15"/>
      <c r="BE67" s="40">
        <f>+BD67/1.2</f>
        <v>0</v>
      </c>
      <c r="BF67" s="40">
        <f>+BE67*0.2</f>
        <v>0</v>
      </c>
      <c r="BG67" s="41">
        <v>1254</v>
      </c>
      <c r="BH67" s="41" t="s">
        <v>187</v>
      </c>
      <c r="BI67" s="95">
        <v>751845</v>
      </c>
      <c r="BJ67" s="42">
        <v>160500</v>
      </c>
    </row>
    <row r="68" spans="1:62" s="31" customFormat="1" ht="18.75" customHeight="1">
      <c r="A68" s="8" t="s">
        <v>66</v>
      </c>
      <c r="B68" s="15">
        <v>18020</v>
      </c>
      <c r="C68" s="15">
        <v>18020</v>
      </c>
      <c r="D68" s="22">
        <f>16071+840</f>
        <v>16911</v>
      </c>
      <c r="E68" s="24">
        <f t="shared" si="15"/>
        <v>93.8457269700333</v>
      </c>
      <c r="F68" s="71" t="s">
        <v>166</v>
      </c>
      <c r="G68" s="71" t="s">
        <v>166</v>
      </c>
      <c r="H68" s="25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87">
        <f t="shared" si="19"/>
        <v>20000</v>
      </c>
      <c r="AT68" s="28">
        <v>1980</v>
      </c>
      <c r="AU68" s="15">
        <v>18020</v>
      </c>
      <c r="AV68" s="29">
        <f t="shared" si="20"/>
        <v>18020</v>
      </c>
      <c r="AW68" s="28">
        <v>0</v>
      </c>
      <c r="AX68" s="28">
        <v>0</v>
      </c>
      <c r="AY68" s="28"/>
      <c r="AZ68" s="67"/>
      <c r="BA68" s="30"/>
      <c r="BD68" s="15">
        <v>18020</v>
      </c>
      <c r="BE68" s="40">
        <f t="shared" si="17"/>
        <v>15016.666666666668</v>
      </c>
      <c r="BF68" s="40">
        <f t="shared" si="18"/>
        <v>3003.333333333334</v>
      </c>
      <c r="BG68" s="41">
        <v>1254</v>
      </c>
      <c r="BH68" s="41" t="s">
        <v>187</v>
      </c>
      <c r="BI68" s="95">
        <v>751845</v>
      </c>
      <c r="BJ68" s="42">
        <v>160500</v>
      </c>
    </row>
    <row r="69" spans="1:62" s="31" customFormat="1" ht="18.75" customHeight="1">
      <c r="A69" s="9" t="s">
        <v>90</v>
      </c>
      <c r="B69" s="15">
        <v>700</v>
      </c>
      <c r="C69" s="15">
        <v>700</v>
      </c>
      <c r="D69" s="22">
        <f>158+534</f>
        <v>692</v>
      </c>
      <c r="E69" s="24">
        <f t="shared" si="15"/>
        <v>98.85714285714286</v>
      </c>
      <c r="F69" s="18">
        <v>692</v>
      </c>
      <c r="G69" s="24">
        <f t="shared" si="16"/>
        <v>98.85714285714286</v>
      </c>
      <c r="H69" s="70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87">
        <f t="shared" si="19"/>
        <v>9845</v>
      </c>
      <c r="AT69" s="28">
        <f>1893+7252</f>
        <v>9145</v>
      </c>
      <c r="AU69" s="15">
        <v>700</v>
      </c>
      <c r="AV69" s="29">
        <f t="shared" si="20"/>
        <v>700</v>
      </c>
      <c r="AW69" s="28">
        <v>0</v>
      </c>
      <c r="AX69" s="28">
        <v>0</v>
      </c>
      <c r="AY69" s="28"/>
      <c r="AZ69" s="67"/>
      <c r="BA69" s="30"/>
      <c r="BD69" s="15">
        <v>700</v>
      </c>
      <c r="BE69" s="40">
        <f t="shared" si="17"/>
        <v>583.3333333333334</v>
      </c>
      <c r="BF69" s="40">
        <f t="shared" si="18"/>
        <v>116.66666666666669</v>
      </c>
      <c r="BG69" s="41">
        <v>1253</v>
      </c>
      <c r="BH69" s="41" t="s">
        <v>187</v>
      </c>
      <c r="BI69" s="95">
        <v>751845</v>
      </c>
      <c r="BJ69" s="42">
        <v>160500</v>
      </c>
    </row>
    <row r="70" spans="1:62" s="31" customFormat="1" ht="18.75" customHeight="1">
      <c r="A70" s="8" t="s">
        <v>57</v>
      </c>
      <c r="B70" s="15">
        <f>1679+2000</f>
        <v>3679</v>
      </c>
      <c r="C70" s="15">
        <f>1679+2000-136</f>
        <v>3543</v>
      </c>
      <c r="D70" s="22">
        <f>2758+785</f>
        <v>3543</v>
      </c>
      <c r="E70" s="24">
        <f t="shared" si="15"/>
        <v>100</v>
      </c>
      <c r="F70" s="18">
        <f>2758+785</f>
        <v>3543</v>
      </c>
      <c r="G70" s="24">
        <f t="shared" si="16"/>
        <v>100</v>
      </c>
      <c r="H70" s="25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87">
        <f t="shared" si="19"/>
        <v>10000</v>
      </c>
      <c r="AT70" s="28">
        <v>3321</v>
      </c>
      <c r="AU70" s="15">
        <f>1679+2000</f>
        <v>3679</v>
      </c>
      <c r="AV70" s="29">
        <f t="shared" si="20"/>
        <v>3679</v>
      </c>
      <c r="AW70" s="28">
        <v>3000</v>
      </c>
      <c r="AX70" s="28">
        <v>0</v>
      </c>
      <c r="AY70" s="28"/>
      <c r="AZ70" s="67" t="s">
        <v>150</v>
      </c>
      <c r="BA70" s="30"/>
      <c r="BD70" s="15">
        <f>1679+2000</f>
        <v>3679</v>
      </c>
      <c r="BE70" s="40">
        <f t="shared" si="17"/>
        <v>3065.8333333333335</v>
      </c>
      <c r="BF70" s="40">
        <f t="shared" si="18"/>
        <v>613.1666666666667</v>
      </c>
      <c r="BG70" s="41">
        <v>1254</v>
      </c>
      <c r="BH70" s="41" t="s">
        <v>187</v>
      </c>
      <c r="BI70" s="95">
        <v>751845</v>
      </c>
      <c r="BJ70" s="42">
        <v>160500</v>
      </c>
    </row>
    <row r="71" spans="1:62" s="31" customFormat="1" ht="18.75" customHeight="1">
      <c r="A71" s="9" t="s">
        <v>171</v>
      </c>
      <c r="B71" s="15">
        <v>0</v>
      </c>
      <c r="C71" s="15">
        <v>1320</v>
      </c>
      <c r="D71" s="22">
        <f>120+1194</f>
        <v>1314</v>
      </c>
      <c r="E71" s="24">
        <f t="shared" si="15"/>
        <v>99.54545454545455</v>
      </c>
      <c r="F71" s="18">
        <v>1314</v>
      </c>
      <c r="G71" s="24">
        <f t="shared" si="16"/>
        <v>99.54545454545455</v>
      </c>
      <c r="H71" s="25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87">
        <f>+AT71+AU71+AW71+AX71</f>
        <v>10000</v>
      </c>
      <c r="AT71" s="28">
        <v>3321</v>
      </c>
      <c r="AU71" s="15">
        <f>1679+2000</f>
        <v>3679</v>
      </c>
      <c r="AV71" s="29">
        <f t="shared" si="20"/>
        <v>3679</v>
      </c>
      <c r="AW71" s="28">
        <v>3000</v>
      </c>
      <c r="AX71" s="28">
        <v>0</v>
      </c>
      <c r="AY71" s="28"/>
      <c r="AZ71" s="67" t="s">
        <v>150</v>
      </c>
      <c r="BA71" s="30"/>
      <c r="BD71" s="15">
        <f>1679+2000</f>
        <v>3679</v>
      </c>
      <c r="BE71" s="40">
        <f t="shared" si="17"/>
        <v>3065.8333333333335</v>
      </c>
      <c r="BF71" s="40">
        <f t="shared" si="18"/>
        <v>613.1666666666667</v>
      </c>
      <c r="BG71" s="41">
        <v>1254</v>
      </c>
      <c r="BH71" s="41" t="s">
        <v>187</v>
      </c>
      <c r="BI71" s="95">
        <v>751845</v>
      </c>
      <c r="BJ71" s="42">
        <v>160500</v>
      </c>
    </row>
    <row r="72" spans="1:62" s="31" customFormat="1" ht="18.75" customHeight="1">
      <c r="A72" s="8" t="s">
        <v>65</v>
      </c>
      <c r="B72" s="15">
        <v>1100</v>
      </c>
      <c r="C72" s="15">
        <f>1100-708</f>
        <v>392</v>
      </c>
      <c r="D72" s="22">
        <v>392</v>
      </c>
      <c r="E72" s="24">
        <f t="shared" si="15"/>
        <v>100</v>
      </c>
      <c r="F72" s="18">
        <v>392</v>
      </c>
      <c r="G72" s="24">
        <f t="shared" si="16"/>
        <v>100</v>
      </c>
      <c r="H72" s="25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87">
        <f t="shared" si="19"/>
        <v>1899</v>
      </c>
      <c r="AT72" s="28">
        <v>799</v>
      </c>
      <c r="AU72" s="15">
        <v>1100</v>
      </c>
      <c r="AV72" s="29">
        <f t="shared" si="20"/>
        <v>1100</v>
      </c>
      <c r="AW72" s="28">
        <v>0</v>
      </c>
      <c r="AX72" s="28">
        <v>0</v>
      </c>
      <c r="AY72" s="28"/>
      <c r="AZ72" s="67"/>
      <c r="BA72" s="30"/>
      <c r="BD72" s="15">
        <v>1100</v>
      </c>
      <c r="BE72" s="40">
        <f t="shared" si="17"/>
        <v>916.6666666666667</v>
      </c>
      <c r="BF72" s="40">
        <f t="shared" si="18"/>
        <v>183.33333333333337</v>
      </c>
      <c r="BG72" s="41">
        <v>1253</v>
      </c>
      <c r="BH72" s="41" t="s">
        <v>187</v>
      </c>
      <c r="BI72" s="95">
        <v>751845</v>
      </c>
      <c r="BJ72" s="42">
        <v>160500</v>
      </c>
    </row>
    <row r="73" spans="1:62" s="31" customFormat="1" ht="18.75" customHeight="1">
      <c r="A73" s="9" t="s">
        <v>104</v>
      </c>
      <c r="B73" s="15">
        <v>1485</v>
      </c>
      <c r="C73" s="15">
        <v>1485</v>
      </c>
      <c r="D73" s="22">
        <v>1485</v>
      </c>
      <c r="E73" s="24">
        <f t="shared" si="15"/>
        <v>100</v>
      </c>
      <c r="F73" s="18">
        <v>1485</v>
      </c>
      <c r="G73" s="24">
        <f t="shared" si="16"/>
        <v>100</v>
      </c>
      <c r="H73" s="70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87">
        <f t="shared" si="19"/>
        <v>1485</v>
      </c>
      <c r="AT73" s="28">
        <v>0</v>
      </c>
      <c r="AU73" s="15">
        <v>1485</v>
      </c>
      <c r="AV73" s="29">
        <f t="shared" si="20"/>
        <v>1485</v>
      </c>
      <c r="AW73" s="28">
        <v>0</v>
      </c>
      <c r="AX73" s="28">
        <v>0</v>
      </c>
      <c r="AY73" s="28"/>
      <c r="AZ73" s="67"/>
      <c r="BA73" s="30"/>
      <c r="BD73" s="15">
        <v>1485</v>
      </c>
      <c r="BE73" s="40">
        <f t="shared" si="17"/>
        <v>1237.5</v>
      </c>
      <c r="BF73" s="40">
        <f t="shared" si="18"/>
        <v>247.5</v>
      </c>
      <c r="BG73" s="41">
        <v>1254</v>
      </c>
      <c r="BH73" s="41" t="s">
        <v>187</v>
      </c>
      <c r="BI73" s="95">
        <v>751845</v>
      </c>
      <c r="BJ73" s="42">
        <v>160500</v>
      </c>
    </row>
    <row r="74" spans="1:62" s="31" customFormat="1" ht="18.75" customHeight="1">
      <c r="A74" s="8" t="s">
        <v>196</v>
      </c>
      <c r="B74" s="15">
        <v>2500</v>
      </c>
      <c r="C74" s="15">
        <v>3704</v>
      </c>
      <c r="D74" s="22">
        <v>3704</v>
      </c>
      <c r="E74" s="24">
        <f aca="true" t="shared" si="21" ref="E74:E80">+D74/C74*100</f>
        <v>100</v>
      </c>
      <c r="F74" s="18">
        <v>3704</v>
      </c>
      <c r="G74" s="24">
        <f aca="true" t="shared" si="22" ref="G74:G80">+F74/C74*100</f>
        <v>100</v>
      </c>
      <c r="H74" s="25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87">
        <f t="shared" si="19"/>
        <v>2500</v>
      </c>
      <c r="AT74" s="28"/>
      <c r="AU74" s="15">
        <v>2500</v>
      </c>
      <c r="AV74" s="29">
        <f aca="true" t="shared" si="23" ref="AV74:AV80">+AU74</f>
        <v>2500</v>
      </c>
      <c r="AW74" s="28">
        <v>0</v>
      </c>
      <c r="AX74" s="28">
        <v>0</v>
      </c>
      <c r="AY74" s="28"/>
      <c r="AZ74" s="67"/>
      <c r="BA74" s="30"/>
      <c r="BD74" s="15">
        <v>2500</v>
      </c>
      <c r="BE74" s="40">
        <f aca="true" t="shared" si="24" ref="BE74:BE80">+BD74/1.2</f>
        <v>2083.3333333333335</v>
      </c>
      <c r="BF74" s="40">
        <f aca="true" t="shared" si="25" ref="BF74:BF80">+BE74*0.2</f>
        <v>416.66666666666674</v>
      </c>
      <c r="BG74" s="41">
        <v>1254</v>
      </c>
      <c r="BH74" s="41" t="s">
        <v>187</v>
      </c>
      <c r="BI74" s="95">
        <v>751845</v>
      </c>
      <c r="BJ74" s="42">
        <v>160500</v>
      </c>
    </row>
    <row r="75" spans="1:62" s="31" customFormat="1" ht="18.75" customHeight="1">
      <c r="A75" s="9" t="s">
        <v>92</v>
      </c>
      <c r="B75" s="15">
        <v>180</v>
      </c>
      <c r="C75" s="15">
        <v>180</v>
      </c>
      <c r="D75" s="22">
        <v>180</v>
      </c>
      <c r="E75" s="24">
        <f t="shared" si="21"/>
        <v>100</v>
      </c>
      <c r="F75" s="18">
        <v>180</v>
      </c>
      <c r="G75" s="24">
        <f t="shared" si="22"/>
        <v>100</v>
      </c>
      <c r="H75" s="70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87">
        <f t="shared" si="19"/>
        <v>1560</v>
      </c>
      <c r="AT75" s="28">
        <v>1380</v>
      </c>
      <c r="AU75" s="15">
        <v>180</v>
      </c>
      <c r="AV75" s="29">
        <f t="shared" si="23"/>
        <v>180</v>
      </c>
      <c r="AW75" s="28">
        <v>0</v>
      </c>
      <c r="AX75" s="28">
        <v>0</v>
      </c>
      <c r="AY75" s="28"/>
      <c r="AZ75" s="67"/>
      <c r="BA75" s="30"/>
      <c r="BD75" s="15">
        <v>180</v>
      </c>
      <c r="BE75" s="40">
        <f t="shared" si="24"/>
        <v>150</v>
      </c>
      <c r="BF75" s="40">
        <f t="shared" si="25"/>
        <v>30</v>
      </c>
      <c r="BG75" s="41">
        <v>1154</v>
      </c>
      <c r="BH75" s="41" t="s">
        <v>188</v>
      </c>
      <c r="BI75" s="95">
        <v>751845</v>
      </c>
      <c r="BJ75" s="42">
        <v>160500</v>
      </c>
    </row>
    <row r="76" spans="1:62" s="94" customFormat="1" ht="32.25" customHeight="1">
      <c r="A76" s="4" t="s">
        <v>262</v>
      </c>
      <c r="B76" s="15">
        <f>2994+11976</f>
        <v>14970</v>
      </c>
      <c r="C76" s="15">
        <f>2994+11976+15024+62+1500</f>
        <v>31556</v>
      </c>
      <c r="D76" s="22">
        <f>14970+15024+62</f>
        <v>30056</v>
      </c>
      <c r="E76" s="24">
        <f t="shared" si="21"/>
        <v>95.24654582329826</v>
      </c>
      <c r="F76" s="18">
        <v>17982</v>
      </c>
      <c r="G76" s="24">
        <f t="shared" si="22"/>
        <v>56.984408670300425</v>
      </c>
      <c r="H76" s="70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90">
        <f>+AT76+AU76+AW76+AX76+AY76</f>
        <v>14970</v>
      </c>
      <c r="AT76" s="28">
        <v>0</v>
      </c>
      <c r="AU76" s="15">
        <f>2994+11976</f>
        <v>14970</v>
      </c>
      <c r="AV76" s="91">
        <f t="shared" si="23"/>
        <v>14970</v>
      </c>
      <c r="AW76" s="28">
        <v>0</v>
      </c>
      <c r="AX76" s="28">
        <v>0</v>
      </c>
      <c r="AY76" s="92">
        <v>0</v>
      </c>
      <c r="AZ76" s="93" t="s">
        <v>155</v>
      </c>
      <c r="BA76" s="28">
        <f>+AU76-AV76</f>
        <v>0</v>
      </c>
      <c r="BD76" s="15">
        <f>2994+11976</f>
        <v>14970</v>
      </c>
      <c r="BE76" s="40">
        <f t="shared" si="24"/>
        <v>12475</v>
      </c>
      <c r="BF76" s="40">
        <f t="shared" si="25"/>
        <v>2495</v>
      </c>
      <c r="BG76" s="41">
        <v>1154</v>
      </c>
      <c r="BH76" s="41" t="s">
        <v>188</v>
      </c>
      <c r="BI76" s="95">
        <v>751845</v>
      </c>
      <c r="BJ76" s="42">
        <v>160500</v>
      </c>
    </row>
    <row r="77" spans="1:62" s="94" customFormat="1" ht="17.25" customHeight="1">
      <c r="A77" s="4" t="s">
        <v>244</v>
      </c>
      <c r="B77" s="15">
        <v>0</v>
      </c>
      <c r="C77" s="15">
        <v>6600</v>
      </c>
      <c r="D77" s="22">
        <v>6600</v>
      </c>
      <c r="E77" s="24">
        <f>+D77/C77*100</f>
        <v>100</v>
      </c>
      <c r="F77" s="71" t="s">
        <v>166</v>
      </c>
      <c r="G77" s="71" t="s">
        <v>166</v>
      </c>
      <c r="H77" s="70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90"/>
      <c r="AT77" s="28"/>
      <c r="AU77" s="15"/>
      <c r="AV77" s="91"/>
      <c r="AW77" s="28"/>
      <c r="AX77" s="28"/>
      <c r="AY77" s="92"/>
      <c r="AZ77" s="93"/>
      <c r="BA77" s="28"/>
      <c r="BD77" s="15"/>
      <c r="BE77" s="40"/>
      <c r="BF77" s="40"/>
      <c r="BG77" s="41"/>
      <c r="BH77" s="41"/>
      <c r="BI77" s="95"/>
      <c r="BJ77" s="42"/>
    </row>
    <row r="78" spans="1:63" s="94" customFormat="1" ht="19.5" customHeight="1">
      <c r="A78" s="4" t="s">
        <v>228</v>
      </c>
      <c r="B78" s="18">
        <f>7560+9240</f>
        <v>16800</v>
      </c>
      <c r="C78" s="18">
        <f>7560+9240</f>
        <v>16800</v>
      </c>
      <c r="D78" s="22">
        <v>16800</v>
      </c>
      <c r="E78" s="24">
        <f t="shared" si="21"/>
        <v>100</v>
      </c>
      <c r="F78" s="22">
        <v>16800</v>
      </c>
      <c r="G78" s="24">
        <f t="shared" si="22"/>
        <v>100</v>
      </c>
      <c r="H78" s="171" t="s">
        <v>201</v>
      </c>
      <c r="I78" s="118"/>
      <c r="J78" s="118"/>
      <c r="K78" s="118"/>
      <c r="L78" s="118"/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  <c r="AG78" s="118"/>
      <c r="AH78" s="118"/>
      <c r="AI78" s="118"/>
      <c r="AJ78" s="118"/>
      <c r="AK78" s="118"/>
      <c r="AL78" s="118"/>
      <c r="AM78" s="118"/>
      <c r="AN78" s="118"/>
      <c r="AO78" s="118"/>
      <c r="AP78" s="118"/>
      <c r="AQ78" s="118"/>
      <c r="AR78" s="97"/>
      <c r="AS78" s="90">
        <f>+AT78+AU78+AW78+AX78+AY78</f>
        <v>16800</v>
      </c>
      <c r="AT78" s="28">
        <v>0</v>
      </c>
      <c r="AU78" s="18">
        <f>7560+9240</f>
        <v>16800</v>
      </c>
      <c r="AV78" s="91">
        <f t="shared" si="23"/>
        <v>16800</v>
      </c>
      <c r="AW78" s="28">
        <v>0</v>
      </c>
      <c r="AX78" s="28">
        <v>0</v>
      </c>
      <c r="AY78" s="92">
        <v>0</v>
      </c>
      <c r="AZ78" s="93" t="s">
        <v>156</v>
      </c>
      <c r="BA78" s="28">
        <f>+AU78-AV78</f>
        <v>0</v>
      </c>
      <c r="BD78" s="18">
        <f>7560+9240</f>
        <v>16800</v>
      </c>
      <c r="BE78" s="40">
        <f t="shared" si="24"/>
        <v>14000</v>
      </c>
      <c r="BF78" s="40">
        <f t="shared" si="25"/>
        <v>2800</v>
      </c>
      <c r="BG78" s="41">
        <v>1154</v>
      </c>
      <c r="BH78" s="95" t="s">
        <v>195</v>
      </c>
      <c r="BI78" s="95">
        <v>751845</v>
      </c>
      <c r="BJ78" s="42">
        <v>160500</v>
      </c>
      <c r="BK78" s="42">
        <v>170121</v>
      </c>
    </row>
    <row r="79" spans="1:62" s="31" customFormat="1" ht="18.75" customHeight="1">
      <c r="A79" s="3" t="s">
        <v>12</v>
      </c>
      <c r="B79" s="15">
        <v>3500</v>
      </c>
      <c r="C79" s="15">
        <f>3500+2500</f>
        <v>6000</v>
      </c>
      <c r="D79" s="22">
        <v>6000</v>
      </c>
      <c r="E79" s="24">
        <f t="shared" si="21"/>
        <v>100</v>
      </c>
      <c r="F79" s="18">
        <v>2400</v>
      </c>
      <c r="G79" s="24">
        <f t="shared" si="22"/>
        <v>40</v>
      </c>
      <c r="H79" s="25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87">
        <f>+AT79+AU79+AW79+AX79</f>
        <v>3500</v>
      </c>
      <c r="AT79" s="28">
        <v>0</v>
      </c>
      <c r="AU79" s="15">
        <v>3500</v>
      </c>
      <c r="AV79" s="29">
        <f t="shared" si="23"/>
        <v>3500</v>
      </c>
      <c r="AW79" s="28">
        <v>0</v>
      </c>
      <c r="AX79" s="28">
        <v>0</v>
      </c>
      <c r="AY79" s="28"/>
      <c r="AZ79" s="67" t="s">
        <v>157</v>
      </c>
      <c r="BA79" s="30"/>
      <c r="BD79" s="15">
        <v>3500</v>
      </c>
      <c r="BE79" s="40">
        <f t="shared" si="24"/>
        <v>2916.666666666667</v>
      </c>
      <c r="BF79" s="40">
        <f t="shared" si="25"/>
        <v>583.3333333333334</v>
      </c>
      <c r="BG79" s="41">
        <v>1154</v>
      </c>
      <c r="BH79" s="41" t="s">
        <v>188</v>
      </c>
      <c r="BI79" s="95">
        <v>751845</v>
      </c>
      <c r="BJ79" s="42">
        <v>160500</v>
      </c>
    </row>
    <row r="80" spans="1:62" s="31" customFormat="1" ht="18.75" customHeight="1">
      <c r="A80" s="3" t="s">
        <v>12</v>
      </c>
      <c r="B80" s="15">
        <v>0</v>
      </c>
      <c r="C80" s="15">
        <v>2040</v>
      </c>
      <c r="D80" s="22">
        <v>2040</v>
      </c>
      <c r="E80" s="24">
        <f t="shared" si="21"/>
        <v>100</v>
      </c>
      <c r="F80" s="18">
        <v>816</v>
      </c>
      <c r="G80" s="24">
        <f t="shared" si="22"/>
        <v>40</v>
      </c>
      <c r="H80" s="25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87">
        <f>+AT80+AU80+AW80+AX80</f>
        <v>0</v>
      </c>
      <c r="AT80" s="28">
        <v>0</v>
      </c>
      <c r="AU80" s="15"/>
      <c r="AV80" s="29">
        <f t="shared" si="23"/>
        <v>0</v>
      </c>
      <c r="AW80" s="28">
        <v>0</v>
      </c>
      <c r="AX80" s="28">
        <v>0</v>
      </c>
      <c r="AY80" s="28"/>
      <c r="AZ80" s="67"/>
      <c r="BA80" s="30"/>
      <c r="BD80" s="15"/>
      <c r="BE80" s="40">
        <f t="shared" si="24"/>
        <v>0</v>
      </c>
      <c r="BF80" s="40">
        <f t="shared" si="25"/>
        <v>0</v>
      </c>
      <c r="BG80" s="41">
        <v>1154</v>
      </c>
      <c r="BH80" s="41" t="s">
        <v>188</v>
      </c>
      <c r="BI80" s="95">
        <v>751845</v>
      </c>
      <c r="BJ80" s="42">
        <v>160500</v>
      </c>
    </row>
    <row r="81" spans="1:62" s="31" customFormat="1" ht="18.75" customHeight="1">
      <c r="A81" s="10" t="s">
        <v>144</v>
      </c>
      <c r="B81" s="15">
        <v>1200</v>
      </c>
      <c r="C81" s="15">
        <v>1200</v>
      </c>
      <c r="D81" s="22">
        <v>1200</v>
      </c>
      <c r="E81" s="24">
        <f aca="true" t="shared" si="26" ref="E81:E111">+D81/C81*100</f>
        <v>100</v>
      </c>
      <c r="F81" s="18">
        <v>1200</v>
      </c>
      <c r="G81" s="24">
        <f aca="true" t="shared" si="27" ref="G81:G111">+F81/C81*100</f>
        <v>100</v>
      </c>
      <c r="H81" s="70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87">
        <f>+AT81+AU81+AW81+AX81</f>
        <v>1200</v>
      </c>
      <c r="AT81" s="28">
        <v>0</v>
      </c>
      <c r="AU81" s="15">
        <v>1200</v>
      </c>
      <c r="AV81" s="29">
        <f aca="true" t="shared" si="28" ref="AV81:AV89">+AU81</f>
        <v>1200</v>
      </c>
      <c r="AW81" s="28">
        <v>0</v>
      </c>
      <c r="AX81" s="28">
        <v>0</v>
      </c>
      <c r="AY81" s="28"/>
      <c r="AZ81" s="67" t="s">
        <v>145</v>
      </c>
      <c r="BA81" s="30"/>
      <c r="BD81" s="15">
        <v>1200</v>
      </c>
      <c r="BE81" s="40">
        <f aca="true" t="shared" si="29" ref="BE81:BE92">+BD81/1.2</f>
        <v>1000</v>
      </c>
      <c r="BF81" s="40">
        <f aca="true" t="shared" si="30" ref="BF81:BF92">+BE81*0.2</f>
        <v>200</v>
      </c>
      <c r="BG81" s="41">
        <v>1154</v>
      </c>
      <c r="BH81" s="41" t="s">
        <v>189</v>
      </c>
      <c r="BI81" s="95">
        <v>751845</v>
      </c>
      <c r="BJ81" s="42">
        <v>160500</v>
      </c>
    </row>
    <row r="82" spans="1:62" s="94" customFormat="1" ht="18.75" customHeight="1">
      <c r="A82" s="4" t="s">
        <v>0</v>
      </c>
      <c r="B82" s="18">
        <v>4824</v>
      </c>
      <c r="C82" s="18">
        <f>4824</f>
        <v>4824</v>
      </c>
      <c r="D82" s="22">
        <f>4824</f>
        <v>4824</v>
      </c>
      <c r="E82" s="24">
        <f t="shared" si="26"/>
        <v>100</v>
      </c>
      <c r="F82" s="18">
        <v>4824</v>
      </c>
      <c r="G82" s="24">
        <f t="shared" si="27"/>
        <v>100</v>
      </c>
      <c r="H82" s="70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90">
        <f aca="true" t="shared" si="31" ref="AS82:AS87">+AT82+AU82+AW82+AX82+AY82</f>
        <v>16502</v>
      </c>
      <c r="AT82" s="28">
        <f>1318+4600+5760</f>
        <v>11678</v>
      </c>
      <c r="AU82" s="18">
        <v>4824</v>
      </c>
      <c r="AV82" s="91">
        <f t="shared" si="28"/>
        <v>4824</v>
      </c>
      <c r="AW82" s="28">
        <v>0</v>
      </c>
      <c r="AX82" s="28">
        <v>0</v>
      </c>
      <c r="AY82" s="92">
        <v>0</v>
      </c>
      <c r="AZ82" s="64" t="s">
        <v>115</v>
      </c>
      <c r="BA82" s="28">
        <f aca="true" t="shared" si="32" ref="BA82:BA87">+AU82-AV82</f>
        <v>0</v>
      </c>
      <c r="BD82" s="18">
        <v>4824</v>
      </c>
      <c r="BE82" s="40">
        <f t="shared" si="29"/>
        <v>4020</v>
      </c>
      <c r="BF82" s="40">
        <f t="shared" si="30"/>
        <v>804</v>
      </c>
      <c r="BG82" s="41">
        <v>1254</v>
      </c>
      <c r="BH82" s="41" t="s">
        <v>187</v>
      </c>
      <c r="BI82" s="95">
        <v>751845</v>
      </c>
      <c r="BJ82" s="42">
        <v>160500</v>
      </c>
    </row>
    <row r="83" spans="1:62" s="94" customFormat="1" ht="18.75" customHeight="1">
      <c r="A83" s="4" t="s">
        <v>210</v>
      </c>
      <c r="B83" s="15">
        <v>0</v>
      </c>
      <c r="C83" s="18">
        <v>4728</v>
      </c>
      <c r="D83" s="22">
        <v>4728</v>
      </c>
      <c r="E83" s="24">
        <f>+D83/C83*100</f>
        <v>100</v>
      </c>
      <c r="F83" s="18">
        <v>4728</v>
      </c>
      <c r="G83" s="24">
        <f>+F83/C83*100</f>
        <v>100</v>
      </c>
      <c r="H83" s="70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90">
        <f t="shared" si="31"/>
        <v>0</v>
      </c>
      <c r="AT83" s="28"/>
      <c r="AU83" s="18"/>
      <c r="AV83" s="91">
        <f t="shared" si="28"/>
        <v>0</v>
      </c>
      <c r="AW83" s="28">
        <v>0</v>
      </c>
      <c r="AX83" s="28">
        <v>0</v>
      </c>
      <c r="AY83" s="92">
        <v>0</v>
      </c>
      <c r="AZ83" s="64"/>
      <c r="BA83" s="28">
        <f t="shared" si="32"/>
        <v>0</v>
      </c>
      <c r="BD83" s="18"/>
      <c r="BE83" s="40">
        <f t="shared" si="29"/>
        <v>0</v>
      </c>
      <c r="BF83" s="40">
        <f t="shared" si="30"/>
        <v>0</v>
      </c>
      <c r="BG83" s="41">
        <v>1254</v>
      </c>
      <c r="BH83" s="41" t="s">
        <v>187</v>
      </c>
      <c r="BI83" s="95">
        <v>751845</v>
      </c>
      <c r="BJ83" s="42">
        <v>160500</v>
      </c>
    </row>
    <row r="84" spans="1:62" s="94" customFormat="1" ht="18.75" customHeight="1">
      <c r="A84" s="4" t="s">
        <v>1</v>
      </c>
      <c r="B84" s="15">
        <v>0</v>
      </c>
      <c r="C84" s="18">
        <v>3000</v>
      </c>
      <c r="D84" s="22">
        <v>3000</v>
      </c>
      <c r="E84" s="24">
        <f t="shared" si="26"/>
        <v>100</v>
      </c>
      <c r="F84" s="18">
        <v>3000</v>
      </c>
      <c r="G84" s="24">
        <f t="shared" si="27"/>
        <v>100</v>
      </c>
      <c r="H84" s="70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90">
        <f t="shared" si="31"/>
        <v>0</v>
      </c>
      <c r="AT84" s="28"/>
      <c r="AU84" s="18"/>
      <c r="AV84" s="91">
        <f t="shared" si="28"/>
        <v>0</v>
      </c>
      <c r="AW84" s="28">
        <v>0</v>
      </c>
      <c r="AX84" s="28">
        <v>0</v>
      </c>
      <c r="AY84" s="92">
        <v>0</v>
      </c>
      <c r="AZ84" s="64"/>
      <c r="BA84" s="28">
        <f t="shared" si="32"/>
        <v>0</v>
      </c>
      <c r="BD84" s="18"/>
      <c r="BE84" s="40">
        <f t="shared" si="29"/>
        <v>0</v>
      </c>
      <c r="BF84" s="40">
        <f t="shared" si="30"/>
        <v>0</v>
      </c>
      <c r="BG84" s="41">
        <v>1254</v>
      </c>
      <c r="BH84" s="41" t="s">
        <v>187</v>
      </c>
      <c r="BI84" s="95">
        <v>751845</v>
      </c>
      <c r="BJ84" s="42">
        <v>160500</v>
      </c>
    </row>
    <row r="85" spans="1:62" s="94" customFormat="1" ht="18.75" customHeight="1">
      <c r="A85" s="4" t="s">
        <v>238</v>
      </c>
      <c r="B85" s="15">
        <v>0</v>
      </c>
      <c r="C85" s="18">
        <v>1920</v>
      </c>
      <c r="D85" s="22">
        <v>1920</v>
      </c>
      <c r="E85" s="24">
        <f>+D85/C85*100</f>
        <v>100</v>
      </c>
      <c r="F85" s="71" t="s">
        <v>166</v>
      </c>
      <c r="G85" s="71" t="s">
        <v>166</v>
      </c>
      <c r="H85" s="70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90">
        <f t="shared" si="31"/>
        <v>0</v>
      </c>
      <c r="AT85" s="28"/>
      <c r="AU85" s="18"/>
      <c r="AV85" s="91">
        <f>+AU85</f>
        <v>0</v>
      </c>
      <c r="AW85" s="28">
        <v>0</v>
      </c>
      <c r="AX85" s="28">
        <v>0</v>
      </c>
      <c r="AY85" s="92">
        <v>0</v>
      </c>
      <c r="AZ85" s="64"/>
      <c r="BA85" s="28">
        <f t="shared" si="32"/>
        <v>0</v>
      </c>
      <c r="BD85" s="18"/>
      <c r="BE85" s="40">
        <f>+BD85/1.2</f>
        <v>0</v>
      </c>
      <c r="BF85" s="40">
        <f>+BE85*0.2</f>
        <v>0</v>
      </c>
      <c r="BG85" s="41">
        <v>1254</v>
      </c>
      <c r="BH85" s="41" t="s">
        <v>187</v>
      </c>
      <c r="BI85" s="95">
        <v>751845</v>
      </c>
      <c r="BJ85" s="42">
        <v>160500</v>
      </c>
    </row>
    <row r="86" spans="1:62" s="94" customFormat="1" ht="18.75" customHeight="1">
      <c r="A86" s="4" t="s">
        <v>239</v>
      </c>
      <c r="B86" s="15">
        <v>0</v>
      </c>
      <c r="C86" s="18">
        <v>2640</v>
      </c>
      <c r="D86" s="22">
        <v>2640</v>
      </c>
      <c r="E86" s="24">
        <f>+D86/C86*100</f>
        <v>100</v>
      </c>
      <c r="F86" s="71" t="s">
        <v>166</v>
      </c>
      <c r="G86" s="71" t="s">
        <v>166</v>
      </c>
      <c r="H86" s="70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90">
        <f t="shared" si="31"/>
        <v>0</v>
      </c>
      <c r="AT86" s="28"/>
      <c r="AU86" s="18"/>
      <c r="AV86" s="91">
        <f>+AU86</f>
        <v>0</v>
      </c>
      <c r="AW86" s="28">
        <v>0</v>
      </c>
      <c r="AX86" s="28">
        <v>0</v>
      </c>
      <c r="AY86" s="92">
        <v>0</v>
      </c>
      <c r="AZ86" s="64"/>
      <c r="BA86" s="28">
        <f t="shared" si="32"/>
        <v>0</v>
      </c>
      <c r="BD86" s="18"/>
      <c r="BE86" s="40">
        <f>+BD86/1.2</f>
        <v>0</v>
      </c>
      <c r="BF86" s="40">
        <f>+BE86*0.2</f>
        <v>0</v>
      </c>
      <c r="BG86" s="41">
        <v>1254</v>
      </c>
      <c r="BH86" s="41" t="s">
        <v>187</v>
      </c>
      <c r="BI86" s="95">
        <v>751845</v>
      </c>
      <c r="BJ86" s="42">
        <v>160500</v>
      </c>
    </row>
    <row r="87" spans="1:62" s="94" customFormat="1" ht="18.75" customHeight="1">
      <c r="A87" s="4" t="s">
        <v>240</v>
      </c>
      <c r="B87" s="15">
        <v>0</v>
      </c>
      <c r="C87" s="18">
        <v>1920</v>
      </c>
      <c r="D87" s="22">
        <v>1920</v>
      </c>
      <c r="E87" s="24">
        <f>+D87/C87*100</f>
        <v>100</v>
      </c>
      <c r="F87" s="71" t="s">
        <v>166</v>
      </c>
      <c r="G87" s="71" t="s">
        <v>166</v>
      </c>
      <c r="H87" s="70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90">
        <f t="shared" si="31"/>
        <v>0</v>
      </c>
      <c r="AT87" s="28"/>
      <c r="AU87" s="18"/>
      <c r="AV87" s="91">
        <f>+AU87</f>
        <v>0</v>
      </c>
      <c r="AW87" s="28">
        <v>0</v>
      </c>
      <c r="AX87" s="28">
        <v>0</v>
      </c>
      <c r="AY87" s="92">
        <v>0</v>
      </c>
      <c r="AZ87" s="64"/>
      <c r="BA87" s="28">
        <f t="shared" si="32"/>
        <v>0</v>
      </c>
      <c r="BD87" s="18"/>
      <c r="BE87" s="40">
        <f>+BD87/1.2</f>
        <v>0</v>
      </c>
      <c r="BF87" s="40">
        <f>+BE87*0.2</f>
        <v>0</v>
      </c>
      <c r="BG87" s="41">
        <v>1254</v>
      </c>
      <c r="BH87" s="41" t="s">
        <v>187</v>
      </c>
      <c r="BI87" s="95">
        <v>751845</v>
      </c>
      <c r="BJ87" s="42">
        <v>160500</v>
      </c>
    </row>
    <row r="88" spans="1:62" s="31" customFormat="1" ht="18.75" customHeight="1">
      <c r="A88" s="4" t="s">
        <v>120</v>
      </c>
      <c r="B88" s="15">
        <v>3946</v>
      </c>
      <c r="C88" s="15">
        <v>3946</v>
      </c>
      <c r="D88" s="1">
        <v>3946</v>
      </c>
      <c r="E88" s="24">
        <f t="shared" si="26"/>
        <v>100</v>
      </c>
      <c r="F88" s="18">
        <v>3946</v>
      </c>
      <c r="G88" s="24">
        <f t="shared" si="27"/>
        <v>100</v>
      </c>
      <c r="H88" s="70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87">
        <f>+AT88+AU88+AW88+AX88</f>
        <v>3946</v>
      </c>
      <c r="AT88" s="28">
        <v>0</v>
      </c>
      <c r="AU88" s="15">
        <v>3946</v>
      </c>
      <c r="AV88" s="29">
        <f t="shared" si="28"/>
        <v>3946</v>
      </c>
      <c r="AW88" s="28">
        <v>0</v>
      </c>
      <c r="AX88" s="28">
        <v>0</v>
      </c>
      <c r="AY88" s="28"/>
      <c r="AZ88" s="67" t="s">
        <v>119</v>
      </c>
      <c r="BA88" s="30"/>
      <c r="BD88" s="15">
        <v>3946</v>
      </c>
      <c r="BE88" s="40">
        <f t="shared" si="29"/>
        <v>3288.3333333333335</v>
      </c>
      <c r="BF88" s="40">
        <f t="shared" si="30"/>
        <v>657.6666666666667</v>
      </c>
      <c r="BG88" s="41">
        <v>13151</v>
      </c>
      <c r="BH88" s="41" t="s">
        <v>190</v>
      </c>
      <c r="BI88" s="95">
        <v>751669</v>
      </c>
      <c r="BJ88" s="42">
        <v>160500</v>
      </c>
    </row>
    <row r="89" spans="1:62" s="31" customFormat="1" ht="18.75" customHeight="1">
      <c r="A89" s="4" t="s">
        <v>27</v>
      </c>
      <c r="B89" s="15">
        <v>0</v>
      </c>
      <c r="C89" s="15">
        <v>614</v>
      </c>
      <c r="D89" s="1">
        <v>614</v>
      </c>
      <c r="E89" s="24">
        <f t="shared" si="26"/>
        <v>100</v>
      </c>
      <c r="F89" s="18">
        <v>614</v>
      </c>
      <c r="G89" s="24">
        <f t="shared" si="27"/>
        <v>100</v>
      </c>
      <c r="H89" s="70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87">
        <f>+AT89+AU89+AW89+AX89</f>
        <v>0</v>
      </c>
      <c r="AT89" s="28">
        <v>0</v>
      </c>
      <c r="AU89" s="15"/>
      <c r="AV89" s="29">
        <f t="shared" si="28"/>
        <v>0</v>
      </c>
      <c r="AW89" s="28">
        <v>0</v>
      </c>
      <c r="AX89" s="28">
        <v>0</v>
      </c>
      <c r="AY89" s="28"/>
      <c r="AZ89" s="67" t="s">
        <v>119</v>
      </c>
      <c r="BA89" s="30"/>
      <c r="BD89" s="15"/>
      <c r="BE89" s="40">
        <f t="shared" si="29"/>
        <v>0</v>
      </c>
      <c r="BF89" s="40">
        <f t="shared" si="30"/>
        <v>0</v>
      </c>
      <c r="BG89" s="41">
        <v>13151</v>
      </c>
      <c r="BH89" s="41" t="s">
        <v>190</v>
      </c>
      <c r="BI89" s="95">
        <v>751669</v>
      </c>
      <c r="BJ89" s="42">
        <v>160500</v>
      </c>
    </row>
    <row r="90" spans="1:62" s="94" customFormat="1" ht="18.75" customHeight="1">
      <c r="A90" s="4" t="s">
        <v>54</v>
      </c>
      <c r="B90" s="19">
        <v>1290</v>
      </c>
      <c r="C90" s="19">
        <v>1290</v>
      </c>
      <c r="D90" s="1">
        <v>1290</v>
      </c>
      <c r="E90" s="24">
        <f t="shared" si="26"/>
        <v>100</v>
      </c>
      <c r="F90" s="18">
        <v>1290</v>
      </c>
      <c r="G90" s="24">
        <f t="shared" si="27"/>
        <v>100</v>
      </c>
      <c r="H90" s="96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0">
        <f>+AT90+AU90+AW90+AX90+AY90</f>
        <v>3890</v>
      </c>
      <c r="AT90" s="119">
        <f>1300+1300</f>
        <v>2600</v>
      </c>
      <c r="AU90" s="19">
        <v>1290</v>
      </c>
      <c r="AV90" s="120">
        <v>1290</v>
      </c>
      <c r="AW90" s="28">
        <v>0</v>
      </c>
      <c r="AX90" s="28">
        <v>0</v>
      </c>
      <c r="AY90" s="92">
        <v>0</v>
      </c>
      <c r="AZ90" s="121" t="s">
        <v>55</v>
      </c>
      <c r="BA90" s="28">
        <f>+AU90-AV90</f>
        <v>0</v>
      </c>
      <c r="BD90" s="19">
        <v>1290</v>
      </c>
      <c r="BE90" s="40">
        <f t="shared" si="29"/>
        <v>1075</v>
      </c>
      <c r="BF90" s="40">
        <f t="shared" si="30"/>
        <v>215</v>
      </c>
      <c r="BG90" s="41">
        <v>13152</v>
      </c>
      <c r="BH90" s="41" t="s">
        <v>190</v>
      </c>
      <c r="BI90" s="95">
        <v>751669</v>
      </c>
      <c r="BJ90" s="42">
        <v>160500</v>
      </c>
    </row>
    <row r="91" spans="1:62" s="94" customFormat="1" ht="18.75" customHeight="1">
      <c r="A91" s="4" t="s">
        <v>208</v>
      </c>
      <c r="B91" s="15">
        <v>0</v>
      </c>
      <c r="C91" s="19">
        <v>4500</v>
      </c>
      <c r="D91" s="1">
        <f>3600+650</f>
        <v>4250</v>
      </c>
      <c r="E91" s="24">
        <f>+D91/C91*100</f>
        <v>94.44444444444444</v>
      </c>
      <c r="F91" s="18">
        <v>3600</v>
      </c>
      <c r="G91" s="24">
        <f>+F91/C91*100</f>
        <v>80</v>
      </c>
      <c r="H91" s="96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0">
        <f>+AT91+AU91+AW91+AX91+AY91</f>
        <v>0</v>
      </c>
      <c r="AT91" s="119"/>
      <c r="AU91" s="19"/>
      <c r="AV91" s="120"/>
      <c r="AW91" s="28">
        <v>0</v>
      </c>
      <c r="AX91" s="28">
        <v>0</v>
      </c>
      <c r="AY91" s="92">
        <v>0</v>
      </c>
      <c r="AZ91" s="121"/>
      <c r="BA91" s="28">
        <f>+AU91-AV91</f>
        <v>0</v>
      </c>
      <c r="BD91" s="19"/>
      <c r="BE91" s="40">
        <f t="shared" si="29"/>
        <v>0</v>
      </c>
      <c r="BF91" s="40">
        <f t="shared" si="30"/>
        <v>0</v>
      </c>
      <c r="BG91" s="41">
        <v>13152</v>
      </c>
      <c r="BH91" s="41" t="s">
        <v>190</v>
      </c>
      <c r="BI91" s="95">
        <v>751614</v>
      </c>
      <c r="BJ91" s="42">
        <v>160500</v>
      </c>
    </row>
    <row r="92" spans="1:62" s="94" customFormat="1" ht="18.75" customHeight="1">
      <c r="A92" s="4" t="s">
        <v>170</v>
      </c>
      <c r="B92" s="15">
        <v>0</v>
      </c>
      <c r="C92" s="19">
        <v>636</v>
      </c>
      <c r="D92" s="1">
        <v>636</v>
      </c>
      <c r="E92" s="24">
        <f t="shared" si="26"/>
        <v>100</v>
      </c>
      <c r="F92" s="18">
        <v>636</v>
      </c>
      <c r="G92" s="24">
        <f t="shared" si="27"/>
        <v>100</v>
      </c>
      <c r="H92" s="96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0">
        <f>+AT92+AU92+AW92+AX92+AY92</f>
        <v>0</v>
      </c>
      <c r="AT92" s="119"/>
      <c r="AU92" s="19"/>
      <c r="AV92" s="120"/>
      <c r="AW92" s="28">
        <v>0</v>
      </c>
      <c r="AX92" s="28">
        <v>0</v>
      </c>
      <c r="AY92" s="92">
        <v>0</v>
      </c>
      <c r="AZ92" s="121"/>
      <c r="BA92" s="28">
        <f>+AU92-AV92</f>
        <v>0</v>
      </c>
      <c r="BD92" s="19"/>
      <c r="BE92" s="40">
        <f t="shared" si="29"/>
        <v>0</v>
      </c>
      <c r="BF92" s="40">
        <f t="shared" si="30"/>
        <v>0</v>
      </c>
      <c r="BG92" s="41">
        <v>13152</v>
      </c>
      <c r="BH92" s="41" t="s">
        <v>190</v>
      </c>
      <c r="BI92" s="95">
        <v>751845</v>
      </c>
      <c r="BJ92" s="42">
        <v>160500</v>
      </c>
    </row>
    <row r="93" spans="1:62" s="31" customFormat="1" ht="18.75" customHeight="1">
      <c r="A93" s="4" t="s">
        <v>102</v>
      </c>
      <c r="B93" s="15">
        <v>47620</v>
      </c>
      <c r="C93" s="15">
        <v>47620</v>
      </c>
      <c r="D93" s="1">
        <v>47620</v>
      </c>
      <c r="E93" s="24">
        <f t="shared" si="26"/>
        <v>100</v>
      </c>
      <c r="F93" s="18">
        <v>47620</v>
      </c>
      <c r="G93" s="24">
        <f t="shared" si="27"/>
        <v>100</v>
      </c>
      <c r="H93" s="70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87">
        <f>+AT93+AU93+AW93+AX93</f>
        <v>47620</v>
      </c>
      <c r="AT93" s="28"/>
      <c r="AU93" s="15">
        <v>47620</v>
      </c>
      <c r="AV93" s="29">
        <f>+AU93</f>
        <v>47620</v>
      </c>
      <c r="AW93" s="28">
        <v>0</v>
      </c>
      <c r="AX93" s="28">
        <v>0</v>
      </c>
      <c r="AY93" s="28"/>
      <c r="AZ93" s="67"/>
      <c r="BA93" s="30"/>
      <c r="BD93" s="15">
        <v>47620</v>
      </c>
      <c r="BE93" s="40">
        <f>+BD93</f>
        <v>47620</v>
      </c>
      <c r="BF93" s="40">
        <v>0</v>
      </c>
      <c r="BG93" s="41">
        <v>17121</v>
      </c>
      <c r="BH93" s="41" t="s">
        <v>166</v>
      </c>
      <c r="BI93" s="95">
        <v>751845</v>
      </c>
      <c r="BJ93" s="42">
        <v>160500</v>
      </c>
    </row>
    <row r="94" spans="1:62" s="94" customFormat="1" ht="18.75" customHeight="1">
      <c r="A94" s="34" t="s">
        <v>113</v>
      </c>
      <c r="B94" s="35">
        <v>120000</v>
      </c>
      <c r="C94" s="35">
        <v>120000</v>
      </c>
      <c r="D94" s="33">
        <v>120000</v>
      </c>
      <c r="E94" s="115">
        <f t="shared" si="26"/>
        <v>100</v>
      </c>
      <c r="F94" s="116">
        <v>120000</v>
      </c>
      <c r="G94" s="115">
        <f t="shared" si="27"/>
        <v>100</v>
      </c>
      <c r="H94" s="122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0">
        <f>+AT94+AU94+AW94+AX94+AY94</f>
        <v>1800000</v>
      </c>
      <c r="AT94" s="28">
        <v>120000</v>
      </c>
      <c r="AU94" s="19">
        <v>120000</v>
      </c>
      <c r="AV94" s="120">
        <v>120000</v>
      </c>
      <c r="AW94" s="28">
        <v>120000</v>
      </c>
      <c r="AX94" s="28">
        <v>120000</v>
      </c>
      <c r="AY94" s="92">
        <f>11*120000</f>
        <v>1320000</v>
      </c>
      <c r="AZ94" s="99" t="s">
        <v>114</v>
      </c>
      <c r="BA94" s="28"/>
      <c r="BD94" s="19">
        <v>120000</v>
      </c>
      <c r="BE94" s="40">
        <f>+BD94</f>
        <v>120000</v>
      </c>
      <c r="BF94" s="40">
        <v>0</v>
      </c>
      <c r="BG94" s="41">
        <v>17121</v>
      </c>
      <c r="BH94" s="41" t="s">
        <v>166</v>
      </c>
      <c r="BI94" s="95">
        <v>751845</v>
      </c>
      <c r="BJ94" s="42">
        <v>160500</v>
      </c>
    </row>
    <row r="95" spans="1:62" s="31" customFormat="1" ht="17.25" customHeight="1">
      <c r="A95" s="174" t="s">
        <v>28</v>
      </c>
      <c r="B95" s="175">
        <v>3240</v>
      </c>
      <c r="C95" s="175">
        <v>3240</v>
      </c>
      <c r="D95" s="176">
        <v>3240</v>
      </c>
      <c r="E95" s="177">
        <f t="shared" si="26"/>
        <v>100</v>
      </c>
      <c r="F95" s="178">
        <v>3240</v>
      </c>
      <c r="G95" s="177">
        <f t="shared" si="27"/>
        <v>100</v>
      </c>
      <c r="H95" s="179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3"/>
      <c r="AL95" s="123"/>
      <c r="AM95" s="123"/>
      <c r="AN95" s="123"/>
      <c r="AO95" s="123"/>
      <c r="AP95" s="123"/>
      <c r="AQ95" s="123"/>
      <c r="AR95" s="123"/>
      <c r="AS95" s="87">
        <f aca="true" t="shared" si="33" ref="AS95:AS106">+AT95+AU95+AW95+AX95</f>
        <v>3240</v>
      </c>
      <c r="AT95" s="28">
        <v>0</v>
      </c>
      <c r="AU95" s="15">
        <v>3240</v>
      </c>
      <c r="AV95" s="29">
        <f>+AU95-3240</f>
        <v>0</v>
      </c>
      <c r="AW95" s="28">
        <v>0</v>
      </c>
      <c r="AX95" s="28">
        <v>0</v>
      </c>
      <c r="AY95" s="28"/>
      <c r="AZ95" s="124" t="s">
        <v>125</v>
      </c>
      <c r="BA95" s="30"/>
      <c r="BD95" s="15">
        <v>3240</v>
      </c>
      <c r="BE95" s="40">
        <f>+BD95/1.2</f>
        <v>2700</v>
      </c>
      <c r="BF95" s="40">
        <f>+BE95*0.2</f>
        <v>540</v>
      </c>
      <c r="BG95" s="41">
        <v>1251</v>
      </c>
      <c r="BH95" s="41" t="s">
        <v>187</v>
      </c>
      <c r="BI95" s="95">
        <v>751845</v>
      </c>
      <c r="BJ95" s="42">
        <v>160500</v>
      </c>
    </row>
    <row r="96" spans="1:62" s="31" customFormat="1" ht="17.25" customHeight="1">
      <c r="A96" s="8" t="s">
        <v>29</v>
      </c>
      <c r="B96" s="15">
        <v>420</v>
      </c>
      <c r="C96" s="15">
        <v>420</v>
      </c>
      <c r="D96" s="71" t="s">
        <v>166</v>
      </c>
      <c r="E96" s="71" t="s">
        <v>166</v>
      </c>
      <c r="F96" s="71" t="s">
        <v>166</v>
      </c>
      <c r="G96" s="71" t="s">
        <v>166</v>
      </c>
      <c r="H96" s="70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87">
        <f t="shared" si="33"/>
        <v>420</v>
      </c>
      <c r="AT96" s="28">
        <v>0</v>
      </c>
      <c r="AU96" s="15">
        <v>420</v>
      </c>
      <c r="AV96" s="29">
        <f>+AU96</f>
        <v>420</v>
      </c>
      <c r="AW96" s="28">
        <v>0</v>
      </c>
      <c r="AX96" s="28">
        <v>0</v>
      </c>
      <c r="AY96" s="28"/>
      <c r="AZ96" s="67"/>
      <c r="BA96" s="30"/>
      <c r="BD96" s="15">
        <v>420</v>
      </c>
      <c r="BE96" s="40">
        <f>+BD96/1.2</f>
        <v>350</v>
      </c>
      <c r="BF96" s="40">
        <f>+BE96*0.2</f>
        <v>70</v>
      </c>
      <c r="BG96" s="41">
        <v>1252</v>
      </c>
      <c r="BH96" s="41" t="s">
        <v>187</v>
      </c>
      <c r="BI96" s="95">
        <v>751845</v>
      </c>
      <c r="BJ96" s="42">
        <v>160500</v>
      </c>
    </row>
    <row r="97" spans="1:62" s="31" customFormat="1" ht="17.25" customHeight="1">
      <c r="A97" s="8" t="s">
        <v>30</v>
      </c>
      <c r="B97" s="15">
        <v>300</v>
      </c>
      <c r="C97" s="15">
        <v>300</v>
      </c>
      <c r="D97" s="71" t="s">
        <v>166</v>
      </c>
      <c r="E97" s="71" t="s">
        <v>166</v>
      </c>
      <c r="F97" s="71" t="s">
        <v>166</v>
      </c>
      <c r="G97" s="71" t="s">
        <v>166</v>
      </c>
      <c r="H97" s="70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87">
        <f t="shared" si="33"/>
        <v>300</v>
      </c>
      <c r="AT97" s="28">
        <v>0</v>
      </c>
      <c r="AU97" s="15">
        <v>300</v>
      </c>
      <c r="AV97" s="29">
        <f>+AU97</f>
        <v>300</v>
      </c>
      <c r="AW97" s="28">
        <v>0</v>
      </c>
      <c r="AX97" s="28">
        <v>0</v>
      </c>
      <c r="AY97" s="28"/>
      <c r="AZ97" s="67"/>
      <c r="BA97" s="30"/>
      <c r="BD97" s="15">
        <v>300</v>
      </c>
      <c r="BE97" s="40">
        <f>+BD97/1.2</f>
        <v>250</v>
      </c>
      <c r="BF97" s="40">
        <f>+BE97*0.2</f>
        <v>50</v>
      </c>
      <c r="BG97" s="41">
        <v>1252</v>
      </c>
      <c r="BH97" s="41" t="s">
        <v>187</v>
      </c>
      <c r="BI97" s="95">
        <v>751845</v>
      </c>
      <c r="BJ97" s="42">
        <v>160500</v>
      </c>
    </row>
    <row r="98" spans="1:62" ht="17.25" customHeight="1">
      <c r="A98" s="5" t="s">
        <v>100</v>
      </c>
      <c r="B98" s="15">
        <v>18000</v>
      </c>
      <c r="C98" s="15">
        <v>18000</v>
      </c>
      <c r="D98" s="22">
        <v>18000</v>
      </c>
      <c r="E98" s="24">
        <f t="shared" si="26"/>
        <v>100</v>
      </c>
      <c r="F98" s="18">
        <v>18000</v>
      </c>
      <c r="G98" s="24">
        <f t="shared" si="27"/>
        <v>100</v>
      </c>
      <c r="H98" s="25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87">
        <f t="shared" si="33"/>
        <v>18000</v>
      </c>
      <c r="AT98" s="28">
        <v>0</v>
      </c>
      <c r="AU98" s="15">
        <v>18000</v>
      </c>
      <c r="AV98" s="125">
        <f aca="true" t="shared" si="34" ref="AV98:AV103">+AU98</f>
        <v>18000</v>
      </c>
      <c r="AW98" s="28">
        <v>0</v>
      </c>
      <c r="AX98" s="28">
        <v>0</v>
      </c>
      <c r="AY98" s="28"/>
      <c r="AZ98" s="126"/>
      <c r="BD98" s="15">
        <v>18000</v>
      </c>
      <c r="BE98" s="40">
        <f aca="true" t="shared" si="35" ref="BE98:BE103">+BD98/1.2</f>
        <v>15000</v>
      </c>
      <c r="BF98" s="40">
        <f aca="true" t="shared" si="36" ref="BF98:BF103">+BE98*0.2</f>
        <v>3000</v>
      </c>
      <c r="BG98" s="41">
        <v>1252</v>
      </c>
      <c r="BH98" s="41" t="s">
        <v>187</v>
      </c>
      <c r="BI98" s="95">
        <v>751845</v>
      </c>
      <c r="BJ98" s="42">
        <v>160500</v>
      </c>
    </row>
    <row r="99" spans="1:62" s="31" customFormat="1" ht="17.25" customHeight="1">
      <c r="A99" s="8" t="s">
        <v>198</v>
      </c>
      <c r="B99" s="15">
        <v>1500</v>
      </c>
      <c r="C99" s="15">
        <v>1500</v>
      </c>
      <c r="D99" s="22">
        <v>515</v>
      </c>
      <c r="E99" s="24">
        <f t="shared" si="26"/>
        <v>34.333333333333336</v>
      </c>
      <c r="F99" s="18">
        <v>515</v>
      </c>
      <c r="G99" s="24">
        <f t="shared" si="27"/>
        <v>34.333333333333336</v>
      </c>
      <c r="H99" s="70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87">
        <f t="shared" si="33"/>
        <v>1500</v>
      </c>
      <c r="AT99" s="28">
        <v>0</v>
      </c>
      <c r="AU99" s="15">
        <v>1500</v>
      </c>
      <c r="AV99" s="29">
        <f t="shared" si="34"/>
        <v>1500</v>
      </c>
      <c r="AW99" s="28">
        <v>0</v>
      </c>
      <c r="AX99" s="28">
        <v>0</v>
      </c>
      <c r="AY99" s="28"/>
      <c r="AZ99" s="67"/>
      <c r="BA99" s="30"/>
      <c r="BD99" s="15">
        <v>1500</v>
      </c>
      <c r="BE99" s="40">
        <f t="shared" si="35"/>
        <v>1250</v>
      </c>
      <c r="BF99" s="40">
        <f t="shared" si="36"/>
        <v>250</v>
      </c>
      <c r="BG99" s="41">
        <v>1251</v>
      </c>
      <c r="BH99" s="41" t="s">
        <v>187</v>
      </c>
      <c r="BI99" s="95">
        <v>751845</v>
      </c>
      <c r="BJ99" s="42">
        <v>160500</v>
      </c>
    </row>
    <row r="100" spans="1:62" ht="17.25" customHeight="1">
      <c r="A100" s="9" t="s">
        <v>10</v>
      </c>
      <c r="B100" s="15">
        <v>0</v>
      </c>
      <c r="C100" s="15">
        <v>300</v>
      </c>
      <c r="D100" s="22">
        <f>196+43+10+1</f>
        <v>250</v>
      </c>
      <c r="E100" s="24">
        <f t="shared" si="26"/>
        <v>83.33333333333334</v>
      </c>
      <c r="F100" s="18">
        <f>249+1</f>
        <v>250</v>
      </c>
      <c r="G100" s="24">
        <f t="shared" si="27"/>
        <v>83.33333333333334</v>
      </c>
      <c r="H100" s="25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87">
        <f aca="true" t="shared" si="37" ref="AS100:AS105">+AT100+AU100+AW100+AX100</f>
        <v>0</v>
      </c>
      <c r="AT100" s="28">
        <v>0</v>
      </c>
      <c r="AU100" s="15"/>
      <c r="AV100" s="125">
        <f t="shared" si="34"/>
        <v>0</v>
      </c>
      <c r="AW100" s="28">
        <v>0</v>
      </c>
      <c r="AX100" s="28">
        <v>0</v>
      </c>
      <c r="AY100" s="28"/>
      <c r="AZ100" s="126"/>
      <c r="BD100" s="15"/>
      <c r="BE100" s="40">
        <f t="shared" si="35"/>
        <v>0</v>
      </c>
      <c r="BF100" s="40">
        <f t="shared" si="36"/>
        <v>0</v>
      </c>
      <c r="BG100" s="41">
        <v>1252</v>
      </c>
      <c r="BH100" s="41" t="s">
        <v>187</v>
      </c>
      <c r="BI100" s="95">
        <v>751845</v>
      </c>
      <c r="BJ100" s="42">
        <v>160500</v>
      </c>
    </row>
    <row r="101" spans="1:62" ht="17.25" customHeight="1">
      <c r="A101" s="5" t="s">
        <v>11</v>
      </c>
      <c r="B101" s="15">
        <v>0</v>
      </c>
      <c r="C101" s="15">
        <v>500</v>
      </c>
      <c r="D101" s="22">
        <v>500</v>
      </c>
      <c r="E101" s="24">
        <f>+D101/C101*100</f>
        <v>100</v>
      </c>
      <c r="F101" s="18">
        <v>500</v>
      </c>
      <c r="G101" s="24">
        <f>+F101/C101*100</f>
        <v>100</v>
      </c>
      <c r="H101" s="25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87">
        <f t="shared" si="37"/>
        <v>0</v>
      </c>
      <c r="AT101" s="28">
        <v>0</v>
      </c>
      <c r="AU101" s="15">
        <v>0</v>
      </c>
      <c r="AV101" s="125">
        <f t="shared" si="34"/>
        <v>0</v>
      </c>
      <c r="AW101" s="28">
        <v>0</v>
      </c>
      <c r="AX101" s="28">
        <v>0</v>
      </c>
      <c r="AY101" s="28"/>
      <c r="AZ101" s="126"/>
      <c r="BD101" s="15">
        <v>18000</v>
      </c>
      <c r="BE101" s="40">
        <f t="shared" si="35"/>
        <v>15000</v>
      </c>
      <c r="BF101" s="40">
        <f t="shared" si="36"/>
        <v>3000</v>
      </c>
      <c r="BG101" s="41">
        <v>1252</v>
      </c>
      <c r="BH101" s="41" t="s">
        <v>187</v>
      </c>
      <c r="BI101" s="95">
        <v>751845</v>
      </c>
      <c r="BJ101" s="42">
        <v>160500</v>
      </c>
    </row>
    <row r="102" spans="1:62" ht="17.25" customHeight="1">
      <c r="A102" s="5" t="s">
        <v>207</v>
      </c>
      <c r="B102" s="15">
        <v>0</v>
      </c>
      <c r="C102" s="15">
        <v>1550</v>
      </c>
      <c r="D102" s="22">
        <v>1550</v>
      </c>
      <c r="E102" s="24">
        <f>+D102/C102*100</f>
        <v>100</v>
      </c>
      <c r="F102" s="18">
        <v>1550</v>
      </c>
      <c r="G102" s="24">
        <f>+F102/C102*100</f>
        <v>100</v>
      </c>
      <c r="H102" s="25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87">
        <f t="shared" si="37"/>
        <v>0</v>
      </c>
      <c r="AT102" s="28">
        <v>0</v>
      </c>
      <c r="AU102" s="15">
        <v>0</v>
      </c>
      <c r="AV102" s="125">
        <f t="shared" si="34"/>
        <v>0</v>
      </c>
      <c r="AW102" s="28">
        <v>0</v>
      </c>
      <c r="AX102" s="28">
        <v>0</v>
      </c>
      <c r="AY102" s="28"/>
      <c r="AZ102" s="126"/>
      <c r="BD102" s="15"/>
      <c r="BE102" s="40">
        <f t="shared" si="35"/>
        <v>0</v>
      </c>
      <c r="BF102" s="40">
        <f t="shared" si="36"/>
        <v>0</v>
      </c>
      <c r="BG102" s="41">
        <v>1252</v>
      </c>
      <c r="BH102" s="41" t="s">
        <v>187</v>
      </c>
      <c r="BI102" s="95">
        <v>751845</v>
      </c>
      <c r="BJ102" s="42">
        <v>160500</v>
      </c>
    </row>
    <row r="103" spans="1:62" ht="17.25" customHeight="1">
      <c r="A103" s="5" t="s">
        <v>211</v>
      </c>
      <c r="B103" s="15">
        <v>0</v>
      </c>
      <c r="C103" s="15">
        <v>800</v>
      </c>
      <c r="D103" s="22">
        <v>800</v>
      </c>
      <c r="E103" s="24">
        <f>+D103/C103*100</f>
        <v>100</v>
      </c>
      <c r="F103" s="18">
        <v>800</v>
      </c>
      <c r="G103" s="24">
        <f>+F103/C103*100</f>
        <v>100</v>
      </c>
      <c r="H103" s="25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87">
        <f t="shared" si="37"/>
        <v>0</v>
      </c>
      <c r="AT103" s="28">
        <v>0</v>
      </c>
      <c r="AU103" s="15">
        <v>0</v>
      </c>
      <c r="AV103" s="125">
        <f t="shared" si="34"/>
        <v>0</v>
      </c>
      <c r="AW103" s="28">
        <v>0</v>
      </c>
      <c r="AX103" s="28">
        <v>0</v>
      </c>
      <c r="AY103" s="28"/>
      <c r="AZ103" s="126"/>
      <c r="BD103" s="15"/>
      <c r="BE103" s="40">
        <f t="shared" si="35"/>
        <v>0</v>
      </c>
      <c r="BF103" s="40">
        <f t="shared" si="36"/>
        <v>0</v>
      </c>
      <c r="BG103" s="41">
        <v>1252</v>
      </c>
      <c r="BH103" s="41" t="s">
        <v>187</v>
      </c>
      <c r="BI103" s="95">
        <v>751845</v>
      </c>
      <c r="BJ103" s="42">
        <v>160500</v>
      </c>
    </row>
    <row r="104" spans="1:62" ht="17.25" customHeight="1">
      <c r="A104" s="5" t="s">
        <v>236</v>
      </c>
      <c r="B104" s="15">
        <v>0</v>
      </c>
      <c r="C104" s="15">
        <v>96000</v>
      </c>
      <c r="D104" s="71" t="s">
        <v>166</v>
      </c>
      <c r="E104" s="71" t="s">
        <v>166</v>
      </c>
      <c r="F104" s="71" t="s">
        <v>166</v>
      </c>
      <c r="G104" s="71" t="s">
        <v>166</v>
      </c>
      <c r="H104" s="25"/>
      <c r="I104" s="26"/>
      <c r="J104" s="26"/>
      <c r="K104" s="26"/>
      <c r="L104" s="26"/>
      <c r="M104" s="26"/>
      <c r="N104" s="26"/>
      <c r="O104" s="26"/>
      <c r="P104" s="26"/>
      <c r="Q104" s="26"/>
      <c r="R104" s="26"/>
      <c r="S104" s="2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87">
        <f t="shared" si="37"/>
        <v>0</v>
      </c>
      <c r="AT104" s="28">
        <v>0</v>
      </c>
      <c r="AU104" s="15">
        <v>0</v>
      </c>
      <c r="AV104" s="125">
        <f aca="true" t="shared" si="38" ref="AV104:AV110">+AU104</f>
        <v>0</v>
      </c>
      <c r="AW104" s="28">
        <v>0</v>
      </c>
      <c r="AX104" s="28">
        <v>0</v>
      </c>
      <c r="AY104" s="28"/>
      <c r="AZ104" s="126"/>
      <c r="BD104" s="15"/>
      <c r="BE104" s="40">
        <f aca="true" t="shared" si="39" ref="BE104:BE110">+BD104/1.2</f>
        <v>0</v>
      </c>
      <c r="BF104" s="40">
        <f aca="true" t="shared" si="40" ref="BF104:BF110">+BE104*0.2</f>
        <v>0</v>
      </c>
      <c r="BG104" s="41">
        <v>1252</v>
      </c>
      <c r="BH104" s="41" t="s">
        <v>187</v>
      </c>
      <c r="BI104" s="95">
        <v>751845</v>
      </c>
      <c r="BJ104" s="42">
        <v>160500</v>
      </c>
    </row>
    <row r="105" spans="1:62" ht="17.25" customHeight="1">
      <c r="A105" s="5" t="s">
        <v>237</v>
      </c>
      <c r="B105" s="15">
        <v>0</v>
      </c>
      <c r="C105" s="15">
        <v>540</v>
      </c>
      <c r="D105" s="71" t="s">
        <v>166</v>
      </c>
      <c r="E105" s="71" t="s">
        <v>166</v>
      </c>
      <c r="F105" s="71" t="s">
        <v>166</v>
      </c>
      <c r="G105" s="71" t="s">
        <v>166</v>
      </c>
      <c r="H105" s="25"/>
      <c r="I105" s="26"/>
      <c r="J105" s="26"/>
      <c r="K105" s="26"/>
      <c r="L105" s="26"/>
      <c r="M105" s="26"/>
      <c r="N105" s="26"/>
      <c r="O105" s="26"/>
      <c r="P105" s="26"/>
      <c r="Q105" s="26"/>
      <c r="R105" s="26"/>
      <c r="S105" s="2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87">
        <f t="shared" si="37"/>
        <v>0</v>
      </c>
      <c r="AT105" s="28">
        <v>0</v>
      </c>
      <c r="AU105" s="15">
        <v>0</v>
      </c>
      <c r="AV105" s="125">
        <f t="shared" si="38"/>
        <v>0</v>
      </c>
      <c r="AW105" s="28">
        <v>0</v>
      </c>
      <c r="AX105" s="28">
        <v>0</v>
      </c>
      <c r="AY105" s="28"/>
      <c r="AZ105" s="126"/>
      <c r="BD105" s="15"/>
      <c r="BE105" s="40">
        <f t="shared" si="39"/>
        <v>0</v>
      </c>
      <c r="BF105" s="40">
        <f t="shared" si="40"/>
        <v>0</v>
      </c>
      <c r="BG105" s="41">
        <v>1252</v>
      </c>
      <c r="BH105" s="41" t="s">
        <v>187</v>
      </c>
      <c r="BI105" s="95">
        <v>751845</v>
      </c>
      <c r="BJ105" s="42">
        <v>160500</v>
      </c>
    </row>
    <row r="106" spans="1:62" s="31" customFormat="1" ht="17.25" customHeight="1">
      <c r="A106" s="9" t="s">
        <v>103</v>
      </c>
      <c r="B106" s="15">
        <v>8750</v>
      </c>
      <c r="C106" s="15">
        <v>8750</v>
      </c>
      <c r="D106" s="71" t="s">
        <v>166</v>
      </c>
      <c r="E106" s="71" t="s">
        <v>166</v>
      </c>
      <c r="F106" s="71" t="s">
        <v>166</v>
      </c>
      <c r="G106" s="71" t="s">
        <v>166</v>
      </c>
      <c r="H106" s="70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87">
        <f t="shared" si="33"/>
        <v>8750</v>
      </c>
      <c r="AT106" s="28">
        <v>0</v>
      </c>
      <c r="AU106" s="15">
        <v>8750</v>
      </c>
      <c r="AV106" s="29">
        <f t="shared" si="38"/>
        <v>8750</v>
      </c>
      <c r="AW106" s="28">
        <v>0</v>
      </c>
      <c r="AX106" s="28">
        <v>0</v>
      </c>
      <c r="AY106" s="28"/>
      <c r="AZ106" s="127"/>
      <c r="BA106" s="30"/>
      <c r="BD106" s="15"/>
      <c r="BE106" s="40">
        <f t="shared" si="39"/>
        <v>0</v>
      </c>
      <c r="BF106" s="40">
        <f t="shared" si="40"/>
        <v>0</v>
      </c>
      <c r="BG106" s="41">
        <v>1254</v>
      </c>
      <c r="BH106" s="41" t="s">
        <v>187</v>
      </c>
      <c r="BI106" s="95">
        <v>751845</v>
      </c>
      <c r="BJ106" s="42">
        <v>160500</v>
      </c>
    </row>
    <row r="107" spans="1:62" s="94" customFormat="1" ht="17.25" customHeight="1">
      <c r="A107" s="4" t="s">
        <v>137</v>
      </c>
      <c r="B107" s="18">
        <v>2112</v>
      </c>
      <c r="C107" s="18">
        <v>2112</v>
      </c>
      <c r="D107" s="22">
        <v>1429</v>
      </c>
      <c r="E107" s="24">
        <f t="shared" si="26"/>
        <v>67.66098484848484</v>
      </c>
      <c r="F107" s="18">
        <v>1429</v>
      </c>
      <c r="G107" s="24">
        <f t="shared" si="27"/>
        <v>67.66098484848484</v>
      </c>
      <c r="H107" s="70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90">
        <f>+AT107+AU107+AW107+AX107+AY107</f>
        <v>3280</v>
      </c>
      <c r="AT107" s="28">
        <v>1168</v>
      </c>
      <c r="AU107" s="18">
        <v>2112</v>
      </c>
      <c r="AV107" s="91">
        <f t="shared" si="38"/>
        <v>2112</v>
      </c>
      <c r="AW107" s="28">
        <v>0</v>
      </c>
      <c r="AX107" s="28">
        <v>0</v>
      </c>
      <c r="AY107" s="92">
        <v>0</v>
      </c>
      <c r="AZ107" s="64" t="s">
        <v>128</v>
      </c>
      <c r="BA107" s="28">
        <f>+AU107-AV107</f>
        <v>0</v>
      </c>
      <c r="BD107" s="18">
        <v>2112</v>
      </c>
      <c r="BE107" s="40">
        <f t="shared" si="39"/>
        <v>1760</v>
      </c>
      <c r="BF107" s="40">
        <f t="shared" si="40"/>
        <v>352</v>
      </c>
      <c r="BG107" s="41">
        <v>131531</v>
      </c>
      <c r="BH107" s="41" t="s">
        <v>190</v>
      </c>
      <c r="BI107" s="95">
        <v>751845</v>
      </c>
      <c r="BJ107" s="42">
        <v>160500</v>
      </c>
    </row>
    <row r="108" spans="1:62" s="31" customFormat="1" ht="17.25" customHeight="1">
      <c r="A108" s="9" t="s">
        <v>93</v>
      </c>
      <c r="B108" s="15">
        <v>800</v>
      </c>
      <c r="C108" s="15">
        <v>800</v>
      </c>
      <c r="D108" s="22">
        <v>780</v>
      </c>
      <c r="E108" s="24">
        <f t="shared" si="26"/>
        <v>97.5</v>
      </c>
      <c r="F108" s="18">
        <v>780</v>
      </c>
      <c r="G108" s="24">
        <f t="shared" si="27"/>
        <v>97.5</v>
      </c>
      <c r="H108" s="70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87">
        <f>+AT108+AU108+AW108+AX108</f>
        <v>800</v>
      </c>
      <c r="AT108" s="28">
        <v>0</v>
      </c>
      <c r="AU108" s="15">
        <v>800</v>
      </c>
      <c r="AV108" s="29">
        <f t="shared" si="38"/>
        <v>800</v>
      </c>
      <c r="AW108" s="28">
        <v>0</v>
      </c>
      <c r="AX108" s="28">
        <v>0</v>
      </c>
      <c r="AY108" s="28"/>
      <c r="AZ108" s="67"/>
      <c r="BA108" s="30"/>
      <c r="BD108" s="15">
        <v>800</v>
      </c>
      <c r="BE108" s="40">
        <f t="shared" si="39"/>
        <v>666.6666666666667</v>
      </c>
      <c r="BF108" s="40">
        <f t="shared" si="40"/>
        <v>133.33333333333334</v>
      </c>
      <c r="BG108" s="41">
        <v>1253</v>
      </c>
      <c r="BH108" s="41" t="s">
        <v>187</v>
      </c>
      <c r="BI108" s="95">
        <v>751845</v>
      </c>
      <c r="BJ108" s="42">
        <v>160500</v>
      </c>
    </row>
    <row r="109" spans="1:62" s="31" customFormat="1" ht="17.25" customHeight="1">
      <c r="A109" s="9" t="s">
        <v>214</v>
      </c>
      <c r="B109" s="15">
        <v>0</v>
      </c>
      <c r="C109" s="15">
        <v>150</v>
      </c>
      <c r="D109" s="22">
        <v>150</v>
      </c>
      <c r="E109" s="24">
        <f>+D109/C109*100</f>
        <v>100</v>
      </c>
      <c r="F109" s="18">
        <v>150</v>
      </c>
      <c r="G109" s="24">
        <f>+F109/C109*100</f>
        <v>100</v>
      </c>
      <c r="H109" s="70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87">
        <f>+AT109+AU109+AW109+AX109</f>
        <v>800</v>
      </c>
      <c r="AT109" s="28">
        <v>0</v>
      </c>
      <c r="AU109" s="15">
        <v>800</v>
      </c>
      <c r="AV109" s="29">
        <f t="shared" si="38"/>
        <v>800</v>
      </c>
      <c r="AW109" s="28">
        <v>0</v>
      </c>
      <c r="AX109" s="28">
        <v>0</v>
      </c>
      <c r="AY109" s="28"/>
      <c r="AZ109" s="67"/>
      <c r="BA109" s="30"/>
      <c r="BD109" s="15">
        <v>800</v>
      </c>
      <c r="BE109" s="40">
        <f t="shared" si="39"/>
        <v>666.6666666666667</v>
      </c>
      <c r="BF109" s="40">
        <f t="shared" si="40"/>
        <v>133.33333333333334</v>
      </c>
      <c r="BG109" s="41">
        <v>1253</v>
      </c>
      <c r="BH109" s="41" t="s">
        <v>187</v>
      </c>
      <c r="BI109" s="95">
        <v>751845</v>
      </c>
      <c r="BJ109" s="42">
        <v>160500</v>
      </c>
    </row>
    <row r="110" spans="1:62" s="128" customFormat="1" ht="17.25" customHeight="1">
      <c r="A110" s="5" t="s">
        <v>159</v>
      </c>
      <c r="B110" s="15">
        <v>300</v>
      </c>
      <c r="C110" s="15">
        <v>300</v>
      </c>
      <c r="D110" s="22">
        <v>87</v>
      </c>
      <c r="E110" s="24">
        <f t="shared" si="26"/>
        <v>28.999999999999996</v>
      </c>
      <c r="F110" s="18">
        <v>87</v>
      </c>
      <c r="G110" s="24">
        <f t="shared" si="27"/>
        <v>28.999999999999996</v>
      </c>
      <c r="H110" s="25"/>
      <c r="I110" s="26"/>
      <c r="J110" s="26"/>
      <c r="K110" s="26"/>
      <c r="L110" s="26"/>
      <c r="M110" s="26"/>
      <c r="N110" s="26"/>
      <c r="O110" s="26"/>
      <c r="P110" s="26"/>
      <c r="Q110" s="26"/>
      <c r="R110" s="26"/>
      <c r="S110" s="2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87">
        <f>+AT110+AU110+AW110+AX110</f>
        <v>300</v>
      </c>
      <c r="AT110" s="28">
        <v>0</v>
      </c>
      <c r="AU110" s="15">
        <v>300</v>
      </c>
      <c r="AV110" s="125">
        <f t="shared" si="38"/>
        <v>300</v>
      </c>
      <c r="AW110" s="28">
        <v>0</v>
      </c>
      <c r="AX110" s="28">
        <v>0</v>
      </c>
      <c r="AY110" s="28"/>
      <c r="AZ110" s="126"/>
      <c r="BD110" s="15">
        <v>300</v>
      </c>
      <c r="BE110" s="40">
        <f t="shared" si="39"/>
        <v>250</v>
      </c>
      <c r="BF110" s="40">
        <f t="shared" si="40"/>
        <v>50</v>
      </c>
      <c r="BG110" s="41">
        <v>1253</v>
      </c>
      <c r="BH110" s="41" t="s">
        <v>187</v>
      </c>
      <c r="BI110" s="95">
        <v>751845</v>
      </c>
      <c r="BJ110" s="42">
        <v>160500</v>
      </c>
    </row>
    <row r="111" spans="1:62" s="31" customFormat="1" ht="20.25" customHeight="1">
      <c r="A111" s="6" t="s">
        <v>31</v>
      </c>
      <c r="B111" s="17">
        <f>SUM(B52:B110)</f>
        <v>798394</v>
      </c>
      <c r="C111" s="17">
        <f>SUM(C52:C110)</f>
        <v>982030</v>
      </c>
      <c r="D111" s="17">
        <f>SUM(D52:D110)</f>
        <v>762202</v>
      </c>
      <c r="E111" s="76">
        <f t="shared" si="26"/>
        <v>77.61494048043339</v>
      </c>
      <c r="F111" s="17">
        <f>SUM(F52:F110)</f>
        <v>652034</v>
      </c>
      <c r="G111" s="76">
        <f t="shared" si="27"/>
        <v>66.39654593036872</v>
      </c>
      <c r="H111" s="77"/>
      <c r="I111" s="78"/>
      <c r="J111" s="78"/>
      <c r="K111" s="78"/>
      <c r="L111" s="78"/>
      <c r="M111" s="78"/>
      <c r="N111" s="78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  <c r="AP111" s="78"/>
      <c r="AQ111" s="78"/>
      <c r="AR111" s="78"/>
      <c r="AS111" s="79">
        <f aca="true" t="shared" si="41" ref="AS111:AY111">SUM(AS52:AS110)</f>
        <v>2844723</v>
      </c>
      <c r="AT111" s="17">
        <f t="shared" si="41"/>
        <v>425260</v>
      </c>
      <c r="AU111" s="17">
        <f t="shared" si="41"/>
        <v>801273</v>
      </c>
      <c r="AV111" s="17">
        <f t="shared" si="41"/>
        <v>315671</v>
      </c>
      <c r="AW111" s="17">
        <f t="shared" si="41"/>
        <v>178190</v>
      </c>
      <c r="AX111" s="17">
        <f t="shared" si="41"/>
        <v>120000</v>
      </c>
      <c r="AY111" s="17">
        <f t="shared" si="41"/>
        <v>1320000</v>
      </c>
      <c r="AZ111" s="80"/>
      <c r="BA111" s="81"/>
      <c r="BB111" s="82"/>
      <c r="BC111" s="82"/>
      <c r="BD111" s="17">
        <f>SUM(BD52:BD110)</f>
        <v>810523</v>
      </c>
      <c r="BE111" s="17">
        <f>SUM(BE52:BE110)</f>
        <v>703372.5</v>
      </c>
      <c r="BF111" s="17">
        <f>SUM(BF52:BF110)</f>
        <v>107150.5</v>
      </c>
      <c r="BG111" s="83"/>
      <c r="BH111" s="78"/>
      <c r="BI111" s="84"/>
      <c r="BJ111" s="42">
        <v>160500</v>
      </c>
    </row>
    <row r="112" spans="1:62" s="31" customFormat="1" ht="20.25" customHeight="1">
      <c r="A112" s="2" t="s">
        <v>32</v>
      </c>
      <c r="B112" s="15"/>
      <c r="C112" s="15"/>
      <c r="D112" s="85"/>
      <c r="E112" s="24"/>
      <c r="F112" s="18"/>
      <c r="G112" s="24"/>
      <c r="H112" s="86"/>
      <c r="I112" s="58"/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8"/>
      <c r="AQ112" s="58"/>
      <c r="AR112" s="58"/>
      <c r="AS112" s="87"/>
      <c r="AT112" s="28"/>
      <c r="AU112" s="15"/>
      <c r="AV112" s="29"/>
      <c r="AW112" s="28"/>
      <c r="AX112" s="28"/>
      <c r="AY112" s="28"/>
      <c r="AZ112" s="67"/>
      <c r="BA112" s="30"/>
      <c r="BD112" s="15"/>
      <c r="BE112" s="40"/>
      <c r="BF112" s="40"/>
      <c r="BG112" s="62"/>
      <c r="BH112" s="58"/>
      <c r="BI112" s="63"/>
      <c r="BJ112" s="58"/>
    </row>
    <row r="113" spans="1:62" s="82" customFormat="1" ht="18.75" customHeight="1">
      <c r="A113" s="8" t="s">
        <v>33</v>
      </c>
      <c r="B113" s="15">
        <v>18281</v>
      </c>
      <c r="C113" s="15">
        <v>18281</v>
      </c>
      <c r="D113" s="22">
        <v>18281</v>
      </c>
      <c r="E113" s="24">
        <f aca="true" t="shared" si="42" ref="E113:E120">+D113/C113*100</f>
        <v>100</v>
      </c>
      <c r="F113" s="18">
        <v>18200</v>
      </c>
      <c r="G113" s="24">
        <f aca="true" t="shared" si="43" ref="G113:G120">+F113/C113*100</f>
        <v>99.55691701766862</v>
      </c>
      <c r="H113" s="70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87">
        <f>+AT113+AU113+AW113+AX113</f>
        <v>969771</v>
      </c>
      <c r="AT113" s="28">
        <f>949619+1871</f>
        <v>951490</v>
      </c>
      <c r="AU113" s="15">
        <v>18281</v>
      </c>
      <c r="AV113" s="73">
        <f>+AU113-18000</f>
        <v>281</v>
      </c>
      <c r="AW113" s="28">
        <v>0</v>
      </c>
      <c r="AX113" s="28">
        <v>0</v>
      </c>
      <c r="AY113" s="28"/>
      <c r="AZ113" s="67" t="s">
        <v>124</v>
      </c>
      <c r="BA113" s="129">
        <v>18000</v>
      </c>
      <c r="BB113" s="31"/>
      <c r="BC113" s="31"/>
      <c r="BD113" s="15">
        <v>18281</v>
      </c>
      <c r="BE113" s="40">
        <f aca="true" t="shared" si="44" ref="BE113:BE119">+BD113/1.2</f>
        <v>15234.166666666668</v>
      </c>
      <c r="BF113" s="40">
        <f aca="true" t="shared" si="45" ref="BF113:BF119">+BE113*0.2</f>
        <v>3046.833333333334</v>
      </c>
      <c r="BG113" s="41">
        <v>1253</v>
      </c>
      <c r="BH113" s="41" t="s">
        <v>187</v>
      </c>
      <c r="BI113" s="95">
        <v>802177</v>
      </c>
      <c r="BJ113" s="42">
        <v>160600</v>
      </c>
    </row>
    <row r="114" spans="1:62" s="31" customFormat="1" ht="18.75" customHeight="1">
      <c r="A114" s="8" t="s">
        <v>34</v>
      </c>
      <c r="B114" s="15">
        <v>2500</v>
      </c>
      <c r="C114" s="15">
        <f>2500-100</f>
        <v>2400</v>
      </c>
      <c r="D114" s="22">
        <v>2400</v>
      </c>
      <c r="E114" s="24">
        <f t="shared" si="42"/>
        <v>100</v>
      </c>
      <c r="F114" s="18">
        <v>2400</v>
      </c>
      <c r="G114" s="24">
        <f t="shared" si="43"/>
        <v>100</v>
      </c>
      <c r="H114" s="70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87">
        <f>+AT114+AU114+AW114+AX114</f>
        <v>3337</v>
      </c>
      <c r="AT114" s="28">
        <v>837</v>
      </c>
      <c r="AU114" s="15">
        <v>2500</v>
      </c>
      <c r="AV114" s="29">
        <f>+AU114</f>
        <v>2500</v>
      </c>
      <c r="AW114" s="28">
        <v>0</v>
      </c>
      <c r="AX114" s="28">
        <v>0</v>
      </c>
      <c r="AY114" s="28"/>
      <c r="AZ114" s="67"/>
      <c r="BA114" s="30"/>
      <c r="BD114" s="15">
        <v>2500</v>
      </c>
      <c r="BE114" s="40">
        <f t="shared" si="44"/>
        <v>2083.3333333333335</v>
      </c>
      <c r="BF114" s="40">
        <f t="shared" si="45"/>
        <v>416.66666666666674</v>
      </c>
      <c r="BG114" s="41">
        <v>1253</v>
      </c>
      <c r="BH114" s="41" t="s">
        <v>187</v>
      </c>
      <c r="BI114" s="95">
        <v>551315</v>
      </c>
      <c r="BJ114" s="42">
        <v>160600</v>
      </c>
    </row>
    <row r="115" spans="1:62" ht="18.75" customHeight="1">
      <c r="A115" s="5" t="s">
        <v>118</v>
      </c>
      <c r="B115" s="15">
        <f>1036+3964</f>
        <v>5000</v>
      </c>
      <c r="C115" s="15">
        <f>1036+3964-964</f>
        <v>4036</v>
      </c>
      <c r="D115" s="22">
        <f>942+1444+236</f>
        <v>2622</v>
      </c>
      <c r="E115" s="24">
        <f t="shared" si="42"/>
        <v>64.96531219028742</v>
      </c>
      <c r="F115" s="18">
        <v>2477</v>
      </c>
      <c r="G115" s="24">
        <f t="shared" si="43"/>
        <v>61.37264618434093</v>
      </c>
      <c r="H115" s="70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87">
        <f>+AT115+AU115+AW115+AX115+AY115</f>
        <v>1829903</v>
      </c>
      <c r="AT115" s="37">
        <f>26478+272351+1526074</f>
        <v>1824903</v>
      </c>
      <c r="AU115" s="15">
        <f>1036+3964</f>
        <v>5000</v>
      </c>
      <c r="AV115" s="112">
        <v>0</v>
      </c>
      <c r="AW115" s="28">
        <v>0</v>
      </c>
      <c r="AX115" s="28">
        <v>0</v>
      </c>
      <c r="AY115" s="28">
        <v>0</v>
      </c>
      <c r="AZ115" s="67" t="s">
        <v>97</v>
      </c>
      <c r="BA115" s="28">
        <f>+AU115-AV115</f>
        <v>5000</v>
      </c>
      <c r="BC115" s="130">
        <f>+BA115-1249391</f>
        <v>-1244391</v>
      </c>
      <c r="BD115" s="15">
        <f>1036+3964</f>
        <v>5000</v>
      </c>
      <c r="BE115" s="40">
        <f t="shared" si="44"/>
        <v>4166.666666666667</v>
      </c>
      <c r="BF115" s="40">
        <f t="shared" si="45"/>
        <v>833.3333333333335</v>
      </c>
      <c r="BG115" s="41">
        <v>1253</v>
      </c>
      <c r="BH115" s="41" t="s">
        <v>187</v>
      </c>
      <c r="BI115" s="95">
        <v>802177</v>
      </c>
      <c r="BJ115" s="42">
        <v>160600</v>
      </c>
    </row>
    <row r="116" spans="1:62" s="31" customFormat="1" ht="18.75" customHeight="1">
      <c r="A116" s="5" t="s">
        <v>172</v>
      </c>
      <c r="B116" s="16">
        <v>1438</v>
      </c>
      <c r="C116" s="16">
        <v>1438</v>
      </c>
      <c r="D116" s="71" t="s">
        <v>166</v>
      </c>
      <c r="E116" s="71" t="s">
        <v>166</v>
      </c>
      <c r="F116" s="71" t="s">
        <v>166</v>
      </c>
      <c r="G116" s="71" t="s">
        <v>166</v>
      </c>
      <c r="H116" s="131" t="s">
        <v>173</v>
      </c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32"/>
      <c r="T116" s="132"/>
      <c r="U116" s="132"/>
      <c r="V116" s="132"/>
      <c r="W116" s="132"/>
      <c r="X116" s="132"/>
      <c r="Y116" s="132"/>
      <c r="Z116" s="132"/>
      <c r="AA116" s="132"/>
      <c r="AB116" s="132"/>
      <c r="AC116" s="132"/>
      <c r="AD116" s="132"/>
      <c r="AE116" s="132"/>
      <c r="AF116" s="132"/>
      <c r="AG116" s="132"/>
      <c r="AH116" s="132"/>
      <c r="AI116" s="132"/>
      <c r="AJ116" s="132"/>
      <c r="AK116" s="132"/>
      <c r="AL116" s="132"/>
      <c r="AM116" s="132"/>
      <c r="AN116" s="132"/>
      <c r="AO116" s="132"/>
      <c r="AP116" s="132"/>
      <c r="AQ116" s="132"/>
      <c r="AR116" s="26"/>
      <c r="AS116" s="27">
        <f>+AT116+AU116+AW116+AX116</f>
        <v>13572</v>
      </c>
      <c r="AT116" s="28">
        <v>0</v>
      </c>
      <c r="AU116" s="16">
        <v>1438</v>
      </c>
      <c r="AV116" s="29">
        <f>+AU116</f>
        <v>1438</v>
      </c>
      <c r="AW116" s="28">
        <v>12134</v>
      </c>
      <c r="AX116" s="28">
        <v>0</v>
      </c>
      <c r="AY116" s="28"/>
      <c r="AZ116" s="67" t="s">
        <v>152</v>
      </c>
      <c r="BA116" s="30"/>
      <c r="BD116" s="16">
        <v>1438</v>
      </c>
      <c r="BE116" s="40">
        <f t="shared" si="44"/>
        <v>1198.3333333333335</v>
      </c>
      <c r="BF116" s="40">
        <f t="shared" si="45"/>
        <v>239.6666666666667</v>
      </c>
      <c r="BG116" s="41">
        <v>1253</v>
      </c>
      <c r="BH116" s="41" t="s">
        <v>187</v>
      </c>
      <c r="BI116" s="95">
        <v>801214</v>
      </c>
      <c r="BJ116" s="42">
        <v>160600</v>
      </c>
    </row>
    <row r="117" spans="1:62" s="31" customFormat="1" ht="18.75" customHeight="1">
      <c r="A117" s="5" t="s">
        <v>167</v>
      </c>
      <c r="B117" s="16">
        <v>0</v>
      </c>
      <c r="C117" s="16">
        <v>6264</v>
      </c>
      <c r="D117" s="22">
        <v>6264</v>
      </c>
      <c r="E117" s="24">
        <f>+D117/C117*100</f>
        <v>100</v>
      </c>
      <c r="F117" s="18">
        <v>6264</v>
      </c>
      <c r="G117" s="24">
        <f>+F117/C117*100</f>
        <v>100</v>
      </c>
      <c r="H117" s="25"/>
      <c r="I117" s="26"/>
      <c r="J117" s="26"/>
      <c r="K117" s="26"/>
      <c r="L117" s="26"/>
      <c r="M117" s="26"/>
      <c r="N117" s="26"/>
      <c r="O117" s="26"/>
      <c r="P117" s="26"/>
      <c r="Q117" s="26"/>
      <c r="R117" s="26"/>
      <c r="S117" s="2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7">
        <f>+AT117+AU117+AW117+AX117</f>
        <v>0</v>
      </c>
      <c r="AT117" s="28">
        <v>0</v>
      </c>
      <c r="AU117" s="16"/>
      <c r="AV117" s="29">
        <f>+AU117</f>
        <v>0</v>
      </c>
      <c r="AW117" s="28"/>
      <c r="AX117" s="28">
        <v>0</v>
      </c>
      <c r="AY117" s="28"/>
      <c r="AZ117" s="21" t="s">
        <v>168</v>
      </c>
      <c r="BA117" s="30"/>
      <c r="BD117" s="16">
        <v>1438</v>
      </c>
      <c r="BE117" s="40">
        <f t="shared" si="44"/>
        <v>1198.3333333333335</v>
      </c>
      <c r="BF117" s="40">
        <f t="shared" si="45"/>
        <v>239.6666666666667</v>
      </c>
      <c r="BG117" s="41">
        <v>1253</v>
      </c>
      <c r="BH117" s="41" t="s">
        <v>187</v>
      </c>
      <c r="BI117" s="95">
        <v>751153</v>
      </c>
      <c r="BJ117" s="42">
        <v>160600</v>
      </c>
    </row>
    <row r="118" spans="1:62" s="31" customFormat="1" ht="18.75" customHeight="1">
      <c r="A118" s="5" t="s">
        <v>215</v>
      </c>
      <c r="B118" s="16">
        <v>0</v>
      </c>
      <c r="C118" s="16">
        <f>820+336-280+144+418</f>
        <v>1438</v>
      </c>
      <c r="D118" s="133">
        <f>336+540+144+100+100+107+111</f>
        <v>1438</v>
      </c>
      <c r="E118" s="24">
        <f>+D118/C118*100</f>
        <v>100</v>
      </c>
      <c r="F118" s="18">
        <f>876+144+418</f>
        <v>1438</v>
      </c>
      <c r="G118" s="24">
        <f>+F118/C118*100</f>
        <v>100</v>
      </c>
      <c r="H118" s="25"/>
      <c r="I118" s="26"/>
      <c r="J118" s="26"/>
      <c r="K118" s="26"/>
      <c r="L118" s="26"/>
      <c r="M118" s="26"/>
      <c r="N118" s="26"/>
      <c r="O118" s="26"/>
      <c r="P118" s="26"/>
      <c r="Q118" s="26"/>
      <c r="R118" s="26"/>
      <c r="S118" s="2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7">
        <f>+AT118+AU118+AW118+AX118</f>
        <v>0</v>
      </c>
      <c r="AT118" s="28">
        <v>0</v>
      </c>
      <c r="AU118" s="16"/>
      <c r="AV118" s="29">
        <f>+AU118</f>
        <v>0</v>
      </c>
      <c r="AW118" s="28"/>
      <c r="AX118" s="28">
        <v>0</v>
      </c>
      <c r="AY118" s="28"/>
      <c r="AZ118" s="21"/>
      <c r="BA118" s="30"/>
      <c r="BD118" s="16"/>
      <c r="BE118" s="40">
        <f>+BD118/1.2</f>
        <v>0</v>
      </c>
      <c r="BF118" s="40">
        <f>+BE118*0.2</f>
        <v>0</v>
      </c>
      <c r="BG118" s="41">
        <v>1253</v>
      </c>
      <c r="BH118" s="41" t="s">
        <v>187</v>
      </c>
      <c r="BI118" s="95" t="s">
        <v>209</v>
      </c>
      <c r="BJ118" s="42">
        <v>160600</v>
      </c>
    </row>
    <row r="119" spans="1:62" s="31" customFormat="1" ht="18.75" customHeight="1">
      <c r="A119" s="5" t="s">
        <v>225</v>
      </c>
      <c r="B119" s="16">
        <v>0</v>
      </c>
      <c r="C119" s="16">
        <v>2164</v>
      </c>
      <c r="D119" s="22">
        <v>2164</v>
      </c>
      <c r="E119" s="24">
        <f t="shared" si="42"/>
        <v>100</v>
      </c>
      <c r="F119" s="18">
        <v>2164</v>
      </c>
      <c r="G119" s="24">
        <f t="shared" si="43"/>
        <v>100</v>
      </c>
      <c r="H119" s="25"/>
      <c r="I119" s="26"/>
      <c r="J119" s="26"/>
      <c r="K119" s="26"/>
      <c r="L119" s="26"/>
      <c r="M119" s="26"/>
      <c r="N119" s="26"/>
      <c r="O119" s="26"/>
      <c r="P119" s="26"/>
      <c r="Q119" s="26"/>
      <c r="R119" s="26"/>
      <c r="S119" s="2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7">
        <f>+AT119+AU119+AW119+AX119</f>
        <v>0</v>
      </c>
      <c r="AT119" s="28">
        <v>0</v>
      </c>
      <c r="AU119" s="16"/>
      <c r="AV119" s="29">
        <f>+AU119</f>
        <v>0</v>
      </c>
      <c r="AW119" s="28"/>
      <c r="AX119" s="28">
        <v>0</v>
      </c>
      <c r="AY119" s="28"/>
      <c r="AZ119" s="21"/>
      <c r="BA119" s="30"/>
      <c r="BD119" s="16"/>
      <c r="BE119" s="40">
        <f t="shared" si="44"/>
        <v>0</v>
      </c>
      <c r="BF119" s="40">
        <f t="shared" si="45"/>
        <v>0</v>
      </c>
      <c r="BG119" s="41"/>
      <c r="BH119" s="41"/>
      <c r="BI119" s="41">
        <v>801225</v>
      </c>
      <c r="BJ119" s="42">
        <v>160600</v>
      </c>
    </row>
    <row r="120" spans="1:62" s="31" customFormat="1" ht="20.25" customHeight="1">
      <c r="A120" s="6" t="s">
        <v>35</v>
      </c>
      <c r="B120" s="17">
        <f>SUM(B113:B119)</f>
        <v>27219</v>
      </c>
      <c r="C120" s="17">
        <f>SUM(C113:C119)</f>
        <v>36021</v>
      </c>
      <c r="D120" s="17">
        <f>SUM(D113:D119)</f>
        <v>33169</v>
      </c>
      <c r="E120" s="76">
        <f t="shared" si="42"/>
        <v>92.0823963798895</v>
      </c>
      <c r="F120" s="17">
        <f>SUM(F113:F119)</f>
        <v>32943</v>
      </c>
      <c r="G120" s="76">
        <f t="shared" si="43"/>
        <v>91.45498459232114</v>
      </c>
      <c r="H120" s="77"/>
      <c r="I120" s="78"/>
      <c r="J120" s="78"/>
      <c r="K120" s="78"/>
      <c r="L120" s="78"/>
      <c r="M120" s="78"/>
      <c r="N120" s="78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  <c r="AP120" s="78"/>
      <c r="AQ120" s="78"/>
      <c r="AR120" s="78"/>
      <c r="AS120" s="79">
        <f aca="true" t="shared" si="46" ref="AS120:AY120">SUM(AS113:AS119)</f>
        <v>2816583</v>
      </c>
      <c r="AT120" s="17">
        <f t="shared" si="46"/>
        <v>2777230</v>
      </c>
      <c r="AU120" s="17">
        <f t="shared" si="46"/>
        <v>27219</v>
      </c>
      <c r="AV120" s="17">
        <f t="shared" si="46"/>
        <v>4219</v>
      </c>
      <c r="AW120" s="17">
        <f t="shared" si="46"/>
        <v>12134</v>
      </c>
      <c r="AX120" s="17">
        <f t="shared" si="46"/>
        <v>0</v>
      </c>
      <c r="AY120" s="17">
        <f t="shared" si="46"/>
        <v>0</v>
      </c>
      <c r="AZ120" s="80"/>
      <c r="BA120" s="81"/>
      <c r="BB120" s="82"/>
      <c r="BC120" s="82"/>
      <c r="BD120" s="17">
        <f>SUM(BD113:BD119)</f>
        <v>28657</v>
      </c>
      <c r="BE120" s="17">
        <f>SUM(BE113:BE119)</f>
        <v>23880.833333333332</v>
      </c>
      <c r="BF120" s="17">
        <f>SUM(BF113:BF119)</f>
        <v>4776.166666666668</v>
      </c>
      <c r="BG120" s="83"/>
      <c r="BH120" s="78"/>
      <c r="BI120" s="84"/>
      <c r="BJ120" s="42">
        <v>160600</v>
      </c>
    </row>
    <row r="121" spans="1:62" s="31" customFormat="1" ht="20.25" customHeight="1">
      <c r="A121" s="2" t="s">
        <v>253</v>
      </c>
      <c r="B121" s="15"/>
      <c r="C121" s="15"/>
      <c r="D121" s="85"/>
      <c r="E121" s="24"/>
      <c r="F121" s="85"/>
      <c r="G121" s="24"/>
      <c r="H121" s="86"/>
      <c r="I121" s="58"/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8"/>
      <c r="AQ121" s="58"/>
      <c r="AR121" s="58"/>
      <c r="AS121" s="87"/>
      <c r="AT121" s="28"/>
      <c r="AU121" s="15"/>
      <c r="AV121" s="29"/>
      <c r="AW121" s="28"/>
      <c r="AX121" s="28"/>
      <c r="AY121" s="28"/>
      <c r="AZ121" s="67"/>
      <c r="BA121" s="30"/>
      <c r="BD121" s="15"/>
      <c r="BE121" s="40"/>
      <c r="BF121" s="40"/>
      <c r="BG121" s="62"/>
      <c r="BH121" s="58"/>
      <c r="BI121" s="63"/>
      <c r="BJ121" s="58"/>
    </row>
    <row r="122" spans="1:62" s="31" customFormat="1" ht="18" customHeight="1">
      <c r="A122" s="7" t="s">
        <v>67</v>
      </c>
      <c r="B122" s="15">
        <v>1794</v>
      </c>
      <c r="C122" s="15">
        <f>1794-1500</f>
        <v>294</v>
      </c>
      <c r="D122" s="22">
        <f>67+57+84</f>
        <v>208</v>
      </c>
      <c r="E122" s="24">
        <f aca="true" t="shared" si="47" ref="E122:E127">+D122/C122*100</f>
        <v>70.74829931972789</v>
      </c>
      <c r="F122" s="22">
        <v>208</v>
      </c>
      <c r="G122" s="24">
        <f aca="true" t="shared" si="48" ref="G122:G127">+F122/C122*100</f>
        <v>70.74829931972789</v>
      </c>
      <c r="H122" s="70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87">
        <f>+AT122+AU122+AW122+AX122</f>
        <v>11500</v>
      </c>
      <c r="AT122" s="28">
        <v>9706</v>
      </c>
      <c r="AU122" s="15">
        <v>1794</v>
      </c>
      <c r="AV122" s="29">
        <f>+AU122</f>
        <v>1794</v>
      </c>
      <c r="AW122" s="28">
        <v>0</v>
      </c>
      <c r="AX122" s="28">
        <v>0</v>
      </c>
      <c r="AY122" s="28"/>
      <c r="AZ122" s="67"/>
      <c r="BA122" s="30"/>
      <c r="BD122" s="15">
        <v>1794</v>
      </c>
      <c r="BE122" s="40">
        <f>+BD122/1.2</f>
        <v>1495</v>
      </c>
      <c r="BF122" s="40">
        <f>+BE122*0.2</f>
        <v>299</v>
      </c>
      <c r="BG122" s="41">
        <v>1253</v>
      </c>
      <c r="BH122" s="41" t="s">
        <v>187</v>
      </c>
      <c r="BI122" s="134">
        <v>851219</v>
      </c>
      <c r="BJ122" s="135">
        <v>160700</v>
      </c>
    </row>
    <row r="123" spans="1:62" s="31" customFormat="1" ht="18" customHeight="1">
      <c r="A123" s="9" t="s">
        <v>146</v>
      </c>
      <c r="B123" s="15">
        <f>2000</f>
        <v>2000</v>
      </c>
      <c r="C123" s="15">
        <f>2000</f>
        <v>2000</v>
      </c>
      <c r="D123" s="71" t="s">
        <v>166</v>
      </c>
      <c r="E123" s="71" t="s">
        <v>166</v>
      </c>
      <c r="F123" s="71" t="s">
        <v>166</v>
      </c>
      <c r="G123" s="71" t="s">
        <v>166</v>
      </c>
      <c r="H123" s="70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87">
        <f>+AT123+AU123+AW123+AX123</f>
        <v>2000</v>
      </c>
      <c r="AT123" s="28">
        <v>0</v>
      </c>
      <c r="AU123" s="15">
        <f>2000</f>
        <v>2000</v>
      </c>
      <c r="AV123" s="29">
        <f>+AU123</f>
        <v>2000</v>
      </c>
      <c r="AW123" s="28">
        <v>0</v>
      </c>
      <c r="AX123" s="28">
        <v>0</v>
      </c>
      <c r="AY123" s="28"/>
      <c r="AZ123" s="67"/>
      <c r="BA123" s="30"/>
      <c r="BD123" s="15">
        <f>2000</f>
        <v>2000</v>
      </c>
      <c r="BE123" s="40">
        <f>+BD123/1.2</f>
        <v>1666.6666666666667</v>
      </c>
      <c r="BF123" s="40">
        <f>+BE123*0.2</f>
        <v>333.33333333333337</v>
      </c>
      <c r="BG123" s="41">
        <v>1253</v>
      </c>
      <c r="BH123" s="41" t="s">
        <v>187</v>
      </c>
      <c r="BI123" s="134">
        <v>851219</v>
      </c>
      <c r="BJ123" s="135">
        <v>160700</v>
      </c>
    </row>
    <row r="124" spans="1:62" s="82" customFormat="1" ht="18" customHeight="1">
      <c r="A124" s="9" t="s">
        <v>105</v>
      </c>
      <c r="B124" s="15">
        <v>600</v>
      </c>
      <c r="C124" s="15">
        <v>600</v>
      </c>
      <c r="D124" s="22">
        <v>600</v>
      </c>
      <c r="E124" s="24">
        <f t="shared" si="47"/>
        <v>100</v>
      </c>
      <c r="F124" s="22">
        <v>600</v>
      </c>
      <c r="G124" s="24">
        <f t="shared" si="48"/>
        <v>100</v>
      </c>
      <c r="H124" s="70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87">
        <f>+AT124+AU124+AW124+AX124</f>
        <v>600</v>
      </c>
      <c r="AT124" s="28">
        <v>0</v>
      </c>
      <c r="AU124" s="15">
        <v>600</v>
      </c>
      <c r="AV124" s="29">
        <f>+AU124</f>
        <v>600</v>
      </c>
      <c r="AW124" s="28">
        <v>0</v>
      </c>
      <c r="AX124" s="28">
        <v>0</v>
      </c>
      <c r="AY124" s="28"/>
      <c r="AZ124" s="67"/>
      <c r="BA124" s="30"/>
      <c r="BB124" s="31"/>
      <c r="BC124" s="31"/>
      <c r="BD124" s="15">
        <v>600</v>
      </c>
      <c r="BE124" s="40">
        <f>+BD124/1.2</f>
        <v>500</v>
      </c>
      <c r="BF124" s="40">
        <f>+BE124*0.2</f>
        <v>100</v>
      </c>
      <c r="BG124" s="41">
        <v>1253</v>
      </c>
      <c r="BH124" s="41" t="s">
        <v>187</v>
      </c>
      <c r="BI124" s="134">
        <v>851219</v>
      </c>
      <c r="BJ124" s="135">
        <v>160700</v>
      </c>
    </row>
    <row r="125" spans="1:62" s="82" customFormat="1" ht="18" customHeight="1">
      <c r="A125" s="9" t="s">
        <v>224</v>
      </c>
      <c r="B125" s="15">
        <v>0</v>
      </c>
      <c r="C125" s="15">
        <v>478</v>
      </c>
      <c r="D125" s="71" t="s">
        <v>166</v>
      </c>
      <c r="E125" s="71" t="s">
        <v>166</v>
      </c>
      <c r="F125" s="71" t="s">
        <v>166</v>
      </c>
      <c r="G125" s="71" t="s">
        <v>166</v>
      </c>
      <c r="H125" s="70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87">
        <f>+AT125+AU125+AW125+AX125</f>
        <v>600</v>
      </c>
      <c r="AT125" s="28">
        <v>0</v>
      </c>
      <c r="AU125" s="15">
        <v>600</v>
      </c>
      <c r="AV125" s="29">
        <f>+AU125</f>
        <v>600</v>
      </c>
      <c r="AW125" s="28">
        <v>0</v>
      </c>
      <c r="AX125" s="28">
        <v>0</v>
      </c>
      <c r="AY125" s="28"/>
      <c r="AZ125" s="67"/>
      <c r="BA125" s="30"/>
      <c r="BB125" s="31"/>
      <c r="BC125" s="31"/>
      <c r="BD125" s="15">
        <v>600</v>
      </c>
      <c r="BE125" s="40">
        <f>+BD125/1.2</f>
        <v>500</v>
      </c>
      <c r="BF125" s="40">
        <f>+BE125*0.2</f>
        <v>100</v>
      </c>
      <c r="BG125" s="41">
        <v>1253</v>
      </c>
      <c r="BH125" s="41" t="s">
        <v>187</v>
      </c>
      <c r="BI125" s="134">
        <v>851219</v>
      </c>
      <c r="BJ125" s="135">
        <v>160700</v>
      </c>
    </row>
    <row r="126" spans="1:62" s="82" customFormat="1" ht="18" customHeight="1">
      <c r="A126" s="4" t="s">
        <v>248</v>
      </c>
      <c r="B126" s="15">
        <v>0</v>
      </c>
      <c r="C126" s="15">
        <v>1389</v>
      </c>
      <c r="D126" s="22">
        <v>1389</v>
      </c>
      <c r="E126" s="24">
        <f t="shared" si="47"/>
        <v>100</v>
      </c>
      <c r="F126" s="71" t="s">
        <v>166</v>
      </c>
      <c r="G126" s="71" t="s">
        <v>166</v>
      </c>
      <c r="H126" s="70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87">
        <f>+AT126+AU126+AW126+AX126</f>
        <v>600</v>
      </c>
      <c r="AT126" s="28">
        <v>0</v>
      </c>
      <c r="AU126" s="15">
        <v>600</v>
      </c>
      <c r="AV126" s="29">
        <f>+AU126</f>
        <v>600</v>
      </c>
      <c r="AW126" s="28">
        <v>0</v>
      </c>
      <c r="AX126" s="28">
        <v>0</v>
      </c>
      <c r="AY126" s="28"/>
      <c r="AZ126" s="67"/>
      <c r="BA126" s="30"/>
      <c r="BB126" s="31"/>
      <c r="BC126" s="31"/>
      <c r="BD126" s="15">
        <v>600</v>
      </c>
      <c r="BE126" s="40">
        <f>+BD126/1.2</f>
        <v>500</v>
      </c>
      <c r="BF126" s="40">
        <f>+BE126*0.2</f>
        <v>100</v>
      </c>
      <c r="BG126" s="41">
        <v>1253</v>
      </c>
      <c r="BH126" s="41" t="s">
        <v>187</v>
      </c>
      <c r="BI126" s="134">
        <v>851219</v>
      </c>
      <c r="BJ126" s="135">
        <v>160700</v>
      </c>
    </row>
    <row r="127" spans="1:62" s="31" customFormat="1" ht="20.25" customHeight="1">
      <c r="A127" s="180" t="s">
        <v>269</v>
      </c>
      <c r="B127" s="181">
        <f>SUM(B122:B126)</f>
        <v>4394</v>
      </c>
      <c r="C127" s="181">
        <f>SUM(C122:C126)</f>
        <v>4761</v>
      </c>
      <c r="D127" s="181">
        <f>SUM(D122:D126)</f>
        <v>2197</v>
      </c>
      <c r="E127" s="182">
        <f t="shared" si="47"/>
        <v>46.14576769586222</v>
      </c>
      <c r="F127" s="181">
        <f>SUM(F122:F126)</f>
        <v>808</v>
      </c>
      <c r="G127" s="182">
        <f t="shared" si="48"/>
        <v>16.971224532661207</v>
      </c>
      <c r="H127" s="183"/>
      <c r="I127" s="78"/>
      <c r="J127" s="78"/>
      <c r="K127" s="78"/>
      <c r="L127" s="78"/>
      <c r="M127" s="78"/>
      <c r="N127" s="78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  <c r="AP127" s="78"/>
      <c r="AQ127" s="78"/>
      <c r="AR127" s="78"/>
      <c r="AS127" s="79">
        <f aca="true" t="shared" si="49" ref="AS127:AY127">SUM(AS122:AS126)</f>
        <v>15300</v>
      </c>
      <c r="AT127" s="17">
        <f t="shared" si="49"/>
        <v>9706</v>
      </c>
      <c r="AU127" s="17">
        <f t="shared" si="49"/>
        <v>5594</v>
      </c>
      <c r="AV127" s="17">
        <f t="shared" si="49"/>
        <v>5594</v>
      </c>
      <c r="AW127" s="17">
        <f t="shared" si="49"/>
        <v>0</v>
      </c>
      <c r="AX127" s="17">
        <f t="shared" si="49"/>
        <v>0</v>
      </c>
      <c r="AY127" s="17">
        <f t="shared" si="49"/>
        <v>0</v>
      </c>
      <c r="AZ127" s="80"/>
      <c r="BA127" s="81"/>
      <c r="BB127" s="82"/>
      <c r="BC127" s="82"/>
      <c r="BD127" s="17">
        <f>SUM(BD122:BD126)</f>
        <v>5594</v>
      </c>
      <c r="BE127" s="17">
        <f>SUM(BE122:BE126)</f>
        <v>4661.666666666667</v>
      </c>
      <c r="BF127" s="17">
        <f>SUM(BF122:BF126)</f>
        <v>932.3333333333334</v>
      </c>
      <c r="BG127" s="83"/>
      <c r="BH127" s="78"/>
      <c r="BI127" s="84"/>
      <c r="BJ127" s="135">
        <v>160700</v>
      </c>
    </row>
    <row r="128" spans="1:62" s="31" customFormat="1" ht="20.25" customHeight="1">
      <c r="A128" s="184" t="s">
        <v>36</v>
      </c>
      <c r="B128" s="175"/>
      <c r="C128" s="175"/>
      <c r="D128" s="55"/>
      <c r="E128" s="177"/>
      <c r="F128" s="55"/>
      <c r="G128" s="177"/>
      <c r="H128" s="57"/>
      <c r="I128" s="58"/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8"/>
      <c r="AQ128" s="58"/>
      <c r="AR128" s="58"/>
      <c r="AS128" s="87"/>
      <c r="AT128" s="28"/>
      <c r="AU128" s="15"/>
      <c r="AV128" s="29"/>
      <c r="AW128" s="28"/>
      <c r="AX128" s="28"/>
      <c r="AY128" s="28"/>
      <c r="AZ128" s="67"/>
      <c r="BA128" s="30"/>
      <c r="BD128" s="15"/>
      <c r="BE128" s="40"/>
      <c r="BF128" s="40"/>
      <c r="BG128" s="62"/>
      <c r="BH128" s="58"/>
      <c r="BI128" s="63"/>
      <c r="BJ128" s="58"/>
    </row>
    <row r="129" spans="1:62" s="82" customFormat="1" ht="20.25" customHeight="1">
      <c r="A129" s="7" t="s">
        <v>68</v>
      </c>
      <c r="B129" s="15">
        <v>5000</v>
      </c>
      <c r="C129" s="15">
        <f>5000-282</f>
        <v>4718</v>
      </c>
      <c r="D129" s="22">
        <v>1800</v>
      </c>
      <c r="E129" s="24">
        <f>+D129/C129*100</f>
        <v>38.15175922000848</v>
      </c>
      <c r="F129" s="71" t="s">
        <v>166</v>
      </c>
      <c r="G129" s="71" t="s">
        <v>166</v>
      </c>
      <c r="H129" s="70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87">
        <f>+AT129+AU129+AW129+AX129</f>
        <v>5000</v>
      </c>
      <c r="AT129" s="28">
        <v>0</v>
      </c>
      <c r="AU129" s="15">
        <v>5000</v>
      </c>
      <c r="AV129" s="29">
        <f>+AU129</f>
        <v>5000</v>
      </c>
      <c r="AW129" s="28">
        <v>0</v>
      </c>
      <c r="AX129" s="28">
        <v>0</v>
      </c>
      <c r="AY129" s="28"/>
      <c r="AZ129" s="67"/>
      <c r="BA129" s="30">
        <v>149</v>
      </c>
      <c r="BB129" s="31"/>
      <c r="BC129" s="31"/>
      <c r="BD129" s="15">
        <v>5000</v>
      </c>
      <c r="BE129" s="40">
        <f>+BD129/1.2</f>
        <v>4166.666666666667</v>
      </c>
      <c r="BF129" s="40">
        <f>+BE129*0.2</f>
        <v>833.3333333333335</v>
      </c>
      <c r="BG129" s="41">
        <v>1253</v>
      </c>
      <c r="BH129" s="41" t="s">
        <v>187</v>
      </c>
      <c r="BI129" s="134">
        <v>924014</v>
      </c>
      <c r="BJ129" s="135">
        <v>160800</v>
      </c>
    </row>
    <row r="130" spans="1:62" s="31" customFormat="1" ht="20.25" customHeight="1">
      <c r="A130" s="7" t="s">
        <v>206</v>
      </c>
      <c r="B130" s="15">
        <f>139335-8004</f>
        <v>131331</v>
      </c>
      <c r="C130" s="15">
        <f>139335-8004+5117</f>
        <v>136448</v>
      </c>
      <c r="D130" s="1">
        <v>135229</v>
      </c>
      <c r="E130" s="24">
        <f>+D130/C130*100</f>
        <v>99.10661937148217</v>
      </c>
      <c r="F130" s="22">
        <v>135229</v>
      </c>
      <c r="G130" s="24">
        <f>+F130/C130*100</f>
        <v>99.10661937148217</v>
      </c>
      <c r="H130" s="70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87">
        <f>+AT130+AU130+AW130+AX130</f>
        <v>131331</v>
      </c>
      <c r="AT130" s="28">
        <v>0</v>
      </c>
      <c r="AU130" s="15">
        <f>139335-8004</f>
        <v>131331</v>
      </c>
      <c r="AV130" s="29">
        <f>+AU130-81000</f>
        <v>50331</v>
      </c>
      <c r="AW130" s="28">
        <v>0</v>
      </c>
      <c r="AX130" s="28">
        <v>0</v>
      </c>
      <c r="AY130" s="28"/>
      <c r="AZ130" s="67" t="s">
        <v>9</v>
      </c>
      <c r="BA130" s="30"/>
      <c r="BD130" s="15">
        <f>139335-8004</f>
        <v>131331</v>
      </c>
      <c r="BE130" s="40">
        <f>+BD130/1.2</f>
        <v>109442.5</v>
      </c>
      <c r="BF130" s="40">
        <f>+BE130*0.2</f>
        <v>21888.5</v>
      </c>
      <c r="BG130" s="41">
        <v>1253</v>
      </c>
      <c r="BH130" s="41" t="s">
        <v>187</v>
      </c>
      <c r="BI130" s="134">
        <v>924014</v>
      </c>
      <c r="BJ130" s="135">
        <v>160800</v>
      </c>
    </row>
    <row r="131" spans="1:62" s="31" customFormat="1" ht="21.75" customHeight="1">
      <c r="A131" s="9" t="s">
        <v>202</v>
      </c>
      <c r="B131" s="15">
        <v>0</v>
      </c>
      <c r="C131" s="15">
        <v>20000</v>
      </c>
      <c r="D131" s="22">
        <f>360+11991+10024+2431</f>
        <v>24806</v>
      </c>
      <c r="E131" s="24">
        <f>+D131/C131*100</f>
        <v>124.03</v>
      </c>
      <c r="F131" s="22">
        <v>360</v>
      </c>
      <c r="G131" s="24">
        <f>+F131/C131*100</f>
        <v>1.7999999999999998</v>
      </c>
      <c r="H131" s="23" t="s">
        <v>271</v>
      </c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87">
        <f>+AT131+AU131+AW131+AX131</f>
        <v>0</v>
      </c>
      <c r="AT131" s="28">
        <v>0</v>
      </c>
      <c r="AU131" s="15"/>
      <c r="AV131" s="29"/>
      <c r="AW131" s="28">
        <v>0</v>
      </c>
      <c r="AX131" s="28">
        <v>0</v>
      </c>
      <c r="AY131" s="28"/>
      <c r="AZ131" s="67"/>
      <c r="BA131" s="30"/>
      <c r="BD131" s="15">
        <f>139335-8004</f>
        <v>131331</v>
      </c>
      <c r="BE131" s="40">
        <f>+BD131/1.2</f>
        <v>109442.5</v>
      </c>
      <c r="BF131" s="40">
        <f>+BE131*0.2</f>
        <v>21888.5</v>
      </c>
      <c r="BG131" s="41">
        <v>1253</v>
      </c>
      <c r="BH131" s="41" t="s">
        <v>187</v>
      </c>
      <c r="BI131" s="134">
        <v>924014</v>
      </c>
      <c r="BJ131" s="135">
        <v>160800</v>
      </c>
    </row>
    <row r="132" spans="1:62" s="31" customFormat="1" ht="20.25" customHeight="1">
      <c r="A132" s="6" t="s">
        <v>37</v>
      </c>
      <c r="B132" s="17">
        <f>SUM(B129:B131)</f>
        <v>136331</v>
      </c>
      <c r="C132" s="17">
        <f>SUM(C129:C131)</f>
        <v>161166</v>
      </c>
      <c r="D132" s="17">
        <f>SUM(D129:D131)</f>
        <v>161835</v>
      </c>
      <c r="E132" s="76">
        <f>+D132/C132*100</f>
        <v>100.41509995904843</v>
      </c>
      <c r="F132" s="17">
        <f>SUM(F129:F131)</f>
        <v>135589</v>
      </c>
      <c r="G132" s="76">
        <f>+F132/C132*100</f>
        <v>84.1300274251393</v>
      </c>
      <c r="H132" s="77"/>
      <c r="I132" s="78"/>
      <c r="J132" s="78"/>
      <c r="K132" s="78"/>
      <c r="L132" s="78"/>
      <c r="M132" s="78"/>
      <c r="N132" s="78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  <c r="AP132" s="78"/>
      <c r="AQ132" s="78"/>
      <c r="AR132" s="78"/>
      <c r="AS132" s="79">
        <f aca="true" t="shared" si="50" ref="AS132:AY132">SUM(AS129:AS131)</f>
        <v>136331</v>
      </c>
      <c r="AT132" s="17">
        <f t="shared" si="50"/>
        <v>0</v>
      </c>
      <c r="AU132" s="17">
        <f t="shared" si="50"/>
        <v>136331</v>
      </c>
      <c r="AV132" s="17">
        <f t="shared" si="50"/>
        <v>55331</v>
      </c>
      <c r="AW132" s="17">
        <f t="shared" si="50"/>
        <v>0</v>
      </c>
      <c r="AX132" s="17">
        <f t="shared" si="50"/>
        <v>0</v>
      </c>
      <c r="AY132" s="17">
        <f t="shared" si="50"/>
        <v>0</v>
      </c>
      <c r="AZ132" s="80"/>
      <c r="BA132" s="81"/>
      <c r="BB132" s="82"/>
      <c r="BC132" s="82"/>
      <c r="BD132" s="17">
        <f>SUM(BD129:BD131)</f>
        <v>267662</v>
      </c>
      <c r="BE132" s="17">
        <f>SUM(BE129:BE131)</f>
        <v>223051.6666666667</v>
      </c>
      <c r="BF132" s="17">
        <f>SUM(BF129:BF131)</f>
        <v>44610.33333333333</v>
      </c>
      <c r="BG132" s="83"/>
      <c r="BH132" s="78"/>
      <c r="BI132" s="84"/>
      <c r="BJ132" s="135">
        <v>160800</v>
      </c>
    </row>
    <row r="133" spans="1:62" s="31" customFormat="1" ht="20.25" customHeight="1">
      <c r="A133" s="2" t="s">
        <v>38</v>
      </c>
      <c r="B133" s="15"/>
      <c r="C133" s="15"/>
      <c r="D133" s="85"/>
      <c r="E133" s="24"/>
      <c r="F133" s="18"/>
      <c r="G133" s="24"/>
      <c r="H133" s="86"/>
      <c r="I133" s="58"/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8"/>
      <c r="AQ133" s="58"/>
      <c r="AR133" s="58"/>
      <c r="AS133" s="87"/>
      <c r="AT133" s="28"/>
      <c r="AU133" s="15"/>
      <c r="AV133" s="29"/>
      <c r="AW133" s="28"/>
      <c r="AX133" s="28"/>
      <c r="AY133" s="28"/>
      <c r="AZ133" s="67"/>
      <c r="BA133" s="30"/>
      <c r="BD133" s="15"/>
      <c r="BE133" s="40"/>
      <c r="BF133" s="40"/>
      <c r="BG133" s="62"/>
      <c r="BH133" s="58"/>
      <c r="BI133" s="63"/>
      <c r="BJ133" s="58"/>
    </row>
    <row r="134" spans="1:62" s="31" customFormat="1" ht="19.5" customHeight="1">
      <c r="A134" s="9" t="s">
        <v>108</v>
      </c>
      <c r="B134" s="15">
        <v>4020</v>
      </c>
      <c r="C134" s="15">
        <f>4020-54-1369-905+2000</f>
        <v>3692</v>
      </c>
      <c r="D134" s="22">
        <v>1571</v>
      </c>
      <c r="E134" s="24">
        <f aca="true" t="shared" si="51" ref="E134:E148">+D134/C134*100</f>
        <v>42.55146262188516</v>
      </c>
      <c r="F134" s="71" t="s">
        <v>166</v>
      </c>
      <c r="G134" s="71" t="s">
        <v>166</v>
      </c>
      <c r="H134" s="70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87">
        <f aca="true" t="shared" si="52" ref="AS134:AS144">+AT134+AU134+AW134+AX134</f>
        <v>5634</v>
      </c>
      <c r="AT134" s="28">
        <v>1614</v>
      </c>
      <c r="AU134" s="15">
        <v>4020</v>
      </c>
      <c r="AV134" s="29">
        <f aca="true" t="shared" si="53" ref="AV134:AV144">+AU134</f>
        <v>4020</v>
      </c>
      <c r="AW134" s="28">
        <v>0</v>
      </c>
      <c r="AX134" s="28">
        <v>0</v>
      </c>
      <c r="AY134" s="28"/>
      <c r="AZ134" s="67"/>
      <c r="BA134" s="30"/>
      <c r="BD134" s="15">
        <v>4020</v>
      </c>
      <c r="BE134" s="40">
        <f aca="true" t="shared" si="54" ref="BE134:BE144">+BD134/1.2</f>
        <v>3350</v>
      </c>
      <c r="BF134" s="40">
        <f aca="true" t="shared" si="55" ref="BF134:BF144">+BE134*0.2</f>
        <v>670</v>
      </c>
      <c r="BG134" s="136">
        <v>13151</v>
      </c>
      <c r="BH134" s="41" t="s">
        <v>190</v>
      </c>
      <c r="BI134" s="95">
        <v>751153</v>
      </c>
      <c r="BJ134" s="42">
        <v>160900</v>
      </c>
    </row>
    <row r="135" spans="1:62" s="31" customFormat="1" ht="19.5" customHeight="1">
      <c r="A135" s="9" t="s">
        <v>110</v>
      </c>
      <c r="B135" s="15">
        <v>3031</v>
      </c>
      <c r="C135" s="15">
        <f>3031-716</f>
        <v>2315</v>
      </c>
      <c r="D135" s="22">
        <f>2168+147</f>
        <v>2315</v>
      </c>
      <c r="E135" s="24">
        <f t="shared" si="51"/>
        <v>100</v>
      </c>
      <c r="F135" s="18">
        <v>2315</v>
      </c>
      <c r="G135" s="24">
        <f aca="true" t="shared" si="56" ref="G135:G148">+F135/C135*100</f>
        <v>100</v>
      </c>
      <c r="H135" s="70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87">
        <f t="shared" si="52"/>
        <v>10000</v>
      </c>
      <c r="AT135" s="28">
        <v>6969</v>
      </c>
      <c r="AU135" s="15">
        <v>3031</v>
      </c>
      <c r="AV135" s="29">
        <f t="shared" si="53"/>
        <v>3031</v>
      </c>
      <c r="AW135" s="28">
        <v>0</v>
      </c>
      <c r="AX135" s="28">
        <v>0</v>
      </c>
      <c r="AY135" s="28"/>
      <c r="AZ135" s="67"/>
      <c r="BA135" s="30"/>
      <c r="BD135" s="15">
        <v>3031</v>
      </c>
      <c r="BE135" s="40">
        <f t="shared" si="54"/>
        <v>2525.8333333333335</v>
      </c>
      <c r="BF135" s="40">
        <f t="shared" si="55"/>
        <v>505.16666666666674</v>
      </c>
      <c r="BG135" s="136">
        <v>1253</v>
      </c>
      <c r="BH135" s="41" t="s">
        <v>187</v>
      </c>
      <c r="BI135" s="95">
        <v>751153</v>
      </c>
      <c r="BJ135" s="42">
        <v>160900</v>
      </c>
    </row>
    <row r="136" spans="1:62" s="31" customFormat="1" ht="19.5" customHeight="1">
      <c r="A136" s="9" t="s">
        <v>109</v>
      </c>
      <c r="B136" s="15">
        <v>500</v>
      </c>
      <c r="C136" s="15">
        <v>500</v>
      </c>
      <c r="D136" s="71" t="s">
        <v>166</v>
      </c>
      <c r="E136" s="71" t="s">
        <v>166</v>
      </c>
      <c r="F136" s="71" t="s">
        <v>166</v>
      </c>
      <c r="G136" s="71" t="s">
        <v>166</v>
      </c>
      <c r="H136" s="70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87">
        <f t="shared" si="52"/>
        <v>500</v>
      </c>
      <c r="AT136" s="28">
        <v>0</v>
      </c>
      <c r="AU136" s="15">
        <v>500</v>
      </c>
      <c r="AV136" s="29">
        <f t="shared" si="53"/>
        <v>500</v>
      </c>
      <c r="AW136" s="28">
        <v>0</v>
      </c>
      <c r="AX136" s="28">
        <v>0</v>
      </c>
      <c r="AY136" s="28"/>
      <c r="AZ136" s="67"/>
      <c r="BA136" s="30"/>
      <c r="BD136" s="15">
        <v>500</v>
      </c>
      <c r="BE136" s="40">
        <f t="shared" si="54"/>
        <v>416.6666666666667</v>
      </c>
      <c r="BF136" s="40">
        <f t="shared" si="55"/>
        <v>83.33333333333334</v>
      </c>
      <c r="BG136" s="136">
        <v>13151</v>
      </c>
      <c r="BH136" s="41" t="s">
        <v>190</v>
      </c>
      <c r="BI136" s="95">
        <v>751153</v>
      </c>
      <c r="BJ136" s="42">
        <v>160900</v>
      </c>
    </row>
    <row r="137" spans="1:62" s="31" customFormat="1" ht="19.5" customHeight="1">
      <c r="A137" s="4" t="s">
        <v>219</v>
      </c>
      <c r="B137" s="15">
        <f>3000+6502</f>
        <v>9502</v>
      </c>
      <c r="C137" s="15">
        <f>3000+6502+632</f>
        <v>10134</v>
      </c>
      <c r="D137" s="22">
        <f>808+231+7229+1187</f>
        <v>9455</v>
      </c>
      <c r="E137" s="24">
        <f t="shared" si="51"/>
        <v>93.29978290901914</v>
      </c>
      <c r="F137" s="22">
        <f>808+231+7229</f>
        <v>8268</v>
      </c>
      <c r="G137" s="24">
        <f t="shared" si="56"/>
        <v>81.58673771462404</v>
      </c>
      <c r="H137" s="25"/>
      <c r="I137" s="26"/>
      <c r="J137" s="26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87">
        <f t="shared" si="52"/>
        <v>3000</v>
      </c>
      <c r="AT137" s="28">
        <v>0</v>
      </c>
      <c r="AU137" s="15">
        <v>3000</v>
      </c>
      <c r="AV137" s="29">
        <f t="shared" si="53"/>
        <v>3000</v>
      </c>
      <c r="AW137" s="28">
        <v>0</v>
      </c>
      <c r="AX137" s="28">
        <v>0</v>
      </c>
      <c r="AY137" s="28"/>
      <c r="AZ137" s="67"/>
      <c r="BA137" s="30"/>
      <c r="BD137" s="15">
        <v>3000</v>
      </c>
      <c r="BE137" s="40">
        <f t="shared" si="54"/>
        <v>2500</v>
      </c>
      <c r="BF137" s="40">
        <f t="shared" si="55"/>
        <v>500</v>
      </c>
      <c r="BG137" s="136">
        <v>13151</v>
      </c>
      <c r="BH137" s="41" t="s">
        <v>190</v>
      </c>
      <c r="BI137" s="95">
        <v>751153</v>
      </c>
      <c r="BJ137" s="42">
        <v>160900</v>
      </c>
    </row>
    <row r="138" spans="1:62" ht="19.5" customHeight="1">
      <c r="A138" s="5" t="s">
        <v>101</v>
      </c>
      <c r="B138" s="16">
        <v>13000</v>
      </c>
      <c r="C138" s="16">
        <f>13000-1250+300</f>
        <v>12050</v>
      </c>
      <c r="D138" s="22">
        <f>8180+746+884+744+1194</f>
        <v>11748</v>
      </c>
      <c r="E138" s="24">
        <f t="shared" si="51"/>
        <v>97.49377593360997</v>
      </c>
      <c r="F138" s="18">
        <v>11748</v>
      </c>
      <c r="G138" s="24">
        <f t="shared" si="56"/>
        <v>97.49377593360997</v>
      </c>
      <c r="H138" s="25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7">
        <f t="shared" si="52"/>
        <v>13000</v>
      </c>
      <c r="AT138" s="28">
        <v>0</v>
      </c>
      <c r="AU138" s="16">
        <v>13000</v>
      </c>
      <c r="AV138" s="29">
        <f t="shared" si="53"/>
        <v>13000</v>
      </c>
      <c r="AW138" s="28">
        <v>0</v>
      </c>
      <c r="AX138" s="28">
        <v>0</v>
      </c>
      <c r="AY138" s="28"/>
      <c r="AZ138" s="23"/>
      <c r="BB138" s="67"/>
      <c r="BD138" s="16">
        <v>13000</v>
      </c>
      <c r="BE138" s="40">
        <f t="shared" si="54"/>
        <v>10833.333333333334</v>
      </c>
      <c r="BF138" s="40">
        <f t="shared" si="55"/>
        <v>2166.666666666667</v>
      </c>
      <c r="BG138" s="136">
        <v>1253</v>
      </c>
      <c r="BH138" s="41" t="s">
        <v>187</v>
      </c>
      <c r="BI138" s="95">
        <v>751153</v>
      </c>
      <c r="BJ138" s="42">
        <v>160900</v>
      </c>
    </row>
    <row r="139" spans="1:62" ht="19.5" customHeight="1">
      <c r="A139" s="5" t="s">
        <v>160</v>
      </c>
      <c r="B139" s="16">
        <v>7500</v>
      </c>
      <c r="C139" s="16">
        <f>7500-632</f>
        <v>6868</v>
      </c>
      <c r="D139" s="22">
        <v>6868</v>
      </c>
      <c r="E139" s="24">
        <f t="shared" si="51"/>
        <v>100</v>
      </c>
      <c r="F139" s="18">
        <v>6868</v>
      </c>
      <c r="G139" s="24">
        <f t="shared" si="56"/>
        <v>100</v>
      </c>
      <c r="H139" s="25"/>
      <c r="I139" s="26"/>
      <c r="J139" s="26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7">
        <f t="shared" si="52"/>
        <v>7500</v>
      </c>
      <c r="AT139" s="28">
        <v>0</v>
      </c>
      <c r="AU139" s="16">
        <v>7500</v>
      </c>
      <c r="AV139" s="29">
        <f t="shared" si="53"/>
        <v>7500</v>
      </c>
      <c r="AW139" s="28">
        <v>0</v>
      </c>
      <c r="AX139" s="28">
        <v>0</v>
      </c>
      <c r="AY139" s="28"/>
      <c r="AZ139" s="23"/>
      <c r="BB139" s="67"/>
      <c r="BD139" s="16">
        <v>7500</v>
      </c>
      <c r="BE139" s="40">
        <f t="shared" si="54"/>
        <v>6250</v>
      </c>
      <c r="BF139" s="40">
        <f t="shared" si="55"/>
        <v>1250</v>
      </c>
      <c r="BG139" s="136">
        <v>1154</v>
      </c>
      <c r="BH139" s="41" t="s">
        <v>188</v>
      </c>
      <c r="BI139" s="95">
        <v>751153</v>
      </c>
      <c r="BJ139" s="42">
        <v>160900</v>
      </c>
    </row>
    <row r="140" spans="1:62" ht="19.5" customHeight="1">
      <c r="A140" s="5" t="s">
        <v>6</v>
      </c>
      <c r="B140" s="16">
        <v>8000</v>
      </c>
      <c r="C140" s="16">
        <f>8000+68+54</f>
        <v>8122</v>
      </c>
      <c r="D140" s="22">
        <v>8122</v>
      </c>
      <c r="E140" s="24">
        <f t="shared" si="51"/>
        <v>100</v>
      </c>
      <c r="F140" s="18">
        <v>8122</v>
      </c>
      <c r="G140" s="24">
        <f t="shared" si="56"/>
        <v>100</v>
      </c>
      <c r="H140" s="25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7">
        <f t="shared" si="52"/>
        <v>8000</v>
      </c>
      <c r="AT140" s="28">
        <v>0</v>
      </c>
      <c r="AU140" s="16">
        <v>8000</v>
      </c>
      <c r="AV140" s="29">
        <f t="shared" si="53"/>
        <v>8000</v>
      </c>
      <c r="AW140" s="28">
        <v>0</v>
      </c>
      <c r="AX140" s="28">
        <v>0</v>
      </c>
      <c r="AY140" s="28"/>
      <c r="AZ140" s="23"/>
      <c r="BB140" s="67"/>
      <c r="BD140" s="16">
        <v>8000</v>
      </c>
      <c r="BE140" s="40">
        <f t="shared" si="54"/>
        <v>6666.666666666667</v>
      </c>
      <c r="BF140" s="40">
        <f t="shared" si="55"/>
        <v>1333.3333333333335</v>
      </c>
      <c r="BG140" s="136" t="s">
        <v>191</v>
      </c>
      <c r="BH140" s="41" t="s">
        <v>190</v>
      </c>
      <c r="BI140" s="95">
        <v>751153</v>
      </c>
      <c r="BJ140" s="42">
        <v>160900</v>
      </c>
    </row>
    <row r="141" spans="1:62" ht="19.5" customHeight="1">
      <c r="A141" s="8" t="s">
        <v>197</v>
      </c>
      <c r="B141" s="16">
        <v>1000</v>
      </c>
      <c r="C141" s="16">
        <f>1000+1369+905</f>
        <v>3274</v>
      </c>
      <c r="D141" s="22">
        <f>1836+533+905</f>
        <v>3274</v>
      </c>
      <c r="E141" s="24">
        <f t="shared" si="51"/>
        <v>100</v>
      </c>
      <c r="F141" s="18">
        <v>3274</v>
      </c>
      <c r="G141" s="24">
        <f t="shared" si="56"/>
        <v>100</v>
      </c>
      <c r="H141" s="25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7">
        <f t="shared" si="52"/>
        <v>0</v>
      </c>
      <c r="AT141" s="28">
        <v>0</v>
      </c>
      <c r="AU141" s="16"/>
      <c r="AV141" s="29">
        <f t="shared" si="53"/>
        <v>0</v>
      </c>
      <c r="AW141" s="28">
        <v>0</v>
      </c>
      <c r="AX141" s="28">
        <v>0</v>
      </c>
      <c r="AY141" s="28"/>
      <c r="AZ141" s="67" t="s">
        <v>149</v>
      </c>
      <c r="BB141" s="67"/>
      <c r="BD141" s="16"/>
      <c r="BE141" s="40">
        <f t="shared" si="54"/>
        <v>0</v>
      </c>
      <c r="BF141" s="40">
        <f t="shared" si="55"/>
        <v>0</v>
      </c>
      <c r="BG141" s="136" t="s">
        <v>192</v>
      </c>
      <c r="BH141" s="41" t="s">
        <v>190</v>
      </c>
      <c r="BI141" s="95">
        <v>751153</v>
      </c>
      <c r="BJ141" s="42">
        <v>160900</v>
      </c>
    </row>
    <row r="142" spans="1:62" ht="19.5" customHeight="1">
      <c r="A142" s="8" t="s">
        <v>212</v>
      </c>
      <c r="B142" s="16">
        <v>0</v>
      </c>
      <c r="C142" s="16">
        <v>5400</v>
      </c>
      <c r="D142" s="22">
        <v>5400</v>
      </c>
      <c r="E142" s="24">
        <f>+D142/C142*100</f>
        <v>100</v>
      </c>
      <c r="F142" s="71" t="s">
        <v>166</v>
      </c>
      <c r="G142" s="71" t="s">
        <v>166</v>
      </c>
      <c r="H142" s="25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7">
        <f>+AT142+AU142+AW142+AX142</f>
        <v>0</v>
      </c>
      <c r="AT142" s="28">
        <v>0</v>
      </c>
      <c r="AU142" s="16"/>
      <c r="AV142" s="29">
        <f t="shared" si="53"/>
        <v>0</v>
      </c>
      <c r="AW142" s="28">
        <v>0</v>
      </c>
      <c r="AX142" s="28">
        <v>0</v>
      </c>
      <c r="AY142" s="28"/>
      <c r="AZ142" s="67" t="s">
        <v>149</v>
      </c>
      <c r="BB142" s="67"/>
      <c r="BD142" s="16"/>
      <c r="BE142" s="40">
        <f t="shared" si="54"/>
        <v>0</v>
      </c>
      <c r="BF142" s="40">
        <f t="shared" si="55"/>
        <v>0</v>
      </c>
      <c r="BG142" s="136" t="s">
        <v>192</v>
      </c>
      <c r="BH142" s="41" t="s">
        <v>190</v>
      </c>
      <c r="BI142" s="95">
        <v>751153</v>
      </c>
      <c r="BJ142" s="42">
        <v>160900</v>
      </c>
    </row>
    <row r="143" spans="1:62" ht="19.5" customHeight="1">
      <c r="A143" s="9" t="s">
        <v>220</v>
      </c>
      <c r="B143" s="16">
        <v>0</v>
      </c>
      <c r="C143" s="16">
        <v>6000</v>
      </c>
      <c r="D143" s="22">
        <v>5928</v>
      </c>
      <c r="E143" s="24">
        <f>+D143/C143*100</f>
        <v>98.8</v>
      </c>
      <c r="F143" s="71" t="s">
        <v>166</v>
      </c>
      <c r="G143" s="71" t="s">
        <v>166</v>
      </c>
      <c r="H143" s="25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7">
        <f>+AT143+AU143+AW143+AX143</f>
        <v>0</v>
      </c>
      <c r="AT143" s="28">
        <v>0</v>
      </c>
      <c r="AU143" s="16"/>
      <c r="AV143" s="29">
        <f>+AU143</f>
        <v>0</v>
      </c>
      <c r="AW143" s="28">
        <v>0</v>
      </c>
      <c r="AX143" s="28">
        <v>0</v>
      </c>
      <c r="AY143" s="28"/>
      <c r="AZ143" s="67" t="s">
        <v>149</v>
      </c>
      <c r="BB143" s="67"/>
      <c r="BD143" s="16"/>
      <c r="BE143" s="40">
        <f>+BD143/1.2</f>
        <v>0</v>
      </c>
      <c r="BF143" s="40">
        <f>+BE143*0.2</f>
        <v>0</v>
      </c>
      <c r="BG143" s="136" t="s">
        <v>192</v>
      </c>
      <c r="BH143" s="41" t="s">
        <v>190</v>
      </c>
      <c r="BI143" s="95">
        <v>751153</v>
      </c>
      <c r="BJ143" s="42">
        <v>160900</v>
      </c>
    </row>
    <row r="144" spans="1:62" ht="19.5" customHeight="1">
      <c r="A144" s="8" t="s">
        <v>178</v>
      </c>
      <c r="B144" s="16">
        <v>1000</v>
      </c>
      <c r="C144" s="16">
        <v>1000</v>
      </c>
      <c r="D144" s="22">
        <v>1000</v>
      </c>
      <c r="E144" s="24">
        <f t="shared" si="51"/>
        <v>100</v>
      </c>
      <c r="F144" s="18">
        <v>1000</v>
      </c>
      <c r="G144" s="24">
        <f t="shared" si="56"/>
        <v>100</v>
      </c>
      <c r="H144" s="25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7">
        <f t="shared" si="52"/>
        <v>1000</v>
      </c>
      <c r="AT144" s="28">
        <v>0</v>
      </c>
      <c r="AU144" s="16">
        <v>1000</v>
      </c>
      <c r="AV144" s="29">
        <f t="shared" si="53"/>
        <v>1000</v>
      </c>
      <c r="AW144" s="28">
        <v>0</v>
      </c>
      <c r="AX144" s="28">
        <v>0</v>
      </c>
      <c r="AY144" s="28"/>
      <c r="AZ144" s="67"/>
      <c r="BA144" s="75"/>
      <c r="BD144" s="16">
        <v>1000</v>
      </c>
      <c r="BE144" s="40">
        <f t="shared" si="54"/>
        <v>833.3333333333334</v>
      </c>
      <c r="BF144" s="40">
        <f t="shared" si="55"/>
        <v>166.66666666666669</v>
      </c>
      <c r="BG144" s="136">
        <v>1253</v>
      </c>
      <c r="BH144" s="41" t="s">
        <v>187</v>
      </c>
      <c r="BI144" s="95">
        <v>751153</v>
      </c>
      <c r="BJ144" s="42">
        <v>160900</v>
      </c>
    </row>
    <row r="145" spans="1:62" s="94" customFormat="1" ht="19.5" customHeight="1">
      <c r="A145" s="4" t="s">
        <v>52</v>
      </c>
      <c r="B145" s="19">
        <v>20000</v>
      </c>
      <c r="C145" s="19">
        <v>20000</v>
      </c>
      <c r="D145" s="18">
        <v>20000</v>
      </c>
      <c r="E145" s="24">
        <f>+D145/C145*100</f>
        <v>100</v>
      </c>
      <c r="F145" s="18">
        <v>20000</v>
      </c>
      <c r="G145" s="24">
        <f>+F145/C145*100</f>
        <v>100</v>
      </c>
      <c r="H145" s="96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0">
        <f>+AT145+AU145+AW145+AX145+AY145</f>
        <v>100000</v>
      </c>
      <c r="AT145" s="137">
        <f>20000+20000+20000+20000</f>
        <v>80000</v>
      </c>
      <c r="AU145" s="19">
        <v>20000</v>
      </c>
      <c r="AV145" s="120">
        <v>20000</v>
      </c>
      <c r="AW145" s="28">
        <v>0</v>
      </c>
      <c r="AX145" s="28">
        <v>0</v>
      </c>
      <c r="AY145" s="92">
        <v>0</v>
      </c>
      <c r="AZ145" s="121" t="s">
        <v>53</v>
      </c>
      <c r="BA145" s="28">
        <f>+AU145-AV145</f>
        <v>0</v>
      </c>
      <c r="BD145" s="19">
        <v>20000</v>
      </c>
      <c r="BE145" s="138">
        <v>17800</v>
      </c>
      <c r="BF145" s="138">
        <f>+BD145-BE145</f>
        <v>2200</v>
      </c>
      <c r="BG145" s="139">
        <v>1253</v>
      </c>
      <c r="BH145" s="41" t="s">
        <v>187</v>
      </c>
      <c r="BI145" s="95">
        <v>751153</v>
      </c>
      <c r="BJ145" s="42">
        <v>160900</v>
      </c>
    </row>
    <row r="146" spans="1:62" s="94" customFormat="1" ht="21.75" customHeight="1">
      <c r="A146" s="5" t="s">
        <v>261</v>
      </c>
      <c r="B146" s="16">
        <v>0</v>
      </c>
      <c r="C146" s="19">
        <f>300+150+1666</f>
        <v>2116</v>
      </c>
      <c r="D146" s="18">
        <f>300+150</f>
        <v>450</v>
      </c>
      <c r="E146" s="24">
        <f>+D146/C146*100</f>
        <v>21.266540642722116</v>
      </c>
      <c r="F146" s="18">
        <v>450</v>
      </c>
      <c r="G146" s="24">
        <f>+F146/C146*100</f>
        <v>21.266540642722116</v>
      </c>
      <c r="H146" s="96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0">
        <f>+AT146+AU146+AW146+AX146+AY146</f>
        <v>100000</v>
      </c>
      <c r="AT146" s="137">
        <f>20000+20000+20000+20000</f>
        <v>80000</v>
      </c>
      <c r="AU146" s="19">
        <v>20000</v>
      </c>
      <c r="AV146" s="120">
        <v>20000</v>
      </c>
      <c r="AW146" s="28">
        <v>0</v>
      </c>
      <c r="AX146" s="28">
        <v>0</v>
      </c>
      <c r="AY146" s="92">
        <v>0</v>
      </c>
      <c r="AZ146" s="121" t="s">
        <v>53</v>
      </c>
      <c r="BA146" s="28">
        <f>+AU146-AV146</f>
        <v>0</v>
      </c>
      <c r="BD146" s="19">
        <v>20000</v>
      </c>
      <c r="BE146" s="138">
        <v>17800</v>
      </c>
      <c r="BF146" s="138">
        <f>+BD146-BE146</f>
        <v>2200</v>
      </c>
      <c r="BG146" s="139">
        <v>1253</v>
      </c>
      <c r="BH146" s="41" t="s">
        <v>187</v>
      </c>
      <c r="BI146" s="95">
        <v>751153</v>
      </c>
      <c r="BJ146" s="42">
        <v>160900</v>
      </c>
    </row>
    <row r="147" spans="1:62" s="82" customFormat="1" ht="19.5" customHeight="1">
      <c r="A147" s="8" t="s">
        <v>98</v>
      </c>
      <c r="B147" s="15">
        <v>2456</v>
      </c>
      <c r="C147" s="15">
        <v>0</v>
      </c>
      <c r="D147" s="71" t="s">
        <v>87</v>
      </c>
      <c r="E147" s="140" t="s">
        <v>87</v>
      </c>
      <c r="F147" s="71" t="s">
        <v>87</v>
      </c>
      <c r="G147" s="140" t="s">
        <v>87</v>
      </c>
      <c r="H147" s="70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87">
        <f>+AT147+AU147+AW147+AX147</f>
        <v>2456</v>
      </c>
      <c r="AT147" s="28">
        <v>0</v>
      </c>
      <c r="AU147" s="15">
        <v>2456</v>
      </c>
      <c r="AV147" s="29">
        <f>+AU147</f>
        <v>2456</v>
      </c>
      <c r="AW147" s="28">
        <v>0</v>
      </c>
      <c r="AX147" s="28">
        <v>0</v>
      </c>
      <c r="AY147" s="28"/>
      <c r="AZ147" s="67"/>
      <c r="BA147" s="30"/>
      <c r="BB147" s="31"/>
      <c r="BC147" s="31"/>
      <c r="BD147" s="15">
        <v>2456</v>
      </c>
      <c r="BE147" s="40">
        <f>+BD147/1.2</f>
        <v>2046.6666666666667</v>
      </c>
      <c r="BF147" s="40">
        <f>+BE147*0.2</f>
        <v>409.33333333333337</v>
      </c>
      <c r="BG147" s="136">
        <v>1253</v>
      </c>
      <c r="BH147" s="41" t="s">
        <v>187</v>
      </c>
      <c r="BI147" s="95">
        <v>751153</v>
      </c>
      <c r="BJ147" s="42">
        <v>160900</v>
      </c>
    </row>
    <row r="148" spans="1:62" s="31" customFormat="1" ht="20.25" customHeight="1">
      <c r="A148" s="6" t="s">
        <v>39</v>
      </c>
      <c r="B148" s="17">
        <f>SUM(B134:B147)</f>
        <v>70009</v>
      </c>
      <c r="C148" s="17">
        <f>SUM(C134:C147)</f>
        <v>81471</v>
      </c>
      <c r="D148" s="17">
        <f>SUM(D134:D147)</f>
        <v>76131</v>
      </c>
      <c r="E148" s="76">
        <f t="shared" si="51"/>
        <v>93.4455204919542</v>
      </c>
      <c r="F148" s="17">
        <f>SUM(F134:F147)</f>
        <v>62045</v>
      </c>
      <c r="G148" s="76">
        <f t="shared" si="56"/>
        <v>76.15593278589927</v>
      </c>
      <c r="H148" s="77"/>
      <c r="I148" s="78"/>
      <c r="J148" s="78"/>
      <c r="K148" s="78"/>
      <c r="L148" s="78"/>
      <c r="M148" s="78"/>
      <c r="N148" s="78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  <c r="AP148" s="78"/>
      <c r="AQ148" s="78"/>
      <c r="AR148" s="78"/>
      <c r="AS148" s="79">
        <f aca="true" t="shared" si="57" ref="AS148:AY148">SUM(AS134:AS147)</f>
        <v>251090</v>
      </c>
      <c r="AT148" s="17">
        <f t="shared" si="57"/>
        <v>168583</v>
      </c>
      <c r="AU148" s="17">
        <f t="shared" si="57"/>
        <v>82507</v>
      </c>
      <c r="AV148" s="17">
        <f t="shared" si="57"/>
        <v>82507</v>
      </c>
      <c r="AW148" s="17">
        <f t="shared" si="57"/>
        <v>0</v>
      </c>
      <c r="AX148" s="17">
        <f t="shared" si="57"/>
        <v>0</v>
      </c>
      <c r="AY148" s="17">
        <f t="shared" si="57"/>
        <v>0</v>
      </c>
      <c r="AZ148" s="80"/>
      <c r="BA148" s="81"/>
      <c r="BB148" s="82"/>
      <c r="BC148" s="82"/>
      <c r="BD148" s="17">
        <f>SUM(BD134:BD147)</f>
        <v>82507</v>
      </c>
      <c r="BE148" s="17">
        <f>SUM(BE134:BE147)</f>
        <v>71022.50000000001</v>
      </c>
      <c r="BF148" s="17">
        <f>SUM(BF134:BF147)</f>
        <v>11484.500000000002</v>
      </c>
      <c r="BG148" s="83"/>
      <c r="BH148" s="78"/>
      <c r="BI148" s="84"/>
      <c r="BJ148" s="42">
        <v>160900</v>
      </c>
    </row>
    <row r="149" spans="1:62" s="31" customFormat="1" ht="20.25" customHeight="1">
      <c r="A149" s="2" t="s">
        <v>40</v>
      </c>
      <c r="B149" s="15"/>
      <c r="C149" s="15"/>
      <c r="D149" s="85"/>
      <c r="E149" s="24"/>
      <c r="F149" s="85"/>
      <c r="G149" s="24"/>
      <c r="H149" s="86"/>
      <c r="I149" s="58"/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87"/>
      <c r="AT149" s="28"/>
      <c r="AU149" s="15"/>
      <c r="AV149" s="29"/>
      <c r="AW149" s="28"/>
      <c r="AX149" s="28"/>
      <c r="AY149" s="28"/>
      <c r="AZ149" s="67"/>
      <c r="BA149" s="30"/>
      <c r="BD149" s="15"/>
      <c r="BE149" s="40"/>
      <c r="BF149" s="40"/>
      <c r="BG149" s="62"/>
      <c r="BH149" s="58"/>
      <c r="BI149" s="63"/>
      <c r="BJ149" s="58"/>
    </row>
    <row r="150" spans="1:62" s="31" customFormat="1" ht="19.5" customHeight="1">
      <c r="A150" s="4" t="s">
        <v>205</v>
      </c>
      <c r="B150" s="15">
        <v>16000</v>
      </c>
      <c r="C150" s="15">
        <f>16000-11572+30</f>
        <v>4458</v>
      </c>
      <c r="D150" s="22">
        <f>4428+30</f>
        <v>4458</v>
      </c>
      <c r="E150" s="24">
        <f>+D150/C150*100</f>
        <v>100</v>
      </c>
      <c r="F150" s="22">
        <v>4458</v>
      </c>
      <c r="G150" s="24">
        <f>+F150/C150*100</f>
        <v>100</v>
      </c>
      <c r="H150" s="70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87">
        <f>+AT150+AU150+AW150+AX150</f>
        <v>16000</v>
      </c>
      <c r="AT150" s="28">
        <v>0</v>
      </c>
      <c r="AU150" s="15">
        <v>16000</v>
      </c>
      <c r="AV150" s="29">
        <f>+AU150</f>
        <v>16000</v>
      </c>
      <c r="AW150" s="28">
        <v>0</v>
      </c>
      <c r="AX150" s="28">
        <v>0</v>
      </c>
      <c r="AY150" s="28"/>
      <c r="AZ150" s="67"/>
      <c r="BA150" s="30"/>
      <c r="BD150" s="15">
        <v>16000</v>
      </c>
      <c r="BE150" s="40">
        <f>+BD150/1.2</f>
        <v>13333.333333333334</v>
      </c>
      <c r="BF150" s="40">
        <f>+BE150*0.2</f>
        <v>2666.666666666667</v>
      </c>
      <c r="BG150" s="139">
        <v>1253</v>
      </c>
      <c r="BH150" s="41" t="s">
        <v>187</v>
      </c>
      <c r="BI150" s="134">
        <v>451017</v>
      </c>
      <c r="BJ150" s="135">
        <v>161000</v>
      </c>
    </row>
    <row r="151" spans="1:62" s="82" customFormat="1" ht="19.5" customHeight="1">
      <c r="A151" s="4" t="s">
        <v>111</v>
      </c>
      <c r="B151" s="15">
        <v>2559</v>
      </c>
      <c r="C151" s="15">
        <v>2559</v>
      </c>
      <c r="D151" s="22">
        <f>+F151</f>
        <v>1668</v>
      </c>
      <c r="E151" s="24">
        <f>+D151/C151*100</f>
        <v>65.18171160609613</v>
      </c>
      <c r="F151" s="22">
        <v>1668</v>
      </c>
      <c r="G151" s="24">
        <f>+F151/C151*100</f>
        <v>65.18171160609613</v>
      </c>
      <c r="H151" s="70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87">
        <f>+AT151+AU151+AW151+AX151</f>
        <v>3000</v>
      </c>
      <c r="AT151" s="28">
        <v>441</v>
      </c>
      <c r="AU151" s="15">
        <v>2559</v>
      </c>
      <c r="AV151" s="29">
        <f>+AU151</f>
        <v>2559</v>
      </c>
      <c r="AW151" s="28">
        <v>0</v>
      </c>
      <c r="AX151" s="28">
        <v>0</v>
      </c>
      <c r="AY151" s="28"/>
      <c r="AZ151" s="67"/>
      <c r="BA151" s="30"/>
      <c r="BB151" s="31"/>
      <c r="BC151" s="31"/>
      <c r="BD151" s="15">
        <v>2559</v>
      </c>
      <c r="BE151" s="40">
        <f>+BD151/1.2</f>
        <v>2132.5</v>
      </c>
      <c r="BF151" s="40">
        <f>+BE151*0.2</f>
        <v>426.5</v>
      </c>
      <c r="BG151" s="139">
        <v>1253</v>
      </c>
      <c r="BH151" s="41" t="s">
        <v>187</v>
      </c>
      <c r="BI151" s="134">
        <v>451017</v>
      </c>
      <c r="BJ151" s="135">
        <v>161000</v>
      </c>
    </row>
    <row r="152" spans="1:62" s="31" customFormat="1" ht="19.5" customHeight="1">
      <c r="A152" s="5" t="s">
        <v>174</v>
      </c>
      <c r="B152" s="16">
        <v>30519</v>
      </c>
      <c r="C152" s="16">
        <v>0</v>
      </c>
      <c r="D152" s="71" t="s">
        <v>87</v>
      </c>
      <c r="E152" s="140" t="s">
        <v>87</v>
      </c>
      <c r="F152" s="71" t="s">
        <v>87</v>
      </c>
      <c r="G152" s="140" t="s">
        <v>87</v>
      </c>
      <c r="H152" s="131" t="s">
        <v>175</v>
      </c>
      <c r="I152" s="132"/>
      <c r="J152" s="132"/>
      <c r="K152" s="132"/>
      <c r="L152" s="132"/>
      <c r="M152" s="132"/>
      <c r="N152" s="132"/>
      <c r="O152" s="132"/>
      <c r="P152" s="132"/>
      <c r="Q152" s="132"/>
      <c r="R152" s="132"/>
      <c r="S152" s="132"/>
      <c r="T152" s="132"/>
      <c r="U152" s="132"/>
      <c r="V152" s="132"/>
      <c r="W152" s="132"/>
      <c r="X152" s="132"/>
      <c r="Y152" s="132"/>
      <c r="Z152" s="132"/>
      <c r="AA152" s="132"/>
      <c r="AB152" s="132"/>
      <c r="AC152" s="132"/>
      <c r="AD152" s="132"/>
      <c r="AE152" s="132"/>
      <c r="AF152" s="132"/>
      <c r="AG152" s="132"/>
      <c r="AH152" s="132"/>
      <c r="AI152" s="132"/>
      <c r="AJ152" s="132"/>
      <c r="AK152" s="132"/>
      <c r="AL152" s="132"/>
      <c r="AM152" s="132"/>
      <c r="AN152" s="132"/>
      <c r="AO152" s="132"/>
      <c r="AP152" s="132"/>
      <c r="AQ152" s="132"/>
      <c r="AR152" s="26"/>
      <c r="AS152" s="27">
        <f>+AT152+AU152+AW152+AX152</f>
        <v>42059</v>
      </c>
      <c r="AT152" s="28">
        <v>0</v>
      </c>
      <c r="AU152" s="16">
        <v>30519</v>
      </c>
      <c r="AV152" s="29">
        <f>+AU152</f>
        <v>30519</v>
      </c>
      <c r="AW152" s="28">
        <v>11540</v>
      </c>
      <c r="AX152" s="28">
        <v>0</v>
      </c>
      <c r="AY152" s="28"/>
      <c r="AZ152" s="67" t="s">
        <v>151</v>
      </c>
      <c r="BA152" s="30"/>
      <c r="BD152" s="16">
        <v>30519</v>
      </c>
      <c r="BE152" s="40">
        <f>+BD152/1.2</f>
        <v>25432.5</v>
      </c>
      <c r="BF152" s="40">
        <f>+BE152*0.2</f>
        <v>5086.5</v>
      </c>
      <c r="BG152" s="139">
        <v>1253</v>
      </c>
      <c r="BH152" s="41" t="s">
        <v>187</v>
      </c>
      <c r="BI152" s="134">
        <v>451017</v>
      </c>
      <c r="BJ152" s="135">
        <v>161000</v>
      </c>
    </row>
    <row r="153" spans="1:62" s="31" customFormat="1" ht="19.5" customHeight="1">
      <c r="A153" s="9" t="s">
        <v>221</v>
      </c>
      <c r="B153" s="16">
        <v>0</v>
      </c>
      <c r="C153" s="16">
        <v>2885</v>
      </c>
      <c r="D153" s="22">
        <v>2883</v>
      </c>
      <c r="E153" s="24">
        <f>+D153/C153*100</f>
        <v>99.93067590987869</v>
      </c>
      <c r="F153" s="22">
        <v>2883</v>
      </c>
      <c r="G153" s="24">
        <f>+F153/C153*100</f>
        <v>99.93067590987869</v>
      </c>
      <c r="H153" s="131"/>
      <c r="I153" s="132"/>
      <c r="J153" s="132"/>
      <c r="K153" s="132"/>
      <c r="L153" s="132"/>
      <c r="M153" s="132"/>
      <c r="N153" s="132"/>
      <c r="O153" s="132"/>
      <c r="P153" s="132"/>
      <c r="Q153" s="132"/>
      <c r="R153" s="132"/>
      <c r="S153" s="132"/>
      <c r="T153" s="132"/>
      <c r="U153" s="132"/>
      <c r="V153" s="132"/>
      <c r="W153" s="132"/>
      <c r="X153" s="132"/>
      <c r="Y153" s="132"/>
      <c r="Z153" s="132"/>
      <c r="AA153" s="132"/>
      <c r="AB153" s="132"/>
      <c r="AC153" s="132"/>
      <c r="AD153" s="132"/>
      <c r="AE153" s="132"/>
      <c r="AF153" s="132"/>
      <c r="AG153" s="132"/>
      <c r="AH153" s="132"/>
      <c r="AI153" s="132"/>
      <c r="AJ153" s="132"/>
      <c r="AK153" s="132"/>
      <c r="AL153" s="132"/>
      <c r="AM153" s="132"/>
      <c r="AN153" s="132"/>
      <c r="AO153" s="132"/>
      <c r="AP153" s="132"/>
      <c r="AQ153" s="132"/>
      <c r="AR153" s="26"/>
      <c r="AS153" s="27">
        <f>+AT153+AU153+AW153+AX153</f>
        <v>42059</v>
      </c>
      <c r="AT153" s="28">
        <v>0</v>
      </c>
      <c r="AU153" s="16">
        <v>30519</v>
      </c>
      <c r="AV153" s="29">
        <f>+AU153</f>
        <v>30519</v>
      </c>
      <c r="AW153" s="28">
        <v>11540</v>
      </c>
      <c r="AX153" s="28">
        <v>0</v>
      </c>
      <c r="AY153" s="28"/>
      <c r="AZ153" s="67" t="s">
        <v>151</v>
      </c>
      <c r="BA153" s="30"/>
      <c r="BD153" s="16">
        <v>30519</v>
      </c>
      <c r="BE153" s="40">
        <f>+BD153/1.2</f>
        <v>25432.5</v>
      </c>
      <c r="BF153" s="40">
        <f>+BE153*0.2</f>
        <v>5086.5</v>
      </c>
      <c r="BG153" s="139">
        <v>1253</v>
      </c>
      <c r="BH153" s="41" t="s">
        <v>187</v>
      </c>
      <c r="BI153" s="134">
        <v>451017</v>
      </c>
      <c r="BJ153" s="135">
        <v>161000</v>
      </c>
    </row>
    <row r="154" spans="1:62" s="31" customFormat="1" ht="22.5" customHeight="1">
      <c r="A154" s="4" t="s">
        <v>270</v>
      </c>
      <c r="B154" s="16">
        <v>0</v>
      </c>
      <c r="C154" s="16">
        <v>22000</v>
      </c>
      <c r="D154" s="71" t="s">
        <v>166</v>
      </c>
      <c r="E154" s="71" t="s">
        <v>166</v>
      </c>
      <c r="F154" s="71" t="s">
        <v>166</v>
      </c>
      <c r="G154" s="71" t="s">
        <v>166</v>
      </c>
      <c r="H154" s="131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2"/>
      <c r="AB154" s="132"/>
      <c r="AC154" s="132"/>
      <c r="AD154" s="132"/>
      <c r="AE154" s="132"/>
      <c r="AF154" s="132"/>
      <c r="AG154" s="132"/>
      <c r="AH154" s="132"/>
      <c r="AI154" s="132"/>
      <c r="AJ154" s="132"/>
      <c r="AK154" s="132"/>
      <c r="AL154" s="132"/>
      <c r="AM154" s="132"/>
      <c r="AN154" s="132"/>
      <c r="AO154" s="132"/>
      <c r="AP154" s="132"/>
      <c r="AQ154" s="132"/>
      <c r="AR154" s="26"/>
      <c r="AS154" s="27">
        <f>+AT154+AU154+AW154+AX154</f>
        <v>42059</v>
      </c>
      <c r="AT154" s="28">
        <v>0</v>
      </c>
      <c r="AU154" s="16">
        <v>30519</v>
      </c>
      <c r="AV154" s="29">
        <f>+AU154</f>
        <v>30519</v>
      </c>
      <c r="AW154" s="28">
        <v>11540</v>
      </c>
      <c r="AX154" s="28">
        <v>0</v>
      </c>
      <c r="AY154" s="28"/>
      <c r="AZ154" s="67" t="s">
        <v>151</v>
      </c>
      <c r="BA154" s="30"/>
      <c r="BD154" s="16">
        <v>30519</v>
      </c>
      <c r="BE154" s="40">
        <f>+BD154/1.2</f>
        <v>25432.5</v>
      </c>
      <c r="BF154" s="40">
        <f>+BE154*0.2</f>
        <v>5086.5</v>
      </c>
      <c r="BG154" s="139">
        <v>1253</v>
      </c>
      <c r="BH154" s="41" t="s">
        <v>187</v>
      </c>
      <c r="BI154" s="134">
        <v>451017</v>
      </c>
      <c r="BJ154" s="135">
        <v>161000</v>
      </c>
    </row>
    <row r="155" spans="1:62" s="31" customFormat="1" ht="20.25" customHeight="1">
      <c r="A155" s="180" t="s">
        <v>41</v>
      </c>
      <c r="B155" s="181">
        <f>SUM(B150:B154)</f>
        <v>49078</v>
      </c>
      <c r="C155" s="181">
        <f>SUM(C150:C154)</f>
        <v>31902</v>
      </c>
      <c r="D155" s="181">
        <f>SUM(D150:D154)</f>
        <v>9009</v>
      </c>
      <c r="E155" s="182">
        <f>+D155/C155*100</f>
        <v>28.23960880195599</v>
      </c>
      <c r="F155" s="181">
        <f>SUM(F150:F154)</f>
        <v>9009</v>
      </c>
      <c r="G155" s="182">
        <f>+F155/C155*100</f>
        <v>28.23960880195599</v>
      </c>
      <c r="H155" s="183"/>
      <c r="I155" s="78"/>
      <c r="J155" s="78"/>
      <c r="K155" s="78"/>
      <c r="L155" s="78"/>
      <c r="M155" s="78"/>
      <c r="N155" s="78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  <c r="AP155" s="78"/>
      <c r="AQ155" s="78"/>
      <c r="AR155" s="78"/>
      <c r="AS155" s="79">
        <f aca="true" t="shared" si="58" ref="AS155:AY155">SUM(AS150:AS154)</f>
        <v>145177</v>
      </c>
      <c r="AT155" s="17">
        <f t="shared" si="58"/>
        <v>441</v>
      </c>
      <c r="AU155" s="17">
        <f t="shared" si="58"/>
        <v>110116</v>
      </c>
      <c r="AV155" s="17">
        <f t="shared" si="58"/>
        <v>110116</v>
      </c>
      <c r="AW155" s="17">
        <f t="shared" si="58"/>
        <v>34620</v>
      </c>
      <c r="AX155" s="17">
        <f t="shared" si="58"/>
        <v>0</v>
      </c>
      <c r="AY155" s="17">
        <f t="shared" si="58"/>
        <v>0</v>
      </c>
      <c r="AZ155" s="80"/>
      <c r="BA155" s="81"/>
      <c r="BB155" s="82"/>
      <c r="BC155" s="82"/>
      <c r="BD155" s="17">
        <f>SUM(BD150:BD154)</f>
        <v>110116</v>
      </c>
      <c r="BE155" s="17">
        <f>SUM(BE150:BE154)</f>
        <v>91763.33333333334</v>
      </c>
      <c r="BF155" s="17">
        <f>SUM(BF150:BF154)</f>
        <v>18352.666666666668</v>
      </c>
      <c r="BG155" s="83"/>
      <c r="BH155" s="78"/>
      <c r="BI155" s="84"/>
      <c r="BJ155" s="135">
        <v>161000</v>
      </c>
    </row>
    <row r="156" spans="1:62" s="31" customFormat="1" ht="20.25" customHeight="1">
      <c r="A156" s="184" t="s">
        <v>42</v>
      </c>
      <c r="B156" s="175"/>
      <c r="C156" s="175"/>
      <c r="D156" s="55"/>
      <c r="E156" s="177"/>
      <c r="F156" s="55"/>
      <c r="G156" s="177"/>
      <c r="H156" s="57"/>
      <c r="I156" s="58"/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87"/>
      <c r="AT156" s="28"/>
      <c r="AU156" s="15"/>
      <c r="AV156" s="29"/>
      <c r="AW156" s="28"/>
      <c r="AX156" s="28"/>
      <c r="AY156" s="28"/>
      <c r="AZ156" s="67"/>
      <c r="BA156" s="30"/>
      <c r="BD156" s="15"/>
      <c r="BE156" s="40"/>
      <c r="BF156" s="40"/>
      <c r="BG156" s="62"/>
      <c r="BH156" s="58"/>
      <c r="BI156" s="63"/>
      <c r="BJ156" s="58"/>
    </row>
    <row r="157" spans="1:62" s="31" customFormat="1" ht="19.5" customHeight="1">
      <c r="A157" s="4" t="s">
        <v>126</v>
      </c>
      <c r="B157" s="15">
        <v>3096</v>
      </c>
      <c r="C157" s="15">
        <v>3096</v>
      </c>
      <c r="D157" s="22">
        <v>3096</v>
      </c>
      <c r="E157" s="24">
        <f>+D157/C157*100</f>
        <v>100</v>
      </c>
      <c r="F157" s="22">
        <v>3096</v>
      </c>
      <c r="G157" s="24">
        <f>+F157/C157*100</f>
        <v>100</v>
      </c>
      <c r="H157" s="70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87">
        <f>+AT157+AU157+AW157+AX157</f>
        <v>7740</v>
      </c>
      <c r="AT157" s="28">
        <v>4644</v>
      </c>
      <c r="AU157" s="15">
        <v>3096</v>
      </c>
      <c r="AV157" s="29">
        <f>+AU157</f>
        <v>3096</v>
      </c>
      <c r="AW157" s="28">
        <v>0</v>
      </c>
      <c r="AX157" s="28">
        <v>0</v>
      </c>
      <c r="AY157" s="28"/>
      <c r="AZ157" s="67"/>
      <c r="BA157" s="30"/>
      <c r="BD157" s="15">
        <v>3096</v>
      </c>
      <c r="BE157" s="40">
        <f>+BD157/1.2</f>
        <v>2580</v>
      </c>
      <c r="BF157" s="40">
        <f>+BE157*0.2</f>
        <v>516</v>
      </c>
      <c r="BG157" s="136">
        <v>1253</v>
      </c>
      <c r="BH157" s="41" t="s">
        <v>187</v>
      </c>
      <c r="BI157" s="141">
        <v>921617</v>
      </c>
      <c r="BJ157" s="42">
        <v>161100</v>
      </c>
    </row>
    <row r="158" spans="1:62" ht="19.5" customHeight="1">
      <c r="A158" s="5" t="s">
        <v>69</v>
      </c>
      <c r="B158" s="16">
        <v>2500</v>
      </c>
      <c r="C158" s="16">
        <f>2500-101</f>
        <v>2399</v>
      </c>
      <c r="D158" s="22">
        <v>2399</v>
      </c>
      <c r="E158" s="24">
        <f>+D158/C158*100</f>
        <v>100</v>
      </c>
      <c r="F158" s="22">
        <v>2399</v>
      </c>
      <c r="G158" s="24">
        <f>+F158/C158*100</f>
        <v>100</v>
      </c>
      <c r="H158" s="25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7">
        <f>+AT158+AU158+AW158+AX158</f>
        <v>2500</v>
      </c>
      <c r="AT158" s="28">
        <v>0</v>
      </c>
      <c r="AU158" s="16">
        <v>2500</v>
      </c>
      <c r="AV158" s="73">
        <f>+AU158</f>
        <v>2500</v>
      </c>
      <c r="AW158" s="28">
        <v>0</v>
      </c>
      <c r="AX158" s="28">
        <v>0</v>
      </c>
      <c r="AY158" s="28"/>
      <c r="AZ158" s="67"/>
      <c r="BB158" s="67"/>
      <c r="BD158" s="16">
        <v>2500</v>
      </c>
      <c r="BE158" s="40">
        <f>+BD158/1.2</f>
        <v>2083.3333333333335</v>
      </c>
      <c r="BF158" s="40">
        <f>+BE158*0.2</f>
        <v>416.66666666666674</v>
      </c>
      <c r="BG158" s="41">
        <v>1254</v>
      </c>
      <c r="BH158" s="41" t="s">
        <v>187</v>
      </c>
      <c r="BI158" s="95">
        <v>923215</v>
      </c>
      <c r="BJ158" s="42">
        <v>161100</v>
      </c>
    </row>
    <row r="159" spans="1:62" ht="35.25" customHeight="1">
      <c r="A159" s="5" t="s">
        <v>263</v>
      </c>
      <c r="B159" s="16">
        <v>100</v>
      </c>
      <c r="C159" s="16">
        <v>100</v>
      </c>
      <c r="D159" s="71" t="s">
        <v>166</v>
      </c>
      <c r="E159" s="71" t="s">
        <v>166</v>
      </c>
      <c r="F159" s="71" t="s">
        <v>166</v>
      </c>
      <c r="G159" s="71" t="s">
        <v>166</v>
      </c>
      <c r="H159" s="25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7">
        <f>+AT159+AU159+AW159+AX159</f>
        <v>100</v>
      </c>
      <c r="AT159" s="28">
        <v>0</v>
      </c>
      <c r="AU159" s="16">
        <v>100</v>
      </c>
      <c r="AV159" s="73">
        <f>+AU159</f>
        <v>100</v>
      </c>
      <c r="AW159" s="28">
        <v>0</v>
      </c>
      <c r="AX159" s="28">
        <v>0</v>
      </c>
      <c r="AY159" s="28"/>
      <c r="AZ159" s="142" t="s">
        <v>154</v>
      </c>
      <c r="BB159" s="67"/>
      <c r="BD159" s="16">
        <v>100</v>
      </c>
      <c r="BE159" s="40">
        <f>+BD159/1.2</f>
        <v>83.33333333333334</v>
      </c>
      <c r="BF159" s="40">
        <f>+BE159*0.2</f>
        <v>16.666666666666668</v>
      </c>
      <c r="BG159" s="139" t="s">
        <v>193</v>
      </c>
      <c r="BH159" s="139" t="s">
        <v>190</v>
      </c>
      <c r="BI159" s="134">
        <v>921716</v>
      </c>
      <c r="BJ159" s="135">
        <v>161100</v>
      </c>
    </row>
    <row r="160" spans="1:62" ht="18.75" customHeight="1">
      <c r="A160" s="5" t="s">
        <v>242</v>
      </c>
      <c r="B160" s="16">
        <v>0</v>
      </c>
      <c r="C160" s="16">
        <v>75</v>
      </c>
      <c r="D160" s="22">
        <v>60</v>
      </c>
      <c r="E160" s="24">
        <f>+D160/C160*100</f>
        <v>80</v>
      </c>
      <c r="F160" s="71" t="s">
        <v>166</v>
      </c>
      <c r="G160" s="71" t="s">
        <v>166</v>
      </c>
      <c r="H160" s="25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7">
        <f>+AT160+AU160+AW160+AX160</f>
        <v>100</v>
      </c>
      <c r="AT160" s="28">
        <v>0</v>
      </c>
      <c r="AU160" s="16">
        <v>100</v>
      </c>
      <c r="AV160" s="73">
        <f>+AU160</f>
        <v>100</v>
      </c>
      <c r="AW160" s="28">
        <v>0</v>
      </c>
      <c r="AX160" s="28">
        <v>0</v>
      </c>
      <c r="AY160" s="28"/>
      <c r="AZ160" s="142" t="s">
        <v>154</v>
      </c>
      <c r="BB160" s="67"/>
      <c r="BD160" s="16">
        <v>100</v>
      </c>
      <c r="BE160" s="40">
        <f>+BD160/1.2</f>
        <v>83.33333333333334</v>
      </c>
      <c r="BF160" s="40">
        <f>+BE160*0.2</f>
        <v>16.666666666666668</v>
      </c>
      <c r="BG160" s="139" t="s">
        <v>193</v>
      </c>
      <c r="BH160" s="139" t="s">
        <v>190</v>
      </c>
      <c r="BI160" s="134">
        <v>921716</v>
      </c>
      <c r="BJ160" s="135">
        <v>161100</v>
      </c>
    </row>
    <row r="161" spans="1:62" s="31" customFormat="1" ht="21.75" customHeight="1">
      <c r="A161" s="5" t="s">
        <v>43</v>
      </c>
      <c r="B161" s="15">
        <v>2785</v>
      </c>
      <c r="C161" s="15">
        <v>0</v>
      </c>
      <c r="D161" s="71" t="s">
        <v>87</v>
      </c>
      <c r="E161" s="140" t="s">
        <v>87</v>
      </c>
      <c r="F161" s="71" t="s">
        <v>87</v>
      </c>
      <c r="G161" s="140" t="s">
        <v>87</v>
      </c>
      <c r="H161" s="70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87">
        <f>+AT161+AU161+AW161+AX161</f>
        <v>4622</v>
      </c>
      <c r="AT161" s="28">
        <f>287+1550</f>
        <v>1837</v>
      </c>
      <c r="AU161" s="15">
        <v>2785</v>
      </c>
      <c r="AV161" s="29">
        <f>+AU161</f>
        <v>2785</v>
      </c>
      <c r="AW161" s="28">
        <v>0</v>
      </c>
      <c r="AX161" s="28">
        <v>0</v>
      </c>
      <c r="AY161" s="28"/>
      <c r="AZ161" s="67"/>
      <c r="BA161" s="30"/>
      <c r="BD161" s="15">
        <v>2785</v>
      </c>
      <c r="BE161" s="40">
        <f>+BD161/1.2</f>
        <v>2320.8333333333335</v>
      </c>
      <c r="BF161" s="40">
        <f>+BE161*0.2</f>
        <v>464.16666666666674</v>
      </c>
      <c r="BG161" s="41">
        <v>1254</v>
      </c>
      <c r="BH161" s="41" t="s">
        <v>187</v>
      </c>
      <c r="BI161" s="95">
        <v>921925</v>
      </c>
      <c r="BJ161" s="42">
        <v>161100</v>
      </c>
    </row>
    <row r="162" spans="1:62" s="31" customFormat="1" ht="20.25" customHeight="1">
      <c r="A162" s="6" t="s">
        <v>44</v>
      </c>
      <c r="B162" s="17">
        <f>SUM(B157:B161)</f>
        <v>8481</v>
      </c>
      <c r="C162" s="17">
        <f>SUM(C157:C161)</f>
        <v>5670</v>
      </c>
      <c r="D162" s="17">
        <f>SUM(D157:D161)</f>
        <v>5555</v>
      </c>
      <c r="E162" s="76">
        <f>+D162/C162*100</f>
        <v>97.97178130511463</v>
      </c>
      <c r="F162" s="17">
        <f>SUM(F157:F161)</f>
        <v>5495</v>
      </c>
      <c r="G162" s="76">
        <f>+F162/C162*100</f>
        <v>96.91358024691358</v>
      </c>
      <c r="H162" s="77"/>
      <c r="I162" s="78"/>
      <c r="J162" s="78"/>
      <c r="K162" s="78"/>
      <c r="L162" s="78"/>
      <c r="M162" s="78"/>
      <c r="N162" s="78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  <c r="AP162" s="78"/>
      <c r="AQ162" s="78"/>
      <c r="AR162" s="78"/>
      <c r="AS162" s="79">
        <f aca="true" t="shared" si="59" ref="AS162:AY162">SUM(AS157:AS161)</f>
        <v>15062</v>
      </c>
      <c r="AT162" s="17">
        <f t="shared" si="59"/>
        <v>6481</v>
      </c>
      <c r="AU162" s="17">
        <f t="shared" si="59"/>
        <v>8581</v>
      </c>
      <c r="AV162" s="17">
        <f t="shared" si="59"/>
        <v>8581</v>
      </c>
      <c r="AW162" s="17">
        <f t="shared" si="59"/>
        <v>0</v>
      </c>
      <c r="AX162" s="17">
        <f t="shared" si="59"/>
        <v>0</v>
      </c>
      <c r="AY162" s="17">
        <f t="shared" si="59"/>
        <v>0</v>
      </c>
      <c r="AZ162" s="80"/>
      <c r="BA162" s="81"/>
      <c r="BB162" s="82"/>
      <c r="BC162" s="82"/>
      <c r="BD162" s="17">
        <f>SUM(BD157:BD161)</f>
        <v>8581</v>
      </c>
      <c r="BE162" s="17">
        <f>SUM(BE157:BE161)</f>
        <v>7150.833333333334</v>
      </c>
      <c r="BF162" s="17">
        <f>SUM(BF157:BF161)</f>
        <v>1430.1666666666667</v>
      </c>
      <c r="BG162" s="83"/>
      <c r="BH162" s="78"/>
      <c r="BI162" s="84"/>
      <c r="BJ162" s="135">
        <v>161100</v>
      </c>
    </row>
    <row r="163" spans="1:62" s="31" customFormat="1" ht="20.25" customHeight="1">
      <c r="A163" s="2" t="s">
        <v>45</v>
      </c>
      <c r="B163" s="15"/>
      <c r="C163" s="15"/>
      <c r="D163" s="85"/>
      <c r="E163" s="24"/>
      <c r="F163" s="85"/>
      <c r="G163" s="24"/>
      <c r="H163" s="86"/>
      <c r="I163" s="58"/>
      <c r="J163" s="58"/>
      <c r="K163" s="58"/>
      <c r="L163" s="58"/>
      <c r="M163" s="58"/>
      <c r="N163" s="58"/>
      <c r="O163" s="58"/>
      <c r="P163" s="58"/>
      <c r="Q163" s="58"/>
      <c r="R163" s="58"/>
      <c r="S163" s="58"/>
      <c r="T163" s="58"/>
      <c r="U163" s="58"/>
      <c r="V163" s="58"/>
      <c r="W163" s="58"/>
      <c r="X163" s="58"/>
      <c r="Y163" s="58"/>
      <c r="Z163" s="58"/>
      <c r="AA163" s="58"/>
      <c r="AB163" s="58"/>
      <c r="AC163" s="58"/>
      <c r="AD163" s="58"/>
      <c r="AE163" s="58"/>
      <c r="AF163" s="58"/>
      <c r="AG163" s="58"/>
      <c r="AH163" s="58"/>
      <c r="AI163" s="58"/>
      <c r="AJ163" s="58"/>
      <c r="AK163" s="58"/>
      <c r="AL163" s="58"/>
      <c r="AM163" s="58"/>
      <c r="AN163" s="58"/>
      <c r="AO163" s="58"/>
      <c r="AP163" s="58"/>
      <c r="AQ163" s="58"/>
      <c r="AR163" s="58"/>
      <c r="AS163" s="87"/>
      <c r="AT163" s="28"/>
      <c r="AU163" s="15"/>
      <c r="AV163" s="29"/>
      <c r="AW163" s="28"/>
      <c r="AX163" s="28"/>
      <c r="AY163" s="28"/>
      <c r="AZ163" s="67"/>
      <c r="BA163" s="30"/>
      <c r="BD163" s="15"/>
      <c r="BE163" s="40">
        <f>+BD163/1.2</f>
        <v>0</v>
      </c>
      <c r="BF163" s="40">
        <f>+BE163*0.2</f>
        <v>0</v>
      </c>
      <c r="BG163" s="62"/>
      <c r="BH163" s="58"/>
      <c r="BI163" s="63"/>
      <c r="BJ163" s="58"/>
    </row>
    <row r="164" spans="1:62" ht="19.5" customHeight="1">
      <c r="A164" s="5" t="s">
        <v>70</v>
      </c>
      <c r="B164" s="15">
        <f>30000+9025</f>
        <v>39025</v>
      </c>
      <c r="C164" s="15">
        <f>1748+7800</f>
        <v>9548</v>
      </c>
      <c r="D164" s="71" t="s">
        <v>166</v>
      </c>
      <c r="E164" s="71" t="s">
        <v>166</v>
      </c>
      <c r="F164" s="71" t="s">
        <v>166</v>
      </c>
      <c r="G164" s="71" t="s">
        <v>166</v>
      </c>
      <c r="H164" s="25"/>
      <c r="I164" s="26"/>
      <c r="J164" s="26"/>
      <c r="K164" s="26"/>
      <c r="L164" s="26"/>
      <c r="M164" s="26"/>
      <c r="N164" s="26"/>
      <c r="O164" s="26"/>
      <c r="P164" s="26"/>
      <c r="Q164" s="26"/>
      <c r="R164" s="26"/>
      <c r="S164" s="26"/>
      <c r="T164" s="26"/>
      <c r="U164" s="26"/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87">
        <f aca="true" t="shared" si="60" ref="AS164:AS174">+AT164+AU164+AW164+AX164</f>
        <v>126000</v>
      </c>
      <c r="AT164" s="28">
        <f>36000-9025</f>
        <v>26975</v>
      </c>
      <c r="AU164" s="15">
        <f>30000+9025</f>
        <v>39025</v>
      </c>
      <c r="AV164" s="125">
        <f>+AU164</f>
        <v>39025</v>
      </c>
      <c r="AW164" s="28">
        <v>30000</v>
      </c>
      <c r="AX164" s="28">
        <v>30000</v>
      </c>
      <c r="AY164" s="28"/>
      <c r="AZ164" s="67" t="s">
        <v>147</v>
      </c>
      <c r="BD164" s="15">
        <f>30000+9025</f>
        <v>39025</v>
      </c>
      <c r="BE164" s="40">
        <f>+BD164/1.2</f>
        <v>32520.833333333336</v>
      </c>
      <c r="BF164" s="40">
        <f>+BE164*0.2</f>
        <v>6504.166666666668</v>
      </c>
      <c r="BG164" s="41">
        <v>1253</v>
      </c>
      <c r="BH164" s="41" t="s">
        <v>187</v>
      </c>
      <c r="BI164" s="95">
        <v>751845</v>
      </c>
      <c r="BJ164" s="42">
        <v>170121</v>
      </c>
    </row>
    <row r="165" spans="1:62" ht="19.5" customHeight="1">
      <c r="A165" s="5" t="s">
        <v>71</v>
      </c>
      <c r="B165" s="15">
        <f>18000+2300</f>
        <v>20300</v>
      </c>
      <c r="C165" s="15">
        <f>18000+2300-5000</f>
        <v>15300</v>
      </c>
      <c r="D165" s="22">
        <f>+F165</f>
        <v>4100</v>
      </c>
      <c r="E165" s="24">
        <f aca="true" t="shared" si="61" ref="E165:E170">+D165/C165*100</f>
        <v>26.797385620915033</v>
      </c>
      <c r="F165" s="22">
        <v>4100</v>
      </c>
      <c r="G165" s="24">
        <f aca="true" t="shared" si="62" ref="G165:G170">+F165/C165*100</f>
        <v>26.797385620915033</v>
      </c>
      <c r="H165" s="25"/>
      <c r="I165" s="26"/>
      <c r="J165" s="26"/>
      <c r="K165" s="26"/>
      <c r="L165" s="26"/>
      <c r="M165" s="26"/>
      <c r="N165" s="26"/>
      <c r="O165" s="26"/>
      <c r="P165" s="26"/>
      <c r="Q165" s="26"/>
      <c r="R165" s="26"/>
      <c r="S165" s="26"/>
      <c r="T165" s="26"/>
      <c r="U165" s="26"/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87">
        <f t="shared" si="60"/>
        <v>69500</v>
      </c>
      <c r="AT165" s="28">
        <v>9200</v>
      </c>
      <c r="AU165" s="85">
        <f>18000+2300</f>
        <v>20300</v>
      </c>
      <c r="AV165" s="125">
        <f>+AU165</f>
        <v>20300</v>
      </c>
      <c r="AW165" s="28">
        <v>20000</v>
      </c>
      <c r="AX165" s="28">
        <v>20000</v>
      </c>
      <c r="AY165" s="28"/>
      <c r="AZ165" s="67" t="s">
        <v>121</v>
      </c>
      <c r="BD165" s="15">
        <f>18000+2300</f>
        <v>20300</v>
      </c>
      <c r="BE165" s="40">
        <f>+BD165</f>
        <v>20300</v>
      </c>
      <c r="BF165" s="143">
        <f>+BD165-BE165</f>
        <v>0</v>
      </c>
      <c r="BG165" s="41">
        <v>194242</v>
      </c>
      <c r="BH165" s="41" t="s">
        <v>165</v>
      </c>
      <c r="BI165" s="41">
        <v>751845</v>
      </c>
      <c r="BJ165" s="42">
        <v>170112</v>
      </c>
    </row>
    <row r="166" spans="1:62" ht="19.5" customHeight="1">
      <c r="A166" s="5" t="s">
        <v>72</v>
      </c>
      <c r="B166" s="15">
        <v>2000</v>
      </c>
      <c r="C166" s="15">
        <f>2000+3575</f>
        <v>5575</v>
      </c>
      <c r="D166" s="22">
        <f>+F166</f>
        <v>4944</v>
      </c>
      <c r="E166" s="24">
        <f t="shared" si="61"/>
        <v>88.68161434977578</v>
      </c>
      <c r="F166" s="22">
        <f>163+3575+286+460+460</f>
        <v>4944</v>
      </c>
      <c r="G166" s="24">
        <f t="shared" si="62"/>
        <v>88.68161434977578</v>
      </c>
      <c r="H166" s="25"/>
      <c r="I166" s="26"/>
      <c r="J166" s="26"/>
      <c r="K166" s="26"/>
      <c r="L166" s="26"/>
      <c r="M166" s="26"/>
      <c r="N166" s="26"/>
      <c r="O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87">
        <f t="shared" si="60"/>
        <v>35665</v>
      </c>
      <c r="AT166" s="28">
        <v>29665</v>
      </c>
      <c r="AU166" s="15">
        <v>2000</v>
      </c>
      <c r="AV166" s="125">
        <f>+AU166</f>
        <v>2000</v>
      </c>
      <c r="AW166" s="28">
        <f aca="true" t="shared" si="63" ref="AW166:AW173">+AU166</f>
        <v>2000</v>
      </c>
      <c r="AX166" s="28">
        <f aca="true" t="shared" si="64" ref="AX166:AX173">+AU166</f>
        <v>2000</v>
      </c>
      <c r="AY166" s="28"/>
      <c r="AZ166" s="67"/>
      <c r="BD166" s="15">
        <v>2000</v>
      </c>
      <c r="BE166" s="40">
        <f>+BD166</f>
        <v>2000</v>
      </c>
      <c r="BF166" s="143">
        <f>+BD166-BE166</f>
        <v>0</v>
      </c>
      <c r="BG166" s="41">
        <v>382141</v>
      </c>
      <c r="BH166" s="41" t="s">
        <v>165</v>
      </c>
      <c r="BI166" s="41">
        <v>701015</v>
      </c>
      <c r="BJ166" s="42">
        <v>170113</v>
      </c>
    </row>
    <row r="167" spans="1:62" ht="19.5" customHeight="1">
      <c r="A167" s="5" t="s">
        <v>73</v>
      </c>
      <c r="B167" s="15">
        <v>500</v>
      </c>
      <c r="C167" s="15">
        <v>500</v>
      </c>
      <c r="D167" s="22">
        <f>+F167</f>
        <v>99</v>
      </c>
      <c r="E167" s="24">
        <f t="shared" si="61"/>
        <v>19.8</v>
      </c>
      <c r="F167" s="22">
        <f>20+54+25</f>
        <v>99</v>
      </c>
      <c r="G167" s="24">
        <f t="shared" si="62"/>
        <v>19.8</v>
      </c>
      <c r="H167" s="25"/>
      <c r="I167" s="26"/>
      <c r="J167" s="26"/>
      <c r="K167" s="26"/>
      <c r="L167" s="26"/>
      <c r="M167" s="26"/>
      <c r="N167" s="26"/>
      <c r="O167" s="26"/>
      <c r="P167" s="26"/>
      <c r="Q167" s="26"/>
      <c r="R167" s="26"/>
      <c r="S167" s="26"/>
      <c r="T167" s="26"/>
      <c r="U167" s="26"/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87">
        <f t="shared" si="60"/>
        <v>1750</v>
      </c>
      <c r="AT167" s="28">
        <v>250</v>
      </c>
      <c r="AU167" s="15">
        <v>500</v>
      </c>
      <c r="AV167" s="28">
        <v>0</v>
      </c>
      <c r="AW167" s="28">
        <f t="shared" si="63"/>
        <v>500</v>
      </c>
      <c r="AX167" s="28">
        <f t="shared" si="64"/>
        <v>500</v>
      </c>
      <c r="AY167" s="28"/>
      <c r="AZ167" s="67" t="s">
        <v>148</v>
      </c>
      <c r="BA167" s="144">
        <v>500</v>
      </c>
      <c r="BB167" s="128"/>
      <c r="BC167" s="128"/>
      <c r="BD167" s="15">
        <v>500</v>
      </c>
      <c r="BE167" s="40">
        <f>+BD167</f>
        <v>500</v>
      </c>
      <c r="BF167" s="143">
        <f>+BD167-BE167</f>
        <v>0</v>
      </c>
      <c r="BG167" s="41">
        <v>3821423</v>
      </c>
      <c r="BH167" s="41" t="s">
        <v>165</v>
      </c>
      <c r="BI167" s="41">
        <v>930932</v>
      </c>
      <c r="BJ167" s="42">
        <v>170117</v>
      </c>
    </row>
    <row r="168" spans="1:62" s="31" customFormat="1" ht="19.5" customHeight="1">
      <c r="A168" s="5" t="s">
        <v>74</v>
      </c>
      <c r="B168" s="15">
        <f>4000+1850</f>
        <v>5850</v>
      </c>
      <c r="C168" s="15">
        <f>4000+1850+50</f>
        <v>5900</v>
      </c>
      <c r="D168" s="22">
        <f>400+800+3300+200+1200</f>
        <v>5900</v>
      </c>
      <c r="E168" s="24">
        <f t="shared" si="61"/>
        <v>100</v>
      </c>
      <c r="F168" s="22">
        <v>5900</v>
      </c>
      <c r="G168" s="24">
        <f t="shared" si="62"/>
        <v>100</v>
      </c>
      <c r="H168" s="25"/>
      <c r="I168" s="26"/>
      <c r="J168" s="26"/>
      <c r="K168" s="26"/>
      <c r="L168" s="26"/>
      <c r="M168" s="26"/>
      <c r="N168" s="26"/>
      <c r="O168" s="26"/>
      <c r="P168" s="26"/>
      <c r="Q168" s="26"/>
      <c r="R168" s="26"/>
      <c r="S168" s="26"/>
      <c r="T168" s="26"/>
      <c r="U168" s="26"/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87">
        <f t="shared" si="60"/>
        <v>21700</v>
      </c>
      <c r="AT168" s="28">
        <v>4150</v>
      </c>
      <c r="AU168" s="15">
        <f>4000+1850</f>
        <v>5850</v>
      </c>
      <c r="AV168" s="125">
        <f aca="true" t="shared" si="65" ref="AV168:AV176">+AU168</f>
        <v>5850</v>
      </c>
      <c r="AW168" s="28">
        <f t="shared" si="63"/>
        <v>5850</v>
      </c>
      <c r="AX168" s="28">
        <f t="shared" si="64"/>
        <v>5850</v>
      </c>
      <c r="AY168" s="28"/>
      <c r="AZ168" s="67" t="s">
        <v>13</v>
      </c>
      <c r="BA168" s="74"/>
      <c r="BB168" s="75"/>
      <c r="BC168" s="75"/>
      <c r="BD168" s="15">
        <f>4000+1850</f>
        <v>5850</v>
      </c>
      <c r="BE168" s="40">
        <f>+BD168</f>
        <v>5850</v>
      </c>
      <c r="BF168" s="143">
        <f>+BD168-BE168</f>
        <v>0</v>
      </c>
      <c r="BG168" s="41">
        <v>194241</v>
      </c>
      <c r="BH168" s="41" t="s">
        <v>165</v>
      </c>
      <c r="BI168" s="41">
        <v>751153</v>
      </c>
      <c r="BJ168" s="42">
        <v>170119</v>
      </c>
    </row>
    <row r="169" spans="1:62" s="31" customFormat="1" ht="19.5" customHeight="1">
      <c r="A169" s="5" t="s">
        <v>75</v>
      </c>
      <c r="B169" s="16">
        <v>10000</v>
      </c>
      <c r="C169" s="16">
        <f>10000-300</f>
        <v>9700</v>
      </c>
      <c r="D169" s="22">
        <f>+F169</f>
        <v>9630</v>
      </c>
      <c r="E169" s="24">
        <f t="shared" si="61"/>
        <v>99.27835051546393</v>
      </c>
      <c r="F169" s="22">
        <v>9630</v>
      </c>
      <c r="G169" s="24">
        <f t="shared" si="62"/>
        <v>99.27835051546393</v>
      </c>
      <c r="H169" s="25"/>
      <c r="I169" s="26"/>
      <c r="J169" s="26"/>
      <c r="K169" s="26"/>
      <c r="L169" s="26"/>
      <c r="M169" s="26"/>
      <c r="N169" s="26"/>
      <c r="O169" s="26"/>
      <c r="P169" s="26"/>
      <c r="Q169" s="26"/>
      <c r="R169" s="26"/>
      <c r="S169" s="26"/>
      <c r="T169" s="26"/>
      <c r="U169" s="26"/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87">
        <f t="shared" si="60"/>
        <v>36274</v>
      </c>
      <c r="AT169" s="28">
        <v>6274</v>
      </c>
      <c r="AU169" s="16">
        <v>10000</v>
      </c>
      <c r="AV169" s="125">
        <f t="shared" si="65"/>
        <v>10000</v>
      </c>
      <c r="AW169" s="28">
        <f t="shared" si="63"/>
        <v>10000</v>
      </c>
      <c r="AX169" s="28">
        <f t="shared" si="64"/>
        <v>10000</v>
      </c>
      <c r="AY169" s="28"/>
      <c r="AZ169" s="67"/>
      <c r="BA169" s="74"/>
      <c r="BB169" s="75"/>
      <c r="BC169" s="75"/>
      <c r="BD169" s="16">
        <v>10000</v>
      </c>
      <c r="BE169" s="40">
        <f>+BD169/1.2</f>
        <v>8333.333333333334</v>
      </c>
      <c r="BF169" s="40">
        <f>+BE169*0.2</f>
        <v>1666.666666666667</v>
      </c>
      <c r="BG169" s="41">
        <v>55219</v>
      </c>
      <c r="BH169" s="41" t="s">
        <v>194</v>
      </c>
      <c r="BI169" s="95">
        <v>751845</v>
      </c>
      <c r="BJ169" s="42">
        <v>170118</v>
      </c>
    </row>
    <row r="170" spans="1:62" s="31" customFormat="1" ht="19.5" customHeight="1">
      <c r="A170" s="5" t="s">
        <v>7</v>
      </c>
      <c r="B170" s="16">
        <v>5000</v>
      </c>
      <c r="C170" s="16">
        <f>5000-950-2050</f>
        <v>2000</v>
      </c>
      <c r="D170" s="22">
        <v>290</v>
      </c>
      <c r="E170" s="24">
        <f t="shared" si="61"/>
        <v>14.499999999999998</v>
      </c>
      <c r="F170" s="22">
        <v>290</v>
      </c>
      <c r="G170" s="24">
        <f t="shared" si="62"/>
        <v>14.499999999999998</v>
      </c>
      <c r="H170" s="25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87">
        <f t="shared" si="60"/>
        <v>15000</v>
      </c>
      <c r="AT170" s="28">
        <v>0</v>
      </c>
      <c r="AU170" s="16">
        <v>5000</v>
      </c>
      <c r="AV170" s="125">
        <f t="shared" si="65"/>
        <v>5000</v>
      </c>
      <c r="AW170" s="28">
        <f t="shared" si="63"/>
        <v>5000</v>
      </c>
      <c r="AX170" s="28">
        <f t="shared" si="64"/>
        <v>5000</v>
      </c>
      <c r="AY170" s="28"/>
      <c r="AZ170" s="67" t="s">
        <v>8</v>
      </c>
      <c r="BA170" s="74"/>
      <c r="BB170" s="75"/>
      <c r="BC170" s="75"/>
      <c r="BD170" s="16">
        <v>5000</v>
      </c>
      <c r="BE170" s="40">
        <f>+BD170/1.2</f>
        <v>4166.666666666667</v>
      </c>
      <c r="BF170" s="40">
        <f>+BE170*0.2</f>
        <v>833.3333333333335</v>
      </c>
      <c r="BG170" s="41">
        <v>55219</v>
      </c>
      <c r="BH170" s="41" t="s">
        <v>194</v>
      </c>
      <c r="BI170" s="95">
        <v>751845</v>
      </c>
      <c r="BJ170" s="42">
        <v>170121</v>
      </c>
    </row>
    <row r="171" spans="1:62" s="31" customFormat="1" ht="19.5" customHeight="1">
      <c r="A171" s="5" t="s">
        <v>216</v>
      </c>
      <c r="B171" s="16">
        <v>0</v>
      </c>
      <c r="C171" s="16">
        <v>950</v>
      </c>
      <c r="D171" s="71" t="s">
        <v>166</v>
      </c>
      <c r="E171" s="71" t="s">
        <v>166</v>
      </c>
      <c r="F171" s="71" t="s">
        <v>166</v>
      </c>
      <c r="G171" s="71" t="s">
        <v>166</v>
      </c>
      <c r="H171" s="25"/>
      <c r="I171" s="26"/>
      <c r="J171" s="26"/>
      <c r="K171" s="26"/>
      <c r="L171" s="26"/>
      <c r="M171" s="26"/>
      <c r="N171" s="26"/>
      <c r="O171" s="26"/>
      <c r="P171" s="26"/>
      <c r="Q171" s="26"/>
      <c r="R171" s="26"/>
      <c r="S171" s="26"/>
      <c r="T171" s="26"/>
      <c r="U171" s="26"/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87">
        <f>+AT171+AU171+AW171+AX171</f>
        <v>15000</v>
      </c>
      <c r="AT171" s="28">
        <v>0</v>
      </c>
      <c r="AU171" s="16">
        <v>5000</v>
      </c>
      <c r="AV171" s="125">
        <f t="shared" si="65"/>
        <v>5000</v>
      </c>
      <c r="AW171" s="28">
        <f>+AU171</f>
        <v>5000</v>
      </c>
      <c r="AX171" s="28">
        <f>+AU171</f>
        <v>5000</v>
      </c>
      <c r="AY171" s="28"/>
      <c r="AZ171" s="67" t="s">
        <v>8</v>
      </c>
      <c r="BA171" s="74"/>
      <c r="BB171" s="75"/>
      <c r="BC171" s="75"/>
      <c r="BD171" s="16">
        <v>5000</v>
      </c>
      <c r="BE171" s="40">
        <f>+BD171/1.2</f>
        <v>4166.666666666667</v>
      </c>
      <c r="BF171" s="40">
        <f>+BE171*0.2</f>
        <v>833.3333333333335</v>
      </c>
      <c r="BG171" s="41">
        <v>55219</v>
      </c>
      <c r="BH171" s="41" t="s">
        <v>194</v>
      </c>
      <c r="BI171" s="95">
        <v>751845</v>
      </c>
      <c r="BJ171" s="42">
        <v>170121</v>
      </c>
    </row>
    <row r="172" spans="1:62" s="145" customFormat="1" ht="19.5" customHeight="1">
      <c r="A172" s="3" t="s">
        <v>5</v>
      </c>
      <c r="B172" s="15">
        <v>3000</v>
      </c>
      <c r="C172" s="15">
        <v>3000</v>
      </c>
      <c r="D172" s="22">
        <f>+F172</f>
        <v>2919</v>
      </c>
      <c r="E172" s="24">
        <f>+D172/C172*100</f>
        <v>97.3</v>
      </c>
      <c r="F172" s="22">
        <v>2919</v>
      </c>
      <c r="G172" s="24">
        <f>+F172/C172*100</f>
        <v>97.3</v>
      </c>
      <c r="H172" s="25"/>
      <c r="I172" s="26"/>
      <c r="J172" s="26"/>
      <c r="K172" s="26"/>
      <c r="L172" s="26"/>
      <c r="M172" s="26"/>
      <c r="N172" s="26"/>
      <c r="O172" s="26"/>
      <c r="P172" s="26"/>
      <c r="Q172" s="26"/>
      <c r="R172" s="26"/>
      <c r="S172" s="26"/>
      <c r="T172" s="26"/>
      <c r="U172" s="26"/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87">
        <f t="shared" si="60"/>
        <v>11217</v>
      </c>
      <c r="AT172" s="28">
        <v>2217</v>
      </c>
      <c r="AU172" s="15">
        <v>3000</v>
      </c>
      <c r="AV172" s="125">
        <f t="shared" si="65"/>
        <v>3000</v>
      </c>
      <c r="AW172" s="28">
        <f t="shared" si="63"/>
        <v>3000</v>
      </c>
      <c r="AX172" s="28">
        <f t="shared" si="64"/>
        <v>3000</v>
      </c>
      <c r="AY172" s="28"/>
      <c r="AZ172" s="67"/>
      <c r="BA172" s="30"/>
      <c r="BB172" s="31"/>
      <c r="BC172" s="31"/>
      <c r="BD172" s="15">
        <v>3000</v>
      </c>
      <c r="BE172" s="40">
        <f>+BD172</f>
        <v>3000</v>
      </c>
      <c r="BF172" s="143">
        <f>+BD172-BE172</f>
        <v>0</v>
      </c>
      <c r="BG172" s="41">
        <v>57119</v>
      </c>
      <c r="BH172" s="41" t="s">
        <v>187</v>
      </c>
      <c r="BI172" s="95">
        <v>751845</v>
      </c>
      <c r="BJ172" s="42">
        <v>170121</v>
      </c>
    </row>
    <row r="173" spans="1:62" s="145" customFormat="1" ht="19.5" customHeight="1">
      <c r="A173" s="3" t="s">
        <v>76</v>
      </c>
      <c r="B173" s="15">
        <v>400</v>
      </c>
      <c r="C173" s="15">
        <v>400</v>
      </c>
      <c r="D173" s="71" t="s">
        <v>166</v>
      </c>
      <c r="E173" s="71" t="s">
        <v>166</v>
      </c>
      <c r="F173" s="71" t="s">
        <v>166</v>
      </c>
      <c r="G173" s="71" t="s">
        <v>166</v>
      </c>
      <c r="H173" s="25"/>
      <c r="I173" s="26"/>
      <c r="J173" s="26"/>
      <c r="K173" s="26"/>
      <c r="L173" s="26"/>
      <c r="M173" s="26"/>
      <c r="N173" s="26"/>
      <c r="O173" s="26"/>
      <c r="P173" s="26"/>
      <c r="Q173" s="26"/>
      <c r="R173" s="26"/>
      <c r="S173" s="26"/>
      <c r="T173" s="26"/>
      <c r="U173" s="26"/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87">
        <f t="shared" si="60"/>
        <v>1200</v>
      </c>
      <c r="AT173" s="28">
        <v>0</v>
      </c>
      <c r="AU173" s="15">
        <v>400</v>
      </c>
      <c r="AV173" s="125">
        <f t="shared" si="65"/>
        <v>400</v>
      </c>
      <c r="AW173" s="28">
        <f t="shared" si="63"/>
        <v>400</v>
      </c>
      <c r="AX173" s="28">
        <f t="shared" si="64"/>
        <v>400</v>
      </c>
      <c r="AY173" s="28"/>
      <c r="AZ173" s="67"/>
      <c r="BA173" s="30"/>
      <c r="BB173" s="31"/>
      <c r="BC173" s="31"/>
      <c r="BD173" s="15">
        <v>400</v>
      </c>
      <c r="BE173" s="40">
        <f>+BD173/1.2</f>
        <v>333.33333333333337</v>
      </c>
      <c r="BF173" s="40">
        <f>+BE173*0.2</f>
        <v>66.66666666666667</v>
      </c>
      <c r="BG173" s="41">
        <v>55219</v>
      </c>
      <c r="BH173" s="41" t="s">
        <v>194</v>
      </c>
      <c r="BI173" s="95">
        <v>751845</v>
      </c>
      <c r="BJ173" s="42">
        <v>170121</v>
      </c>
    </row>
    <row r="174" spans="1:62" s="82" customFormat="1" ht="19.5" customHeight="1">
      <c r="A174" s="8" t="s">
        <v>46</v>
      </c>
      <c r="B174" s="15">
        <v>300</v>
      </c>
      <c r="C174" s="15">
        <v>0</v>
      </c>
      <c r="D174" s="146" t="s">
        <v>87</v>
      </c>
      <c r="E174" s="146" t="s">
        <v>87</v>
      </c>
      <c r="F174" s="146" t="s">
        <v>87</v>
      </c>
      <c r="G174" s="146" t="s">
        <v>87</v>
      </c>
      <c r="H174" s="70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87">
        <f t="shared" si="60"/>
        <v>900</v>
      </c>
      <c r="AT174" s="28">
        <v>600</v>
      </c>
      <c r="AU174" s="15">
        <v>300</v>
      </c>
      <c r="AV174" s="29">
        <f t="shared" si="65"/>
        <v>300</v>
      </c>
      <c r="AW174" s="28">
        <v>0</v>
      </c>
      <c r="AX174" s="28">
        <v>0</v>
      </c>
      <c r="AY174" s="28"/>
      <c r="AZ174" s="67"/>
      <c r="BA174" s="30"/>
      <c r="BB174" s="31"/>
      <c r="BC174" s="31"/>
      <c r="BD174" s="15">
        <v>300</v>
      </c>
      <c r="BE174" s="40">
        <f>+BD174</f>
        <v>300</v>
      </c>
      <c r="BF174" s="143">
        <f>+BD174-BE174</f>
        <v>0</v>
      </c>
      <c r="BG174" s="41">
        <v>382243</v>
      </c>
      <c r="BH174" s="41" t="s">
        <v>165</v>
      </c>
      <c r="BI174" s="95">
        <v>751845</v>
      </c>
      <c r="BJ174" s="42">
        <v>170121</v>
      </c>
    </row>
    <row r="175" spans="1:62" s="31" customFormat="1" ht="23.25" customHeight="1">
      <c r="A175" s="172" t="s">
        <v>47</v>
      </c>
      <c r="B175" s="15">
        <v>1388</v>
      </c>
      <c r="C175" s="15">
        <v>0</v>
      </c>
      <c r="D175" s="146" t="s">
        <v>87</v>
      </c>
      <c r="E175" s="146" t="s">
        <v>87</v>
      </c>
      <c r="F175" s="146" t="s">
        <v>87</v>
      </c>
      <c r="G175" s="146" t="s">
        <v>87</v>
      </c>
      <c r="H175" s="70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87">
        <f aca="true" t="shared" si="66" ref="AS175:AS182">+AT175+AU175+AW175+AX175</f>
        <v>1500</v>
      </c>
      <c r="AT175" s="28">
        <v>112</v>
      </c>
      <c r="AU175" s="15">
        <v>1388</v>
      </c>
      <c r="AV175" s="29">
        <f t="shared" si="65"/>
        <v>1388</v>
      </c>
      <c r="AW175" s="28">
        <v>0</v>
      </c>
      <c r="AX175" s="28">
        <v>0</v>
      </c>
      <c r="AY175" s="28"/>
      <c r="AZ175" s="67"/>
      <c r="BA175" s="30"/>
      <c r="BD175" s="15">
        <v>1388</v>
      </c>
      <c r="BE175" s="40">
        <f aca="true" t="shared" si="67" ref="BE175:BE182">+BD175/1.2</f>
        <v>1156.6666666666667</v>
      </c>
      <c r="BF175" s="40">
        <f aca="true" t="shared" si="68" ref="BF175:BF182">+BE175*0.2</f>
        <v>231.33333333333337</v>
      </c>
      <c r="BG175" s="139">
        <v>1254</v>
      </c>
      <c r="BH175" s="41" t="s">
        <v>187</v>
      </c>
      <c r="BI175" s="95">
        <v>751845</v>
      </c>
      <c r="BJ175" s="42">
        <v>170121</v>
      </c>
    </row>
    <row r="176" spans="1:62" s="31" customFormat="1" ht="20.25" customHeight="1">
      <c r="A176" s="4" t="s">
        <v>112</v>
      </c>
      <c r="B176" s="15">
        <v>100</v>
      </c>
      <c r="C176" s="15">
        <v>100</v>
      </c>
      <c r="D176" s="71" t="s">
        <v>166</v>
      </c>
      <c r="E176" s="71" t="s">
        <v>166</v>
      </c>
      <c r="F176" s="71" t="s">
        <v>166</v>
      </c>
      <c r="G176" s="71" t="s">
        <v>166</v>
      </c>
      <c r="H176" s="70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87">
        <f t="shared" si="66"/>
        <v>100</v>
      </c>
      <c r="AT176" s="28">
        <v>0</v>
      </c>
      <c r="AU176" s="15">
        <v>100</v>
      </c>
      <c r="AV176" s="29">
        <f t="shared" si="65"/>
        <v>100</v>
      </c>
      <c r="AW176" s="28">
        <v>0</v>
      </c>
      <c r="AX176" s="28">
        <v>0</v>
      </c>
      <c r="AY176" s="28"/>
      <c r="AZ176" s="67"/>
      <c r="BA176" s="30"/>
      <c r="BD176" s="15">
        <v>100</v>
      </c>
      <c r="BE176" s="40">
        <f t="shared" si="67"/>
        <v>83.33333333333334</v>
      </c>
      <c r="BF176" s="40">
        <f t="shared" si="68"/>
        <v>16.666666666666668</v>
      </c>
      <c r="BG176" s="41">
        <v>55219</v>
      </c>
      <c r="BH176" s="41" t="s">
        <v>194</v>
      </c>
      <c r="BI176" s="95">
        <v>751845</v>
      </c>
      <c r="BJ176" s="42">
        <v>170121</v>
      </c>
    </row>
    <row r="177" spans="1:62" s="31" customFormat="1" ht="20.25" customHeight="1">
      <c r="A177" s="10" t="s">
        <v>158</v>
      </c>
      <c r="B177" s="15">
        <v>720</v>
      </c>
      <c r="C177" s="15">
        <v>720</v>
      </c>
      <c r="D177" s="22">
        <v>720</v>
      </c>
      <c r="E177" s="24">
        <f aca="true" t="shared" si="69" ref="E177:E182">+D177/C177*100</f>
        <v>100</v>
      </c>
      <c r="F177" s="22">
        <v>720</v>
      </c>
      <c r="G177" s="24">
        <f>+F177/C177*100</f>
        <v>100</v>
      </c>
      <c r="H177" s="70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87">
        <f t="shared" si="66"/>
        <v>720</v>
      </c>
      <c r="AT177" s="28">
        <v>0</v>
      </c>
      <c r="AU177" s="15">
        <v>720</v>
      </c>
      <c r="AV177" s="29">
        <f aca="true" t="shared" si="70" ref="AV177:AV182">+AU177</f>
        <v>720</v>
      </c>
      <c r="AW177" s="28">
        <v>0</v>
      </c>
      <c r="AX177" s="28">
        <v>0</v>
      </c>
      <c r="AY177" s="28"/>
      <c r="AZ177" s="67"/>
      <c r="BA177" s="30"/>
      <c r="BD177" s="15">
        <v>720</v>
      </c>
      <c r="BE177" s="40">
        <f t="shared" si="67"/>
        <v>600</v>
      </c>
      <c r="BF177" s="40">
        <f t="shared" si="68"/>
        <v>120</v>
      </c>
      <c r="BG177" s="41">
        <v>55219</v>
      </c>
      <c r="BH177" s="41" t="s">
        <v>194</v>
      </c>
      <c r="BI177" s="95">
        <v>751845</v>
      </c>
      <c r="BJ177" s="42">
        <v>170121</v>
      </c>
    </row>
    <row r="178" spans="1:62" s="31" customFormat="1" ht="20.25" customHeight="1">
      <c r="A178" s="10" t="s">
        <v>226</v>
      </c>
      <c r="B178" s="15">
        <v>0</v>
      </c>
      <c r="C178" s="15">
        <v>3180</v>
      </c>
      <c r="D178" s="22">
        <v>3180</v>
      </c>
      <c r="E178" s="24">
        <f t="shared" si="69"/>
        <v>100</v>
      </c>
      <c r="F178" s="22">
        <v>318</v>
      </c>
      <c r="G178" s="24">
        <f>+F178/C178*100</f>
        <v>10</v>
      </c>
      <c r="H178" s="70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87">
        <f t="shared" si="66"/>
        <v>720</v>
      </c>
      <c r="AT178" s="28">
        <v>0</v>
      </c>
      <c r="AU178" s="15">
        <v>720</v>
      </c>
      <c r="AV178" s="29">
        <f t="shared" si="70"/>
        <v>720</v>
      </c>
      <c r="AW178" s="28">
        <v>0</v>
      </c>
      <c r="AX178" s="28">
        <v>0</v>
      </c>
      <c r="AY178" s="28"/>
      <c r="AZ178" s="67"/>
      <c r="BA178" s="30"/>
      <c r="BD178" s="15">
        <v>720</v>
      </c>
      <c r="BE178" s="40">
        <f t="shared" si="67"/>
        <v>600</v>
      </c>
      <c r="BF178" s="40">
        <f t="shared" si="68"/>
        <v>120</v>
      </c>
      <c r="BG178" s="41">
        <v>55219</v>
      </c>
      <c r="BH178" s="41" t="s">
        <v>194</v>
      </c>
      <c r="BI178" s="95">
        <v>751845</v>
      </c>
      <c r="BJ178" s="42">
        <v>170121</v>
      </c>
    </row>
    <row r="179" spans="1:62" s="31" customFormat="1" ht="20.25" customHeight="1">
      <c r="A179" s="3" t="s">
        <v>200</v>
      </c>
      <c r="B179" s="15">
        <v>0</v>
      </c>
      <c r="C179" s="15">
        <v>1334</v>
      </c>
      <c r="D179" s="22">
        <f>460+414+460</f>
        <v>1334</v>
      </c>
      <c r="E179" s="24">
        <f t="shared" si="69"/>
        <v>100</v>
      </c>
      <c r="F179" s="18">
        <v>1334</v>
      </c>
      <c r="G179" s="24">
        <f>+F179/C179*100</f>
        <v>100</v>
      </c>
      <c r="H179" s="25"/>
      <c r="I179" s="26"/>
      <c r="J179" s="26"/>
      <c r="K179" s="26"/>
      <c r="L179" s="26"/>
      <c r="M179" s="26"/>
      <c r="N179" s="26"/>
      <c r="O179" s="26"/>
      <c r="P179" s="26"/>
      <c r="Q179" s="26"/>
      <c r="R179" s="26"/>
      <c r="S179" s="26"/>
      <c r="T179" s="26"/>
      <c r="U179" s="26"/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7">
        <f t="shared" si="66"/>
        <v>0</v>
      </c>
      <c r="AT179" s="28"/>
      <c r="AU179" s="15"/>
      <c r="AV179" s="29">
        <f t="shared" si="70"/>
        <v>0</v>
      </c>
      <c r="AW179" s="28">
        <v>0</v>
      </c>
      <c r="AX179" s="28">
        <v>0</v>
      </c>
      <c r="AY179" s="28"/>
      <c r="AZ179" s="67"/>
      <c r="BA179" s="30"/>
      <c r="BD179" s="15"/>
      <c r="BE179" s="40">
        <f t="shared" si="67"/>
        <v>0</v>
      </c>
      <c r="BF179" s="40">
        <f t="shared" si="68"/>
        <v>0</v>
      </c>
      <c r="BG179" s="68">
        <v>1254</v>
      </c>
      <c r="BH179" s="68" t="s">
        <v>187</v>
      </c>
      <c r="BI179" s="69">
        <v>452025</v>
      </c>
      <c r="BJ179" s="69">
        <v>160100</v>
      </c>
    </row>
    <row r="180" spans="1:62" s="31" customFormat="1" ht="20.25" customHeight="1">
      <c r="A180" s="3" t="s">
        <v>267</v>
      </c>
      <c r="B180" s="15">
        <v>0</v>
      </c>
      <c r="C180" s="15">
        <v>234</v>
      </c>
      <c r="D180" s="22">
        <f>96+138</f>
        <v>234</v>
      </c>
      <c r="E180" s="24">
        <f t="shared" si="69"/>
        <v>100</v>
      </c>
      <c r="F180" s="22">
        <f>96+138</f>
        <v>234</v>
      </c>
      <c r="G180" s="24">
        <f>+F180/C180*100</f>
        <v>100</v>
      </c>
      <c r="H180" s="25"/>
      <c r="I180" s="26"/>
      <c r="J180" s="26"/>
      <c r="K180" s="26"/>
      <c r="L180" s="26"/>
      <c r="M180" s="26"/>
      <c r="N180" s="26"/>
      <c r="O180" s="26"/>
      <c r="P180" s="26"/>
      <c r="Q180" s="26"/>
      <c r="R180" s="26"/>
      <c r="S180" s="26"/>
      <c r="T180" s="26"/>
      <c r="U180" s="26"/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7">
        <f>+AT180+AU180+AW180+AX180</f>
        <v>0</v>
      </c>
      <c r="AT180" s="28"/>
      <c r="AU180" s="15"/>
      <c r="AV180" s="29">
        <f t="shared" si="70"/>
        <v>0</v>
      </c>
      <c r="AW180" s="28">
        <v>0</v>
      </c>
      <c r="AX180" s="28">
        <v>0</v>
      </c>
      <c r="AY180" s="28"/>
      <c r="AZ180" s="67"/>
      <c r="BA180" s="30"/>
      <c r="BD180" s="15"/>
      <c r="BE180" s="40">
        <f>+BD180/1.2</f>
        <v>0</v>
      </c>
      <c r="BF180" s="40">
        <f>+BE180*0.2</f>
        <v>0</v>
      </c>
      <c r="BG180" s="68">
        <v>1254</v>
      </c>
      <c r="BH180" s="68" t="s">
        <v>187</v>
      </c>
      <c r="BI180" s="69">
        <v>452025</v>
      </c>
      <c r="BJ180" s="69">
        <v>160100</v>
      </c>
    </row>
    <row r="181" spans="1:62" s="31" customFormat="1" ht="20.25" customHeight="1">
      <c r="A181" s="3" t="s">
        <v>233</v>
      </c>
      <c r="B181" s="15">
        <v>0</v>
      </c>
      <c r="C181" s="15">
        <v>160</v>
      </c>
      <c r="D181" s="71" t="s">
        <v>166</v>
      </c>
      <c r="E181" s="71" t="s">
        <v>166</v>
      </c>
      <c r="F181" s="71" t="s">
        <v>166</v>
      </c>
      <c r="G181" s="71" t="s">
        <v>166</v>
      </c>
      <c r="H181" s="25"/>
      <c r="I181" s="26"/>
      <c r="J181" s="26"/>
      <c r="K181" s="26"/>
      <c r="L181" s="26"/>
      <c r="M181" s="26"/>
      <c r="N181" s="26"/>
      <c r="O181" s="26"/>
      <c r="P181" s="26"/>
      <c r="Q181" s="26"/>
      <c r="R181" s="26"/>
      <c r="S181" s="26"/>
      <c r="T181" s="26"/>
      <c r="U181" s="26"/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7">
        <f>+AT181+AU181+AW181+AX181</f>
        <v>0</v>
      </c>
      <c r="AT181" s="28"/>
      <c r="AU181" s="15"/>
      <c r="AV181" s="29">
        <f t="shared" si="70"/>
        <v>0</v>
      </c>
      <c r="AW181" s="28">
        <v>0</v>
      </c>
      <c r="AX181" s="28">
        <v>0</v>
      </c>
      <c r="AY181" s="28"/>
      <c r="AZ181" s="67"/>
      <c r="BA181" s="30"/>
      <c r="BD181" s="15"/>
      <c r="BE181" s="40">
        <f>+BD181/1.2</f>
        <v>0</v>
      </c>
      <c r="BF181" s="40">
        <f>+BE181*0.2</f>
        <v>0</v>
      </c>
      <c r="BG181" s="68">
        <v>1254</v>
      </c>
      <c r="BH181" s="68" t="s">
        <v>187</v>
      </c>
      <c r="BI181" s="69">
        <v>452025</v>
      </c>
      <c r="BJ181" s="69">
        <v>160100</v>
      </c>
    </row>
    <row r="182" spans="1:62" s="31" customFormat="1" ht="20.25" customHeight="1">
      <c r="A182" s="173" t="s">
        <v>250</v>
      </c>
      <c r="B182" s="15">
        <v>0</v>
      </c>
      <c r="C182" s="15">
        <v>60</v>
      </c>
      <c r="D182" s="22">
        <v>60</v>
      </c>
      <c r="E182" s="24">
        <f t="shared" si="69"/>
        <v>100</v>
      </c>
      <c r="F182" s="71" t="s">
        <v>166</v>
      </c>
      <c r="G182" s="71" t="s">
        <v>166</v>
      </c>
      <c r="H182" s="25"/>
      <c r="I182" s="26"/>
      <c r="J182" s="26"/>
      <c r="K182" s="26"/>
      <c r="L182" s="26"/>
      <c r="M182" s="26"/>
      <c r="N182" s="26"/>
      <c r="O182" s="26"/>
      <c r="P182" s="26"/>
      <c r="Q182" s="26"/>
      <c r="R182" s="26"/>
      <c r="S182" s="26"/>
      <c r="T182" s="26"/>
      <c r="U182" s="26"/>
      <c r="V182" s="26"/>
      <c r="W182" s="26"/>
      <c r="X182" s="26"/>
      <c r="Y182" s="26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7">
        <f t="shared" si="66"/>
        <v>0</v>
      </c>
      <c r="AT182" s="28"/>
      <c r="AU182" s="15"/>
      <c r="AV182" s="29">
        <f t="shared" si="70"/>
        <v>0</v>
      </c>
      <c r="AW182" s="28">
        <v>0</v>
      </c>
      <c r="AX182" s="28">
        <v>0</v>
      </c>
      <c r="AY182" s="28"/>
      <c r="AZ182" s="67"/>
      <c r="BA182" s="30"/>
      <c r="BD182" s="15"/>
      <c r="BE182" s="40">
        <f t="shared" si="67"/>
        <v>0</v>
      </c>
      <c r="BF182" s="40">
        <f t="shared" si="68"/>
        <v>0</v>
      </c>
      <c r="BG182" s="68">
        <v>1254</v>
      </c>
      <c r="BH182" s="68" t="s">
        <v>187</v>
      </c>
      <c r="BI182" s="69">
        <v>452025</v>
      </c>
      <c r="BJ182" s="69">
        <v>160100</v>
      </c>
    </row>
    <row r="183" spans="1:62" s="31" customFormat="1" ht="20.25" customHeight="1">
      <c r="A183" s="180" t="s">
        <v>48</v>
      </c>
      <c r="B183" s="181">
        <f>SUM(B164:B182)</f>
        <v>88583</v>
      </c>
      <c r="C183" s="181">
        <f>SUM(C164:C182)</f>
        <v>58661</v>
      </c>
      <c r="D183" s="181">
        <f>SUM(D164:D182)</f>
        <v>33410</v>
      </c>
      <c r="E183" s="182">
        <f>+D183/C183*100</f>
        <v>56.954364910247016</v>
      </c>
      <c r="F183" s="181">
        <f>SUM(F164:F182)</f>
        <v>30488</v>
      </c>
      <c r="G183" s="182">
        <f>+F183/C183*100</f>
        <v>51.973201957007205</v>
      </c>
      <c r="H183" s="183"/>
      <c r="I183" s="78"/>
      <c r="J183" s="78"/>
      <c r="K183" s="78"/>
      <c r="L183" s="78"/>
      <c r="M183" s="78"/>
      <c r="N183" s="78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  <c r="AP183" s="78"/>
      <c r="AQ183" s="78"/>
      <c r="AR183" s="78"/>
      <c r="AS183" s="79">
        <f aca="true" t="shared" si="71" ref="AS183:AY183">SUM(AS164:AS182)</f>
        <v>337246</v>
      </c>
      <c r="AT183" s="17">
        <f t="shared" si="71"/>
        <v>79443</v>
      </c>
      <c r="AU183" s="17">
        <f t="shared" si="71"/>
        <v>94303</v>
      </c>
      <c r="AV183" s="17">
        <f t="shared" si="71"/>
        <v>93803</v>
      </c>
      <c r="AW183" s="17">
        <f t="shared" si="71"/>
        <v>81750</v>
      </c>
      <c r="AX183" s="17">
        <f t="shared" si="71"/>
        <v>81750</v>
      </c>
      <c r="AY183" s="17">
        <f t="shared" si="71"/>
        <v>0</v>
      </c>
      <c r="AZ183" s="80"/>
      <c r="BA183" s="81"/>
      <c r="BB183" s="82"/>
      <c r="BC183" s="82"/>
      <c r="BD183" s="17">
        <f>SUM(BD164:BD182)</f>
        <v>94303</v>
      </c>
      <c r="BE183" s="17">
        <f>SUM(BE164:BE182)</f>
        <v>83910.83333333334</v>
      </c>
      <c r="BF183" s="17">
        <f>SUM(BF164:BF182)</f>
        <v>10392.166666666668</v>
      </c>
      <c r="BG183" s="83"/>
      <c r="BH183" s="78"/>
      <c r="BI183" s="84"/>
      <c r="BJ183" s="42">
        <v>170121</v>
      </c>
    </row>
    <row r="184" spans="1:62" s="31" customFormat="1" ht="29.25" customHeight="1">
      <c r="A184" s="185" t="s">
        <v>49</v>
      </c>
      <c r="B184" s="175"/>
      <c r="C184" s="175"/>
      <c r="D184" s="186"/>
      <c r="E184" s="177"/>
      <c r="F184" s="186"/>
      <c r="G184" s="177"/>
      <c r="H184" s="187"/>
      <c r="I184" s="147"/>
      <c r="J184" s="147"/>
      <c r="K184" s="147"/>
      <c r="L184" s="147"/>
      <c r="M184" s="147"/>
      <c r="N184" s="147"/>
      <c r="O184" s="147"/>
      <c r="P184" s="147"/>
      <c r="Q184" s="147"/>
      <c r="R184" s="147"/>
      <c r="S184" s="147"/>
      <c r="T184" s="147"/>
      <c r="U184" s="147"/>
      <c r="V184" s="147"/>
      <c r="W184" s="147"/>
      <c r="X184" s="147"/>
      <c r="Y184" s="147"/>
      <c r="Z184" s="147"/>
      <c r="AA184" s="147"/>
      <c r="AB184" s="147"/>
      <c r="AC184" s="147"/>
      <c r="AD184" s="147"/>
      <c r="AE184" s="147"/>
      <c r="AF184" s="147"/>
      <c r="AG184" s="147"/>
      <c r="AH184" s="147"/>
      <c r="AI184" s="147"/>
      <c r="AJ184" s="147"/>
      <c r="AK184" s="147"/>
      <c r="AL184" s="147"/>
      <c r="AM184" s="147"/>
      <c r="AN184" s="147"/>
      <c r="AO184" s="147"/>
      <c r="AP184" s="147"/>
      <c r="AQ184" s="147"/>
      <c r="AR184" s="147"/>
      <c r="AS184" s="87"/>
      <c r="AT184" s="28"/>
      <c r="AU184" s="15"/>
      <c r="AV184" s="29"/>
      <c r="AW184" s="28"/>
      <c r="AX184" s="28"/>
      <c r="AY184" s="28"/>
      <c r="AZ184" s="67"/>
      <c r="BA184" s="30"/>
      <c r="BD184" s="15"/>
      <c r="BE184" s="40"/>
      <c r="BF184" s="40"/>
      <c r="BG184" s="148"/>
      <c r="BH184" s="147"/>
      <c r="BI184" s="149"/>
      <c r="BJ184" s="147"/>
    </row>
    <row r="185" spans="1:62" s="82" customFormat="1" ht="23.25" customHeight="1">
      <c r="A185" s="9" t="s">
        <v>50</v>
      </c>
      <c r="B185" s="15">
        <v>2820</v>
      </c>
      <c r="C185" s="15">
        <v>2820</v>
      </c>
      <c r="D185" s="22">
        <v>2820</v>
      </c>
      <c r="E185" s="24">
        <f aca="true" t="shared" si="72" ref="E185:E191">+D185/C185*100</f>
        <v>100</v>
      </c>
      <c r="F185" s="22">
        <v>2820</v>
      </c>
      <c r="G185" s="24">
        <f aca="true" t="shared" si="73" ref="G185:G191">+F185/C185*100</f>
        <v>100</v>
      </c>
      <c r="H185" s="70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87">
        <f>+AT185+AU185+AW185+AX185</f>
        <v>2820</v>
      </c>
      <c r="AT185" s="28">
        <v>0</v>
      </c>
      <c r="AU185" s="15">
        <v>2820</v>
      </c>
      <c r="AV185" s="73">
        <v>0</v>
      </c>
      <c r="AW185" s="28">
        <v>0</v>
      </c>
      <c r="AX185" s="28">
        <v>0</v>
      </c>
      <c r="AY185" s="28"/>
      <c r="AZ185" s="23"/>
      <c r="BA185" s="30"/>
      <c r="BB185" s="31"/>
      <c r="BC185" s="31"/>
      <c r="BD185" s="15">
        <v>2820</v>
      </c>
      <c r="BE185" s="40">
        <f>+BD185/1.2</f>
        <v>2350</v>
      </c>
      <c r="BF185" s="40">
        <f>+BE185*0.2</f>
        <v>470</v>
      </c>
      <c r="BG185" s="136">
        <v>1252</v>
      </c>
      <c r="BH185" s="150" t="s">
        <v>187</v>
      </c>
      <c r="BI185" s="150">
        <v>751845</v>
      </c>
      <c r="BJ185" s="150">
        <v>160300</v>
      </c>
    </row>
    <row r="186" spans="1:62" s="31" customFormat="1" ht="23.25" customHeight="1">
      <c r="A186" s="9" t="s">
        <v>127</v>
      </c>
      <c r="B186" s="15">
        <v>3116</v>
      </c>
      <c r="C186" s="15">
        <v>3116</v>
      </c>
      <c r="D186" s="22">
        <v>3116</v>
      </c>
      <c r="E186" s="24">
        <f t="shared" si="72"/>
        <v>100</v>
      </c>
      <c r="F186" s="71" t="s">
        <v>166</v>
      </c>
      <c r="G186" s="71" t="s">
        <v>166</v>
      </c>
      <c r="H186" s="70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87">
        <f>+AT186+AU186+AW186+AX186</f>
        <v>3116</v>
      </c>
      <c r="AT186" s="28">
        <v>0</v>
      </c>
      <c r="AU186" s="15">
        <v>3116</v>
      </c>
      <c r="AV186" s="73">
        <v>0</v>
      </c>
      <c r="AW186" s="28">
        <v>0</v>
      </c>
      <c r="AX186" s="28">
        <v>0</v>
      </c>
      <c r="AY186" s="28"/>
      <c r="AZ186" s="67"/>
      <c r="BA186" s="30"/>
      <c r="BD186" s="15">
        <v>3116</v>
      </c>
      <c r="BE186" s="40">
        <f>+BD186/1.2</f>
        <v>2596.666666666667</v>
      </c>
      <c r="BF186" s="40">
        <f>+BE186*0.2</f>
        <v>519.3333333333334</v>
      </c>
      <c r="BG186" s="136">
        <v>1252</v>
      </c>
      <c r="BH186" s="150" t="s">
        <v>187</v>
      </c>
      <c r="BI186" s="150">
        <v>751845</v>
      </c>
      <c r="BJ186" s="150">
        <v>160300</v>
      </c>
    </row>
    <row r="187" spans="1:62" s="31" customFormat="1" ht="23.25" customHeight="1">
      <c r="A187" s="9" t="s">
        <v>217</v>
      </c>
      <c r="B187" s="15">
        <v>0</v>
      </c>
      <c r="C187" s="15">
        <v>4000</v>
      </c>
      <c r="D187" s="22">
        <v>4000</v>
      </c>
      <c r="E187" s="24">
        <f t="shared" si="72"/>
        <v>100</v>
      </c>
      <c r="F187" s="22">
        <v>4000</v>
      </c>
      <c r="G187" s="24">
        <f t="shared" si="73"/>
        <v>100</v>
      </c>
      <c r="H187" s="70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87">
        <f>+AT187+AU187+AW187+AX187</f>
        <v>3116</v>
      </c>
      <c r="AT187" s="28">
        <v>0</v>
      </c>
      <c r="AU187" s="15">
        <v>3116</v>
      </c>
      <c r="AV187" s="73">
        <v>0</v>
      </c>
      <c r="AW187" s="28">
        <v>0</v>
      </c>
      <c r="AX187" s="28">
        <v>0</v>
      </c>
      <c r="AY187" s="28"/>
      <c r="AZ187" s="67"/>
      <c r="BA187" s="30"/>
      <c r="BD187" s="15">
        <v>3116</v>
      </c>
      <c r="BE187" s="40">
        <f>+BD187/1.2</f>
        <v>2596.666666666667</v>
      </c>
      <c r="BF187" s="40">
        <f>+BE187*0.2</f>
        <v>519.3333333333334</v>
      </c>
      <c r="BG187" s="136">
        <v>1252</v>
      </c>
      <c r="BH187" s="150" t="s">
        <v>187</v>
      </c>
      <c r="BI187" s="150">
        <v>751845</v>
      </c>
      <c r="BJ187" s="150">
        <v>160300</v>
      </c>
    </row>
    <row r="188" spans="1:62" s="31" customFormat="1" ht="23.25" customHeight="1">
      <c r="A188" s="9" t="s">
        <v>218</v>
      </c>
      <c r="B188" s="15">
        <v>0</v>
      </c>
      <c r="C188" s="15">
        <v>11045</v>
      </c>
      <c r="D188" s="22">
        <v>11045</v>
      </c>
      <c r="E188" s="24">
        <f>+D188/C188*100</f>
        <v>100</v>
      </c>
      <c r="F188" s="22">
        <f>5522+5523</f>
        <v>11045</v>
      </c>
      <c r="G188" s="24">
        <f>+F188/C188*100</f>
        <v>100</v>
      </c>
      <c r="H188" s="70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87">
        <f>+AT188+AU188+AW188+AX188</f>
        <v>3116</v>
      </c>
      <c r="AT188" s="28">
        <v>0</v>
      </c>
      <c r="AU188" s="15">
        <v>3116</v>
      </c>
      <c r="AV188" s="73">
        <v>0</v>
      </c>
      <c r="AW188" s="28">
        <v>0</v>
      </c>
      <c r="AX188" s="28">
        <v>0</v>
      </c>
      <c r="AY188" s="28"/>
      <c r="AZ188" s="67"/>
      <c r="BA188" s="30"/>
      <c r="BD188" s="15">
        <v>3116</v>
      </c>
      <c r="BE188" s="40">
        <f>+BD188/1.2</f>
        <v>2596.666666666667</v>
      </c>
      <c r="BF188" s="40">
        <f>+BE188*0.2</f>
        <v>519.3333333333334</v>
      </c>
      <c r="BG188" s="136">
        <v>1252</v>
      </c>
      <c r="BH188" s="150" t="s">
        <v>187</v>
      </c>
      <c r="BI188" s="150">
        <v>751845</v>
      </c>
      <c r="BJ188" s="150">
        <v>160300</v>
      </c>
    </row>
    <row r="189" spans="1:62" s="31" customFormat="1" ht="23.25" customHeight="1">
      <c r="A189" s="9" t="s">
        <v>243</v>
      </c>
      <c r="B189" s="15">
        <v>0</v>
      </c>
      <c r="C189" s="15">
        <v>57720</v>
      </c>
      <c r="D189" s="22">
        <v>57720</v>
      </c>
      <c r="E189" s="24">
        <f t="shared" si="72"/>
        <v>100</v>
      </c>
      <c r="F189" s="22">
        <v>57720</v>
      </c>
      <c r="G189" s="24">
        <f t="shared" si="73"/>
        <v>100</v>
      </c>
      <c r="H189" s="70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87">
        <f>+AT189+AU189+AW189+AX189</f>
        <v>3116</v>
      </c>
      <c r="AT189" s="28">
        <v>0</v>
      </c>
      <c r="AU189" s="15">
        <v>3116</v>
      </c>
      <c r="AV189" s="73">
        <v>0</v>
      </c>
      <c r="AW189" s="28">
        <v>0</v>
      </c>
      <c r="AX189" s="28">
        <v>0</v>
      </c>
      <c r="AY189" s="28"/>
      <c r="AZ189" s="67"/>
      <c r="BA189" s="30"/>
      <c r="BD189" s="15">
        <v>3116</v>
      </c>
      <c r="BE189" s="40">
        <f>+BD189/1.2</f>
        <v>2596.666666666667</v>
      </c>
      <c r="BF189" s="40">
        <f>+BE189*0.2</f>
        <v>519.3333333333334</v>
      </c>
      <c r="BG189" s="136">
        <v>1252</v>
      </c>
      <c r="BH189" s="150" t="s">
        <v>187</v>
      </c>
      <c r="BI189" s="150">
        <v>751845</v>
      </c>
      <c r="BJ189" s="150">
        <v>160300</v>
      </c>
    </row>
    <row r="190" spans="1:62" s="31" customFormat="1" ht="25.5" customHeight="1">
      <c r="A190" s="11" t="s">
        <v>51</v>
      </c>
      <c r="B190" s="20">
        <f>SUM(B185:B189)</f>
        <v>5936</v>
      </c>
      <c r="C190" s="20">
        <f>SUM(C185:C189)</f>
        <v>78701</v>
      </c>
      <c r="D190" s="20">
        <f>SUM(D185:D189)</f>
        <v>78701</v>
      </c>
      <c r="E190" s="151">
        <f t="shared" si="72"/>
        <v>100</v>
      </c>
      <c r="F190" s="20">
        <f>SUM(F185:F189)</f>
        <v>75585</v>
      </c>
      <c r="G190" s="151">
        <f t="shared" si="73"/>
        <v>96.04071104560298</v>
      </c>
      <c r="H190" s="152"/>
      <c r="I190" s="153"/>
      <c r="J190" s="153"/>
      <c r="K190" s="153"/>
      <c r="L190" s="153"/>
      <c r="M190" s="153"/>
      <c r="N190" s="153"/>
      <c r="O190" s="153"/>
      <c r="P190" s="153"/>
      <c r="Q190" s="153"/>
      <c r="R190" s="153"/>
      <c r="S190" s="153"/>
      <c r="T190" s="153"/>
      <c r="U190" s="153"/>
      <c r="V190" s="153"/>
      <c r="W190" s="153"/>
      <c r="X190" s="153"/>
      <c r="Y190" s="153"/>
      <c r="Z190" s="153"/>
      <c r="AA190" s="153"/>
      <c r="AB190" s="153"/>
      <c r="AC190" s="153"/>
      <c r="AD190" s="153"/>
      <c r="AE190" s="153"/>
      <c r="AF190" s="153"/>
      <c r="AG190" s="153"/>
      <c r="AH190" s="153"/>
      <c r="AI190" s="153"/>
      <c r="AJ190" s="153"/>
      <c r="AK190" s="153"/>
      <c r="AL190" s="153"/>
      <c r="AM190" s="153"/>
      <c r="AN190" s="153"/>
      <c r="AO190" s="153"/>
      <c r="AP190" s="153"/>
      <c r="AQ190" s="153"/>
      <c r="AR190" s="153"/>
      <c r="AS190" s="154">
        <f aca="true" t="shared" si="74" ref="AS190:AY190">SUM(AS185:AS189)</f>
        <v>15284</v>
      </c>
      <c r="AT190" s="20">
        <f t="shared" si="74"/>
        <v>0</v>
      </c>
      <c r="AU190" s="20">
        <f t="shared" si="74"/>
        <v>15284</v>
      </c>
      <c r="AV190" s="20">
        <f t="shared" si="74"/>
        <v>0</v>
      </c>
      <c r="AW190" s="20">
        <f t="shared" si="74"/>
        <v>0</v>
      </c>
      <c r="AX190" s="20">
        <f t="shared" si="74"/>
        <v>0</v>
      </c>
      <c r="AY190" s="20">
        <f t="shared" si="74"/>
        <v>0</v>
      </c>
      <c r="AZ190" s="155"/>
      <c r="BA190" s="81">
        <f>SUM(BA4:BA189)</f>
        <v>203053.2</v>
      </c>
      <c r="BB190" s="81"/>
      <c r="BC190" s="82"/>
      <c r="BD190" s="20">
        <f>SUM(BD185:BD189)</f>
        <v>15284</v>
      </c>
      <c r="BE190" s="20">
        <f>SUM(BE185:BE189)</f>
        <v>12736.666666666668</v>
      </c>
      <c r="BF190" s="20">
        <f>SUM(BF185:BF189)</f>
        <v>2547.3333333333335</v>
      </c>
      <c r="BG190" s="156"/>
      <c r="BH190" s="153"/>
      <c r="BI190" s="157"/>
      <c r="BJ190" s="150">
        <v>160300</v>
      </c>
    </row>
    <row r="191" spans="1:62" ht="31.5" customHeight="1">
      <c r="A191" s="12" t="s">
        <v>77</v>
      </c>
      <c r="B191" s="158">
        <f>+B22+B45+B50+B111+B120+B127+B132+B148+B155+B162+B183+B190</f>
        <v>1888686</v>
      </c>
      <c r="C191" s="158">
        <f>+C22+C45+C50+C111+C120+C127+C132+C148+C155+C162+C183+C190</f>
        <v>2153032</v>
      </c>
      <c r="D191" s="158">
        <f>+D22+D45+D50+D111+D120+D127+D132+D148+D155+D162+D183+D190</f>
        <v>1861324</v>
      </c>
      <c r="E191" s="159">
        <f t="shared" si="72"/>
        <v>86.45129287442082</v>
      </c>
      <c r="F191" s="158">
        <f>+F22+F45+F50+F111+F120+F127+F132+F148+F155+F162+F183+F190</f>
        <v>1495884</v>
      </c>
      <c r="G191" s="159">
        <f t="shared" si="73"/>
        <v>69.47801983435453</v>
      </c>
      <c r="H191" s="160"/>
      <c r="I191" s="161"/>
      <c r="J191" s="161"/>
      <c r="K191" s="161"/>
      <c r="L191" s="161"/>
      <c r="M191" s="161"/>
      <c r="N191" s="161"/>
      <c r="O191" s="161"/>
      <c r="P191" s="161"/>
      <c r="Q191" s="161"/>
      <c r="R191" s="161"/>
      <c r="S191" s="161"/>
      <c r="T191" s="161"/>
      <c r="U191" s="161"/>
      <c r="V191" s="161"/>
      <c r="W191" s="161"/>
      <c r="X191" s="161"/>
      <c r="Y191" s="161"/>
      <c r="Z191" s="161"/>
      <c r="AA191" s="161"/>
      <c r="AB191" s="161"/>
      <c r="AC191" s="161"/>
      <c r="AD191" s="161"/>
      <c r="AE191" s="161"/>
      <c r="AF191" s="161"/>
      <c r="AG191" s="161"/>
      <c r="AH191" s="161"/>
      <c r="AI191" s="161"/>
      <c r="AJ191" s="161"/>
      <c r="AK191" s="161"/>
      <c r="AL191" s="161"/>
      <c r="AM191" s="161"/>
      <c r="AN191" s="161"/>
      <c r="AO191" s="161"/>
      <c r="AP191" s="161"/>
      <c r="AQ191" s="161"/>
      <c r="AR191" s="161"/>
      <c r="AS191" s="162">
        <f aca="true" t="shared" si="75" ref="AS191:AY191">+AS22+AS45+AS50+AS111+AS120+AS127+AS132+AS148+AS155+AS162+AS183+AS190</f>
        <v>8533176</v>
      </c>
      <c r="AT191" s="158">
        <f t="shared" si="75"/>
        <v>3935505</v>
      </c>
      <c r="AU191" s="158">
        <f t="shared" si="75"/>
        <v>1989869</v>
      </c>
      <c r="AV191" s="158">
        <f t="shared" si="75"/>
        <v>858689.8</v>
      </c>
      <c r="AW191" s="158">
        <f t="shared" si="75"/>
        <v>1067330</v>
      </c>
      <c r="AX191" s="158">
        <f t="shared" si="75"/>
        <v>220472</v>
      </c>
      <c r="AY191" s="158">
        <f t="shared" si="75"/>
        <v>1320000</v>
      </c>
      <c r="AZ191" s="163"/>
      <c r="BA191" s="164">
        <f>+AU191-AV191</f>
        <v>1131179.2</v>
      </c>
      <c r="BB191" s="145"/>
      <c r="BC191" s="145"/>
      <c r="BD191" s="158">
        <f>+BD22+BD45+BD50+BD111+BD120+BD127+BD132+BD148+BD155+BD162+BD183+BD190</f>
        <v>2131888</v>
      </c>
      <c r="BE191" s="158">
        <f>+BE22+BE45+BE50+BE111+BE120+BE127+BE132+BE148+BE155+BE162+BE183+BE190</f>
        <v>1812101.6666666663</v>
      </c>
      <c r="BF191" s="158">
        <f>+BF22+BF45+BF50+BF111+BF120+BF127+BF132+BF148+BF155+BF162+BF183+BF190</f>
        <v>319786.3333333334</v>
      </c>
      <c r="BG191" s="165"/>
      <c r="BH191" s="161"/>
      <c r="BI191" s="166"/>
      <c r="BJ191" s="161"/>
    </row>
  </sheetData>
  <sheetProtection/>
  <mergeCells count="12">
    <mergeCell ref="A1:A2"/>
    <mergeCell ref="B1:C1"/>
    <mergeCell ref="D1:E1"/>
    <mergeCell ref="F1:G1"/>
    <mergeCell ref="BI1:BI2"/>
    <mergeCell ref="BJ1:BJ2"/>
    <mergeCell ref="H1:H2"/>
    <mergeCell ref="BE1:BE2"/>
    <mergeCell ref="BH1:BH2"/>
    <mergeCell ref="BD1:BD2"/>
    <mergeCell ref="BF1:BF2"/>
    <mergeCell ref="BG1:BG2"/>
  </mergeCells>
  <printOptions horizontalCentered="1"/>
  <pageMargins left="0.2755905511811024" right="0.15748031496062992" top="1.04" bottom="0.35433070866141736" header="0.5511811023622047" footer="0.15748031496062992"/>
  <pageSetup blackAndWhite="1" horizontalDpi="300" verticalDpi="300" orientation="landscape" paperSize="9" scale="75" r:id="rId1"/>
  <headerFooter alignWithMargins="0">
    <oddHeader>&amp;L&amp;"Times New Roman,Félkövér"&amp;12Kaposvár MJV Polgármesteri Hivatal&amp;C&amp;"Times New Roman,Félkövér"&amp;14FELHALMOZÁSI KIADÁSOK&amp;R&amp;"Times New Roman,Normál"&amp;9 15/2008 (IV.28.) sz. önk. rendelet 
 9. sz. melléklet
ezer Ft</oddHeader>
    <oddFooter>&amp;L&amp;"Times New Roman,Normál"Kaposvár,&amp;D&amp;C&amp;"Times New Roman,Normál"&amp;Z&amp;F _ &amp;A   &amp;"Times New Roman,Félkövér"  Szabó Tiborné&amp;R&amp;"Times New Roman,Normál"&amp;P/&amp;N</oddFooter>
  </headerFooter>
  <rowBreaks count="5" manualBreakCount="5">
    <brk id="63" max="255" man="1"/>
    <brk id="94" max="255" man="1"/>
    <brk id="127" max="255" man="1"/>
    <brk id="155" max="255" man="1"/>
    <brk id="1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Tulajdonos</cp:lastModifiedBy>
  <cp:lastPrinted>2008-04-25T13:55:58Z</cp:lastPrinted>
  <dcterms:created xsi:type="dcterms:W3CDTF">2006-10-17T07:01:27Z</dcterms:created>
  <dcterms:modified xsi:type="dcterms:W3CDTF">2008-04-25T13:55:59Z</dcterms:modified>
  <cp:category/>
  <cp:version/>
  <cp:contentType/>
  <cp:contentStatus/>
</cp:coreProperties>
</file>