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 B Rm4" sheetId="1" r:id="rId1"/>
  </sheets>
  <definedNames>
    <definedName name="_xlnm.Print_Titles" localSheetId="0">'9 B Rm4'!$1:$2</definedName>
    <definedName name="_xlnm.Print_Area" localSheetId="0">'9 B Rm4'!$A$1:$F$195</definedName>
  </definedNames>
  <calcPr fullCalcOnLoad="1"/>
</workbook>
</file>

<file path=xl/sharedStrings.xml><?xml version="1.0" encoding="utf-8"?>
<sst xmlns="http://schemas.openxmlformats.org/spreadsheetml/2006/main" count="211" uniqueCount="205">
  <si>
    <t>Polgármesteri Hivatal: informatikai fejlesztés   2006-2007.</t>
  </si>
  <si>
    <t>Füredi út K-i old.buszmegálló kialakítás céljából kártalanítás</t>
  </si>
  <si>
    <t>Szabályozási terv és helyi ép.szab.módosítás</t>
  </si>
  <si>
    <t xml:space="preserve">Húskombinát orvosi rendelő fűtésleválasztás (önk.rész) </t>
  </si>
  <si>
    <t>Rippl-Rónay "Szamaras kordé" szobor tervpályázat és Bors István 2 db köztéri alkotásának elhelyezése</t>
  </si>
  <si>
    <t>Szabályozási terv  karbantartása</t>
  </si>
  <si>
    <t xml:space="preserve">NOSTRA Ifjúsági és szabadidő kp.tervezési program </t>
  </si>
  <si>
    <t>Diszpolgárok táblájának megnagyobbítása</t>
  </si>
  <si>
    <t>Polgármesteri Hivatal: új MikroVoks rendszer beszerzése</t>
  </si>
  <si>
    <t>Jászai M. u. vízvez.ép. terv és vízjogi létesítési eng.terv</t>
  </si>
  <si>
    <t xml:space="preserve">V. Fürdő: vízbázisvédelmi tan.terv védőidom kijelöléshez </t>
  </si>
  <si>
    <t>"SÁÉV" telep és környező ltp rehab.-   pályázati dok.</t>
  </si>
  <si>
    <t xml:space="preserve">Házi szennyvízbeköt.utólagos kiépítése, és házi kisátemelők </t>
  </si>
  <si>
    <t>Új irattár kialakítása, SALGO polcok beszerzése, világítás korszerűsítése</t>
  </si>
  <si>
    <t>Cseri u. 10. előtt zárt kerítés építése, tervezéssel  104,8 fm</t>
  </si>
  <si>
    <t>Polgármesteri Hivatal:  klima berendezés</t>
  </si>
  <si>
    <t>Izzó u. művelési ágból kivonás, telekalakítás</t>
  </si>
  <si>
    <t xml:space="preserve"> </t>
  </si>
  <si>
    <t xml:space="preserve">Kvár-Töröcske és társult tagjai szennyvízcsatornázása céltámogatással  </t>
  </si>
  <si>
    <t xml:space="preserve">K.szentjakabi vrész és egyéb utcák sz.vízcsatornázása céltámogatással                                 </t>
  </si>
  <si>
    <t>Kisebb közvilágítási fejlesztések 2007.</t>
  </si>
  <si>
    <t>Komplex építési hulladékgazdálkodási rendszer EU - KIOP</t>
  </si>
  <si>
    <t>Földút és járdaépítési program 2007.</t>
  </si>
  <si>
    <t>Engedélyezési,  eljárási díjak és tám.kez.ktg.</t>
  </si>
  <si>
    <t>Vagyonhasznosítás egyéb kisebb kiadásai</t>
  </si>
  <si>
    <t xml:space="preserve">Ammóniamentesítés, vízminőség jav.program: címzett tám. </t>
  </si>
  <si>
    <t>Megnevezés</t>
  </si>
  <si>
    <t>Megjegyzés</t>
  </si>
  <si>
    <t>Közlekedés</t>
  </si>
  <si>
    <t>Toponár-Kaposvár összekötő úthoz  terület vásárlás</t>
  </si>
  <si>
    <t>Parkoló építése Béke u.97-99 elött    kb. 26 db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</si>
  <si>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</si>
  <si>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</si>
  <si>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</si>
  <si>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</si>
  <si>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</si>
  <si>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</si>
  <si>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 xml:space="preserve">Ingatlanvásárlás:  5375/6 hrsz Füredi út körforg.kialakításhoz </t>
  </si>
  <si>
    <t xml:space="preserve">Földterület vásárlás 21m2   Béke u.27-29. </t>
  </si>
  <si>
    <t>Kisajátítási tervek Baross u.9. és Vár 11.</t>
  </si>
  <si>
    <t>Városgazdálkodás összesen</t>
  </si>
  <si>
    <t>Széchenyi SZKI tanétterem és tanszálló   (2002-2006)</t>
  </si>
  <si>
    <t>Klebelsberg középiskolai kollégium építése</t>
  </si>
  <si>
    <t xml:space="preserve"> Oktatás összesen</t>
  </si>
  <si>
    <t>Egészségügy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</si>
  <si>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</si>
  <si>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</si>
  <si>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</si>
  <si>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</si>
  <si>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</si>
  <si>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</si>
  <si>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</si>
  <si>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Kalandpark és állat-simogató látványterv</t>
  </si>
  <si>
    <t>Művelődés, kultúra összesen</t>
  </si>
  <si>
    <t>Egyéb nem beruházási kiadások</t>
  </si>
  <si>
    <t>Helyi védett épületek felújítása</t>
  </si>
  <si>
    <t>Egyéb nem beruh.kiad. összesen</t>
  </si>
  <si>
    <t>Kompenzációs ügyletek</t>
  </si>
  <si>
    <t>Teleki u. parkolóház telekcsere</t>
  </si>
  <si>
    <t xml:space="preserve"> Kompenzációs ügyek összesen:</t>
  </si>
  <si>
    <t>DÉDÁSZ ingatlan vásárlás</t>
  </si>
  <si>
    <t>Toponári temetőben elvégzendő beruházások</t>
  </si>
  <si>
    <t>Buszvárók telepítése</t>
  </si>
  <si>
    <t>Intézmények szennyvízcsatorna rákötései</t>
  </si>
  <si>
    <t>Fő u.21. csapadékcsatorna csere</t>
  </si>
  <si>
    <t>Kaposmenti hulladékgazdálkodási program előkészítése</t>
  </si>
  <si>
    <t>Élményfürdő termálvíz tározómedence létesítése</t>
  </si>
  <si>
    <t xml:space="preserve">Élményfürdő kereskedelmi egységek építése A épület </t>
  </si>
  <si>
    <t>Élményfürdő első beszerzés</t>
  </si>
  <si>
    <t>Vagyonvédelmi berendezések</t>
  </si>
  <si>
    <t>Mintalakótelepi rekonstrukciós program II üteme</t>
  </si>
  <si>
    <t>Orvosi rendelő kialakítása Szántó u. 5. alatt</t>
  </si>
  <si>
    <t>Sportcsarnok statikai vizsgálat és rekonstrukció tervezése</t>
  </si>
  <si>
    <t>Szentjakabi Bencés Apátság állagmegóvás</t>
  </si>
  <si>
    <t>Pályázatok előkészítése, tervezési feladatok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</si>
  <si>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</si>
  <si>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</si>
  <si>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</si>
  <si>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</si>
  <si>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</si>
  <si>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</si>
  <si>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</si>
  <si>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>Körforgalom tervezése: Hársfa-Baross G-Béla Király u</t>
  </si>
  <si>
    <t>Cseri út É-i oldal csapadékvíz elvezetés pályázati önerő</t>
  </si>
  <si>
    <t xml:space="preserve">Déli temető: vill.bekötés és ravatalozó asztal </t>
  </si>
  <si>
    <t>Városi Fürdő új termálkút-fej, elektromos ellátás, töltővezeték</t>
  </si>
  <si>
    <t>Pótigény ill.átcsop.</t>
  </si>
  <si>
    <t xml:space="preserve">   Mód. új előirányzat</t>
  </si>
  <si>
    <t>Eltérés                 ( +  - )</t>
  </si>
  <si>
    <t>Ady E. u. déli tömb szabályozási terve</t>
  </si>
  <si>
    <t>Dr.Kaposvári Vétek György emléktábla</t>
  </si>
  <si>
    <t>Városháza bővítés előkészítése</t>
  </si>
  <si>
    <t>Mező u-i parkoló építés  (folyt.)</t>
  </si>
  <si>
    <t xml:space="preserve">Ingatlanvásárlás:  Guba S.u.22.volt Fazekas HISZ telephely </t>
  </si>
  <si>
    <t>Teleki u.2 sz. épület átalakítása II.ütem</t>
  </si>
  <si>
    <t>Jégcsarnok jegyzett tőke emelés</t>
  </si>
  <si>
    <t>Orgona és Margaréta u közötti játszótér építés első üteme</t>
  </si>
  <si>
    <t>Volt DRVV terület: kerítés áthelyezés</t>
  </si>
  <si>
    <t>Terhesgondozó és Cs.s.kp. Honvéd u. tervdok.átdolg.</t>
  </si>
  <si>
    <t>Cseri úti, műfű borítású sportpálya és kiegészítő létesítményei</t>
  </si>
  <si>
    <t>Polgármesteri Hivatal:  fénymásolók cseréje, eszköz-, gépbesz. 2005-2006.</t>
  </si>
  <si>
    <t>Internet terminál vásárlása 2 db használt</t>
  </si>
  <si>
    <t>Teleki u. 2. és P.Hivatal összenyitásával kapcs. átalakítás, berendezés</t>
  </si>
  <si>
    <t>Fő u.93. lakóház építés előkészítése  (építési és kiviteli terv)</t>
  </si>
  <si>
    <t>Önkormányzati bérlakásokba vízóra felszerelés</t>
  </si>
  <si>
    <t>Füredi út 148-152. 012/2hrsz ing.belterületbe csatolás</t>
  </si>
  <si>
    <t xml:space="preserve">Élményfürdő üzletrész vásárlása </t>
  </si>
  <si>
    <t>Gesztenye u. ívóvízvez.építése VKMB terh.</t>
  </si>
  <si>
    <t xml:space="preserve">Kinizsi Élip.SZKI áthely.volt Baross Koll. épületébe  </t>
  </si>
  <si>
    <t>Városi Tűzoltóság - komm.ügyeleti vezérlőrendszer</t>
  </si>
  <si>
    <t>Füredi II laktanya körny.véd.kármentesítése  (2004-2006)</t>
  </si>
  <si>
    <t>Csiky Gergely Színház rekonstrukció építési eng.tervek</t>
  </si>
  <si>
    <t>Ingatlan csere      5727/34 hrsz    2.164 m2   (Korona 2001.Kft)</t>
  </si>
  <si>
    <t>Bástya u. útépítés tervezése</t>
  </si>
  <si>
    <t>Kaposvár-K.füred kerékpárút tervezése</t>
  </si>
  <si>
    <t>Polgármesteri Hivatal szennyvíz-átemelő építése</t>
  </si>
  <si>
    <t xml:space="preserve">Szent István u. 12-22. előtt vízelvezető árok </t>
  </si>
  <si>
    <t>Vízvezeték építése: Gruber J. u</t>
  </si>
  <si>
    <t>Csapadékvízelvezetés: Losonc köz II.ütem</t>
  </si>
  <si>
    <t xml:space="preserve">Táncsics 1-3 előtt vízelvezetés </t>
  </si>
  <si>
    <t>Kaposvári "Életfa" plasztikára levelek készíttetése</t>
  </si>
  <si>
    <t>Házi kisátemelők és házi bekötések utólagos kiépítése</t>
  </si>
  <si>
    <t>Kossuth tér  közmű-kiváltások, egyéb munkák</t>
  </si>
  <si>
    <t>Közvilágítás: Kökörcsin- Galagonya-Vadkörte u.</t>
  </si>
  <si>
    <t>Csapadékvízelvezetés: Losonc köz  I.ütem</t>
  </si>
  <si>
    <t>Szilárd hulladéklerakó bővítéséhez  0132/6 hrsz ingatlan megszerzése</t>
  </si>
  <si>
    <t>Útfelújítások pályázat készítése</t>
  </si>
  <si>
    <t>Városi Tűzoltóság - műszaki mentési szakfelszerelés</t>
  </si>
  <si>
    <t>2007 évi módosított előirányzat</t>
  </si>
  <si>
    <t>Közvilágítás:   Mogyoró u, Pipitér u,  Borostyán u.</t>
  </si>
  <si>
    <t xml:space="preserve">Ált.Iskolai, Óvodai és Eü.Gondnokság telephely bővítés, átalakítás </t>
  </si>
  <si>
    <t xml:space="preserve">Oktatás </t>
  </si>
  <si>
    <t>Gördülő sportoknak pálya kialakítása a Városligetben</t>
  </si>
  <si>
    <t>Berzsenyi u.4.sz. előtt csapadékcsatorna</t>
  </si>
  <si>
    <t>Belváros rehab.tervek: Ady É-i tömb; Noszlopy térburk; Szivárvány Mozi rek.; Teleki 2. kistérségi kp.-Városháza rek.; Vár u gyalogos kapcs.kiép.</t>
  </si>
  <si>
    <t>Nyár u.- Jedlik Á.u.-Zrinyi u. által határolt terület vízrendezése</t>
  </si>
  <si>
    <t>Cseri park rekonstrukció:  megvalósíthatósági tanulmány és kiviteli tervek</t>
  </si>
  <si>
    <t>Cseri parki játszópark és köteles kalandpark tanulmányterv</t>
  </si>
  <si>
    <t xml:space="preserve">Szabályozási tervek módosítása </t>
  </si>
  <si>
    <t>SM Katasztrófavédelmi Ig.-tól javítóműhely és berend.átvétele</t>
  </si>
  <si>
    <t>Kodály és Bárczy Ált.Iskolák akadálymentesítése  önerő</t>
  </si>
  <si>
    <t>Városligeti "ÉLETFA" díszvilágítása</t>
  </si>
  <si>
    <t>Fő u. 84.   30 db önkormányzati bérlakás építés önerő</t>
  </si>
  <si>
    <t>Polgármesteri Hivatal: WV Passat szgk csere + mobil GPS</t>
  </si>
  <si>
    <t>K.Uszoda és Gyógyfürdő fejlesztés eng.terve</t>
  </si>
  <si>
    <t>Sajtószoba mobil falikép</t>
  </si>
  <si>
    <t>PH. Díszterem előterében 2 db sarokvitrin</t>
  </si>
  <si>
    <t>Keleti temető XXI.parcella urnaliget terve és kialakítása</t>
  </si>
  <si>
    <t>Ingatlanvásárlás: játszótérnek 14426 hrsz  6.398m2</t>
  </si>
  <si>
    <t xml:space="preserve">Cseri park rekonstrukció: II.ütem megvalósíthatósági tanulmány </t>
  </si>
  <si>
    <t>Ingatlanvásárlás:Piac-vásárcsarnok 31.sz.pavilon 10m2</t>
  </si>
  <si>
    <t>Füredi u.45-47.: tel.rend.kiép., riasztó felszer., számítógép csatl.kiép.</t>
  </si>
  <si>
    <t>Dr.Kiss Angyal Ernő zeneszerző emléktábla</t>
  </si>
  <si>
    <t xml:space="preserve">Ingatlanvásárlás:Piac-vásárcsarnok 63.sz.pavilon </t>
  </si>
  <si>
    <t>Ady D-i tömb  Center Invest   Ady 4 és Fő u74. lakások kompenzációs felúj.</t>
  </si>
  <si>
    <t>Ady E.u.17. és Achim A.u. ing.adásvétel és csere  Center Invest</t>
  </si>
  <si>
    <t>Városháza mélyparkoló kivit.terv</t>
  </si>
  <si>
    <t>NOSTRA eng.terv</t>
  </si>
  <si>
    <t>Nyugdíjasház hőmennyiségmérők felszerelése</t>
  </si>
  <si>
    <t xml:space="preserve">67-es út geodéziai munkarész </t>
  </si>
  <si>
    <t xml:space="preserve">  Körtönye u-val szemben a Cseri dűlőbe vezető út belterületen</t>
  </si>
  <si>
    <t xml:space="preserve">  Monostor u. egyoldali járda építése</t>
  </si>
  <si>
    <t xml:space="preserve">  Béla király u. végétől járda építése a Nyugdíjas Otthonig</t>
  </si>
  <si>
    <t xml:space="preserve">  Egyenesi u. Uránia lakóteleptől a buszfordulóig járda építése</t>
  </si>
  <si>
    <t xml:space="preserve">  Kemping u. járda építése Gém utcától kempinghez vfezető útig</t>
  </si>
  <si>
    <t>Közter.elkövetett jogsértések visszaszorítása program: műszaki eszközök</t>
  </si>
  <si>
    <t xml:space="preserve">Okmányirodai ügyfél-hívó és -tájékoztató rendszer </t>
  </si>
  <si>
    <t>Szelektív hulladékszigetek mennyiségének bővítése, leégett pótlása</t>
  </si>
  <si>
    <t>Intézmények akadálymentesítési terve 4 db</t>
  </si>
  <si>
    <t>Bárczi G.MKp Chevrolet Aveo tip.személygépkocsi beszerzése</t>
  </si>
  <si>
    <t>Geodéziai felmérések: Piac bővítése Baross G.u;  Szoc.Otthon Vak B.u.;</t>
  </si>
  <si>
    <t>K.Uszoda és Gyógyfürdő fejlesztés megvalósíthatósági tanulmány</t>
  </si>
  <si>
    <t>Léva u. csapadékvíz elvez.terv</t>
  </si>
  <si>
    <t>Arany J.u.15 fogorvosi rendelő akadályment.rámpa</t>
  </si>
  <si>
    <t>Zselickislak Dózsa Gy u.5. ing.után közműfejlesztési hozzájárulás</t>
  </si>
  <si>
    <t>Bors István:"Alakoskodó" köztéri szobor elhelyezése statikus tervezői díj</t>
  </si>
  <si>
    <t xml:space="preserve">Lakótelep rehabilitációja </t>
  </si>
  <si>
    <t>Ingatlan visszavásárlás: Somogy Áruház parkoló területe</t>
  </si>
  <si>
    <t xml:space="preserve">Ingatlanvásárlás: Pécsi u 22. egészségházhoz telek </t>
  </si>
  <si>
    <t xml:space="preserve">Pécsi u. egészségházhoz vezető út-járda tervezés </t>
  </si>
  <si>
    <t>Rippl-Rónay Emlékmúzeum látogathatóságának fejl.tan.terv</t>
  </si>
  <si>
    <t>Deseda-tó körüli túraútvonalak kialakítása.tan.terv</t>
  </si>
  <si>
    <t>Komplex turisztikai ajánlat kialakítása.előzetes mv.tanulmány</t>
  </si>
  <si>
    <t xml:space="preserve">Ady D-i tömb ingatlancsere  Center Invest </t>
  </si>
  <si>
    <t>Működő hulladéklerakó D0,D3 deponiával bővítése: tervezés</t>
  </si>
  <si>
    <t>Kvár-K.újlak kerékpárút terv önerő</t>
  </si>
  <si>
    <t>Pécsi u.22.orvosi rendelőhöz :víz-, szennyvíz-,csapadékvízvezeték terv</t>
  </si>
  <si>
    <t>Bérlakásból történő elhelyezéshez, ill. akcióterület megszerzéséhez ingatlanok vásárlása</t>
  </si>
  <si>
    <t>Liget Időskorúak Otthona: ipari mosó- és centrifúgagép</t>
  </si>
  <si>
    <t>Átcsop.céltartalék:  esélyegyenlőség biztosítása ei-ból 450eft; önkorm.önerő keretből 1.666eft</t>
  </si>
  <si>
    <t>Okmányiroda teljes körű akadálymentesítése terv, szakértői díj  és pály.önerő</t>
  </si>
  <si>
    <t>Állati hulladék kezelő telep kiviteli terv</t>
  </si>
  <si>
    <t>Működő hulladéklerakó vízjogi eng.és elektromos tervezés</t>
  </si>
  <si>
    <t>Cseri út É-i old.csapadékvíz elvez.tervkorszerűsítése és vízügyi eng.</t>
  </si>
  <si>
    <t>Belváros rehab.:  Integrált Városfejlesztési Stratégia tan.</t>
  </si>
  <si>
    <t>Átcsop:Pályázatok előkész., tervezési feladatok ei-ból</t>
  </si>
  <si>
    <t>Volt hajléktalanszálló bontási eng.terve  (Kinizsi ltp.7.)</t>
  </si>
  <si>
    <t>Egészségügy és szociális ellátás</t>
  </si>
  <si>
    <t>Támogatás: 1.000eft, intézménytől: 389eft</t>
  </si>
  <si>
    <r>
      <t xml:space="preserve">Kvár közlekedés-építési tervek </t>
    </r>
    <r>
      <rPr>
        <sz val="10"/>
        <color indexed="8"/>
        <rFont val="Times New Roman"/>
        <family val="1"/>
      </rPr>
      <t>(Béla király köz; Bartók-Zrinyi_Iszák u. körforg; Szántó u; Gárdonyi Isk.parkoló; Buzsáki u 2-6 belső út járda )</t>
    </r>
  </si>
  <si>
    <r>
      <t xml:space="preserve">Állati hulladék kezelő telep </t>
    </r>
    <r>
      <rPr>
        <sz val="11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</si>
  <si>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r>
      <t>Városi Fürdő ing.telekhatár rendezés</t>
    </r>
    <r>
      <rPr>
        <sz val="10"/>
        <color indexed="8"/>
        <rFont val="Times New Roman"/>
        <family val="1"/>
      </rPr>
      <t xml:space="preserve"> (7091/1 és 7091/2 hrsz)</t>
    </r>
  </si>
  <si>
    <r>
      <rPr>
        <b/>
        <sz val="10"/>
        <color indexed="8"/>
        <rFont val="Times New Roman"/>
        <family val="1"/>
      </rPr>
      <t>Átcsop.céltartalék:esélyegyenlőség biztosítása ei-bó</t>
    </r>
    <r>
      <rPr>
        <sz val="10"/>
        <color indexed="8"/>
        <rFont val="Times New Roman"/>
        <family val="1"/>
      </rPr>
      <t>l</t>
    </r>
    <r>
      <rPr>
        <b/>
        <sz val="10"/>
        <color indexed="8"/>
        <rFont val="Times New Roman"/>
        <family val="1"/>
      </rPr>
      <t xml:space="preserve"> 418eft  </t>
    </r>
    <r>
      <rPr>
        <sz val="10"/>
        <color indexed="8"/>
        <rFont val="Times New Roman"/>
        <family val="1"/>
      </rPr>
      <t xml:space="preserve">                                                           /Petőfi u.Bölcsőde, Arany u.Óvoda, Toldi ltp.Iskola és Táncsics Gimn./</t>
    </r>
  </si>
  <si>
    <r>
      <rPr>
        <sz val="10"/>
        <color indexed="8"/>
        <rFont val="Times New Roman"/>
        <family val="1"/>
      </rPr>
      <t xml:space="preserve">Városközpont rehab: pályázathoz településfejl.akcióterv 1.500eft,                                                   Városközpont rehab: Integrált Városfejl.Stratégia: 6.600eft,                                                                                                          Működő hull.lerakó D0- D3 depó bőv.ép.eng.; vízjogi lét.eng.terv.  4.752eft,                                                                                                                                                                 Működő hulladék lerakó közműtervek: 798eft,                                                                                                                                                            Állati hulladék-kezelő telep terv: 3.480eft,                                                                                            Cseri út É-i old.csap.víz.elvez terv korszerűsítése 341eft,                                         Volt hajléktalanszálló bontási terv: 60eft,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Rendelkezéssel lekötve:</t>
    </r>
    <r>
      <rPr>
        <i/>
        <sz val="10"/>
        <color indexed="8"/>
        <rFont val="Times New Roman"/>
        <family val="1"/>
      </rPr>
      <t xml:space="preserve"> Kvár energ.strat. 7.800eft,                                                                       </t>
    </r>
  </si>
  <si>
    <r>
      <t xml:space="preserve">Kisgát III.: telkek kialakít., műv.ágból kivonása a </t>
    </r>
    <r>
      <rPr>
        <sz val="10"/>
        <color indexed="8"/>
        <rFont val="Times New Roman"/>
        <family val="1"/>
      </rPr>
      <t>VIDEOTON</t>
    </r>
    <r>
      <rPr>
        <sz val="11"/>
        <color indexed="8"/>
        <rFont val="Times New Roman"/>
        <family val="1"/>
      </rPr>
      <t xml:space="preserve"> szakembereknek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</si>
</sst>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22" fillId="24" borderId="0" xfId="0" applyNumberFormat="1" applyFont="1" applyFill="1" applyAlignment="1">
      <alignment wrapText="1"/>
    </xf>
    <xf numFmtId="3" fontId="16" fillId="24" borderId="10" xfId="0" applyNumberFormat="1" applyFont="1" applyFill="1" applyBorder="1" applyAlignment="1">
      <alignment/>
    </xf>
    <xf numFmtId="3" fontId="16" fillId="24" borderId="11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center"/>
    </xf>
    <xf numFmtId="3" fontId="3" fillId="24" borderId="13" xfId="0" applyNumberFormat="1" applyFont="1" applyFill="1" applyBorder="1" applyAlignment="1">
      <alignment horizontal="left" wrapText="1"/>
    </xf>
    <xf numFmtId="3" fontId="23" fillId="24" borderId="11" xfId="0" applyNumberFormat="1" applyFont="1" applyFill="1" applyBorder="1" applyAlignment="1">
      <alignment/>
    </xf>
    <xf numFmtId="3" fontId="22" fillId="24" borderId="12" xfId="0" applyNumberFormat="1" applyFont="1" applyFill="1" applyBorder="1" applyAlignment="1">
      <alignment horizontal="center" wrapText="1"/>
    </xf>
    <xf numFmtId="0" fontId="3" fillId="24" borderId="13" xfId="0" applyFont="1" applyFill="1" applyBorder="1" applyAlignment="1">
      <alignment wrapText="1"/>
    </xf>
    <xf numFmtId="3" fontId="22" fillId="24" borderId="12" xfId="0" applyNumberFormat="1" applyFont="1" applyFill="1" applyBorder="1" applyAlignment="1">
      <alignment horizontal="left"/>
    </xf>
    <xf numFmtId="3" fontId="3" fillId="24" borderId="12" xfId="0" applyNumberFormat="1" applyFont="1" applyFill="1" applyBorder="1" applyAlignment="1">
      <alignment horizontal="center" wrapText="1"/>
    </xf>
    <xf numFmtId="3" fontId="3" fillId="24" borderId="13" xfId="0" applyNumberFormat="1" applyFont="1" applyFill="1" applyBorder="1" applyAlignment="1">
      <alignment wrapText="1"/>
    </xf>
    <xf numFmtId="3" fontId="23" fillId="24" borderId="11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left" wrapText="1"/>
    </xf>
    <xf numFmtId="3" fontId="3" fillId="24" borderId="0" xfId="0" applyNumberFormat="1" applyFont="1" applyFill="1" applyAlignment="1">
      <alignment/>
    </xf>
    <xf numFmtId="3" fontId="3" fillId="24" borderId="13" xfId="0" applyNumberFormat="1" applyFont="1" applyFill="1" applyBorder="1" applyAlignment="1">
      <alignment horizontal="left"/>
    </xf>
    <xf numFmtId="3" fontId="22" fillId="24" borderId="0" xfId="0" applyNumberFormat="1" applyFont="1" applyFill="1" applyAlignment="1">
      <alignment/>
    </xf>
    <xf numFmtId="3" fontId="16" fillId="24" borderId="14" xfId="0" applyNumberFormat="1" applyFont="1" applyFill="1" applyBorder="1" applyAlignment="1">
      <alignment horizontal="right"/>
    </xf>
    <xf numFmtId="3" fontId="20" fillId="24" borderId="15" xfId="56" applyNumberFormat="1" applyFont="1" applyFill="1" applyBorder="1" applyAlignment="1">
      <alignment horizontal="right" wrapText="1"/>
      <protection/>
    </xf>
    <xf numFmtId="3" fontId="16" fillId="24" borderId="16" xfId="0" applyNumberFormat="1" applyFont="1" applyFill="1" applyBorder="1" applyAlignment="1">
      <alignment horizontal="center"/>
    </xf>
    <xf numFmtId="3" fontId="21" fillId="24" borderId="0" xfId="0" applyNumberFormat="1" applyFont="1" applyFill="1" applyAlignment="1">
      <alignment wrapText="1"/>
    </xf>
    <xf numFmtId="3" fontId="16" fillId="24" borderId="13" xfId="0" applyNumberFormat="1" applyFont="1" applyFill="1" applyBorder="1" applyAlignment="1">
      <alignment/>
    </xf>
    <xf numFmtId="164" fontId="23" fillId="24" borderId="11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center" wrapText="1"/>
    </xf>
    <xf numFmtId="0" fontId="22" fillId="24" borderId="0" xfId="0" applyFont="1" applyFill="1" applyAlignment="1">
      <alignment/>
    </xf>
    <xf numFmtId="0" fontId="3" fillId="24" borderId="13" xfId="0" applyFont="1" applyFill="1" applyBorder="1" applyAlignment="1">
      <alignment/>
    </xf>
    <xf numFmtId="3" fontId="3" fillId="24" borderId="12" xfId="0" applyNumberFormat="1" applyFont="1" applyFill="1" applyBorder="1" applyAlignment="1">
      <alignment horizontal="left" wrapText="1"/>
    </xf>
    <xf numFmtId="164" fontId="23" fillId="24" borderId="13" xfId="0" applyNumberFormat="1" applyFont="1" applyFill="1" applyBorder="1" applyAlignment="1">
      <alignment horizontal="left" wrapText="1"/>
    </xf>
    <xf numFmtId="3" fontId="3" fillId="24" borderId="17" xfId="0" applyNumberFormat="1" applyFont="1" applyFill="1" applyBorder="1" applyAlignment="1">
      <alignment horizontal="left"/>
    </xf>
    <xf numFmtId="3" fontId="23" fillId="24" borderId="18" xfId="0" applyNumberFormat="1" applyFont="1" applyFill="1" applyBorder="1" applyAlignment="1">
      <alignment/>
    </xf>
    <xf numFmtId="3" fontId="22" fillId="24" borderId="19" xfId="0" applyNumberFormat="1" applyFont="1" applyFill="1" applyBorder="1" applyAlignment="1">
      <alignment horizontal="left" wrapText="1"/>
    </xf>
    <xf numFmtId="3" fontId="3" fillId="24" borderId="13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 horizontal="left"/>
    </xf>
    <xf numFmtId="0" fontId="23" fillId="24" borderId="13" xfId="0" applyFont="1" applyFill="1" applyBorder="1" applyAlignment="1">
      <alignment wrapText="1"/>
    </xf>
    <xf numFmtId="0" fontId="2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/>
    </xf>
    <xf numFmtId="3" fontId="22" fillId="24" borderId="12" xfId="0" applyNumberFormat="1" applyFont="1" applyFill="1" applyBorder="1" applyAlignment="1">
      <alignment horizontal="center"/>
    </xf>
    <xf numFmtId="0" fontId="3" fillId="24" borderId="17" xfId="0" applyFont="1" applyFill="1" applyBorder="1" applyAlignment="1">
      <alignment wrapText="1"/>
    </xf>
    <xf numFmtId="3" fontId="22" fillId="24" borderId="19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left" wrapText="1"/>
    </xf>
    <xf numFmtId="0" fontId="22" fillId="24" borderId="13" xfId="0" applyFont="1" applyFill="1" applyBorder="1" applyAlignment="1">
      <alignment wrapText="1"/>
    </xf>
    <xf numFmtId="164" fontId="23" fillId="24" borderId="11" xfId="0" applyNumberFormat="1" applyFont="1" applyFill="1" applyBorder="1" applyAlignment="1">
      <alignment/>
    </xf>
    <xf numFmtId="3" fontId="23" fillId="24" borderId="12" xfId="0" applyNumberFormat="1" applyFont="1" applyFill="1" applyBorder="1" applyAlignment="1">
      <alignment/>
    </xf>
    <xf numFmtId="3" fontId="22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 wrapText="1"/>
    </xf>
    <xf numFmtId="3" fontId="3" fillId="24" borderId="17" xfId="0" applyNumberFormat="1" applyFont="1" applyFill="1" applyBorder="1" applyAlignment="1">
      <alignment wrapText="1"/>
    </xf>
    <xf numFmtId="3" fontId="3" fillId="24" borderId="19" xfId="0" applyNumberFormat="1" applyFont="1" applyFill="1" applyBorder="1" applyAlignment="1">
      <alignment horizontal="center" wrapText="1"/>
    </xf>
    <xf numFmtId="3" fontId="22" fillId="24" borderId="0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 horizontal="right" wrapText="1"/>
    </xf>
    <xf numFmtId="3" fontId="3" fillId="24" borderId="19" xfId="0" applyNumberFormat="1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wrapText="1"/>
    </xf>
    <xf numFmtId="3" fontId="20" fillId="24" borderId="13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 wrapText="1"/>
    </xf>
    <xf numFmtId="3" fontId="21" fillId="24" borderId="12" xfId="0" applyNumberFormat="1" applyFont="1" applyFill="1" applyBorder="1" applyAlignment="1">
      <alignment horizontal="right" wrapText="1"/>
    </xf>
    <xf numFmtId="3" fontId="23" fillId="24" borderId="0" xfId="0" applyNumberFormat="1" applyFont="1" applyFill="1" applyAlignment="1">
      <alignment/>
    </xf>
    <xf numFmtId="3" fontId="16" fillId="24" borderId="13" xfId="0" applyNumberFormat="1" applyFont="1" applyFill="1" applyBorder="1" applyAlignment="1">
      <alignment wrapText="1"/>
    </xf>
    <xf numFmtId="3" fontId="16" fillId="24" borderId="12" xfId="0" applyNumberFormat="1" applyFont="1" applyFill="1" applyBorder="1" applyAlignment="1">
      <alignment horizontal="center" wrapText="1"/>
    </xf>
    <xf numFmtId="3" fontId="16" fillId="24" borderId="20" xfId="0" applyNumberFormat="1" applyFont="1" applyFill="1" applyBorder="1" applyAlignment="1">
      <alignment horizontal="right"/>
    </xf>
    <xf numFmtId="3" fontId="20" fillId="24" borderId="21" xfId="56" applyNumberFormat="1" applyFont="1" applyFill="1" applyBorder="1" applyAlignment="1">
      <alignment horizontal="right" wrapText="1"/>
      <protection/>
    </xf>
    <xf numFmtId="3" fontId="16" fillId="24" borderId="22" xfId="0" applyNumberFormat="1" applyFont="1" applyFill="1" applyBorder="1" applyAlignment="1">
      <alignment horizontal="center"/>
    </xf>
    <xf numFmtId="3" fontId="20" fillId="24" borderId="23" xfId="0" applyNumberFormat="1" applyFont="1" applyFill="1" applyBorder="1" applyAlignment="1">
      <alignment wrapText="1"/>
    </xf>
    <xf numFmtId="3" fontId="20" fillId="24" borderId="24" xfId="56" applyNumberFormat="1" applyFont="1" applyFill="1" applyBorder="1" applyAlignment="1">
      <alignment horizontal="right" wrapText="1"/>
      <protection/>
    </xf>
    <xf numFmtId="3" fontId="20" fillId="24" borderId="25" xfId="0" applyNumberFormat="1" applyFont="1" applyFill="1" applyBorder="1" applyAlignment="1">
      <alignment horizontal="center" wrapText="1"/>
    </xf>
    <xf numFmtId="3" fontId="22" fillId="24" borderId="0" xfId="0" applyNumberFormat="1" applyFont="1" applyFill="1" applyBorder="1" applyAlignment="1">
      <alignment wrapText="1"/>
    </xf>
    <xf numFmtId="3" fontId="22" fillId="24" borderId="0" xfId="0" applyNumberFormat="1" applyFont="1" applyFill="1" applyBorder="1" applyAlignment="1">
      <alignment horizontal="center" wrapText="1"/>
    </xf>
    <xf numFmtId="0" fontId="21" fillId="24" borderId="24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horizontal="center" vertical="center" wrapText="1"/>
    </xf>
    <xf numFmtId="3" fontId="20" fillId="24" borderId="23" xfId="0" applyNumberFormat="1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Pályázatok 200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F19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74.375" style="66" customWidth="1"/>
    <col min="2" max="2" width="12.75390625" style="66" customWidth="1"/>
    <col min="3" max="3" width="13.375" style="66" customWidth="1"/>
    <col min="4" max="4" width="12.375" style="66" customWidth="1"/>
    <col min="5" max="5" width="11.25390625" style="66" customWidth="1"/>
    <col min="6" max="6" width="58.25390625" style="67" customWidth="1"/>
    <col min="7" max="16384" width="9.125" style="16" customWidth="1"/>
  </cols>
  <sheetData>
    <row r="1" spans="1:6" s="1" customFormat="1" ht="24" customHeight="1">
      <c r="A1" s="70" t="s">
        <v>26</v>
      </c>
      <c r="B1" s="71" t="s">
        <v>128</v>
      </c>
      <c r="C1" s="68" t="s">
        <v>86</v>
      </c>
      <c r="D1" s="68" t="s">
        <v>87</v>
      </c>
      <c r="E1" s="68" t="s">
        <v>88</v>
      </c>
      <c r="F1" s="69" t="s">
        <v>27</v>
      </c>
    </row>
    <row r="2" spans="1:6" s="1" customFormat="1" ht="16.5" customHeight="1">
      <c r="A2" s="70"/>
      <c r="B2" s="72"/>
      <c r="C2" s="68"/>
      <c r="D2" s="68"/>
      <c r="E2" s="68"/>
      <c r="F2" s="69"/>
    </row>
    <row r="3" spans="1:6" s="1" customFormat="1" ht="18" customHeight="1">
      <c r="A3" s="2" t="s">
        <v>28</v>
      </c>
      <c r="B3" s="3"/>
      <c r="C3" s="3"/>
      <c r="D3" s="3"/>
      <c r="E3" s="3"/>
      <c r="F3" s="4"/>
    </row>
    <row r="4" spans="1:6" s="1" customFormat="1" ht="17.25" customHeight="1">
      <c r="A4" s="5" t="s">
        <v>30</v>
      </c>
      <c r="B4" s="6">
        <v>377</v>
      </c>
      <c r="C4" s="6">
        <v>0</v>
      </c>
      <c r="D4" s="6">
        <f aca="true" t="shared" si="0" ref="D4:D17">+B4+C4</f>
        <v>377</v>
      </c>
      <c r="E4" s="6">
        <f aca="true" t="shared" si="1" ref="E4:E17">+D4-B4</f>
        <v>0</v>
      </c>
      <c r="F4" s="7"/>
    </row>
    <row r="5" spans="1:6" s="1" customFormat="1" ht="17.25" customHeight="1">
      <c r="A5" s="8" t="s">
        <v>82</v>
      </c>
      <c r="B5" s="6">
        <f>1320-1080</f>
        <v>240</v>
      </c>
      <c r="C5" s="6">
        <v>0</v>
      </c>
      <c r="D5" s="6">
        <f t="shared" si="0"/>
        <v>240</v>
      </c>
      <c r="E5" s="6">
        <f t="shared" si="1"/>
        <v>0</v>
      </c>
      <c r="F5" s="9"/>
    </row>
    <row r="6" spans="1:6" s="1" customFormat="1" ht="17.25" customHeight="1">
      <c r="A6" s="5" t="s">
        <v>122</v>
      </c>
      <c r="B6" s="6">
        <v>304</v>
      </c>
      <c r="C6" s="6">
        <v>0</v>
      </c>
      <c r="D6" s="6">
        <f t="shared" si="0"/>
        <v>304</v>
      </c>
      <c r="E6" s="6">
        <f t="shared" si="1"/>
        <v>0</v>
      </c>
      <c r="F6" s="10"/>
    </row>
    <row r="7" spans="1:6" s="14" customFormat="1" ht="17.25" customHeight="1">
      <c r="A7" s="11" t="s">
        <v>22</v>
      </c>
      <c r="B7" s="12">
        <v>0</v>
      </c>
      <c r="C7" s="6">
        <v>0</v>
      </c>
      <c r="D7" s="6">
        <f t="shared" si="0"/>
        <v>0</v>
      </c>
      <c r="E7" s="12">
        <f t="shared" si="1"/>
        <v>0</v>
      </c>
      <c r="F7" s="13"/>
    </row>
    <row r="8" spans="1:6" s="14" customFormat="1" ht="17.25" customHeight="1">
      <c r="A8" s="11" t="s">
        <v>160</v>
      </c>
      <c r="B8" s="12">
        <f>4770+192</f>
        <v>4962</v>
      </c>
      <c r="C8" s="6">
        <v>0</v>
      </c>
      <c r="D8" s="6">
        <f t="shared" si="0"/>
        <v>4962</v>
      </c>
      <c r="E8" s="12">
        <f t="shared" si="1"/>
        <v>0</v>
      </c>
      <c r="F8" s="10"/>
    </row>
    <row r="9" spans="1:6" s="14" customFormat="1" ht="17.25" customHeight="1">
      <c r="A9" s="11" t="s">
        <v>161</v>
      </c>
      <c r="B9" s="12">
        <f>6619+258</f>
        <v>6877</v>
      </c>
      <c r="C9" s="6">
        <v>0</v>
      </c>
      <c r="D9" s="6">
        <f t="shared" si="0"/>
        <v>6877</v>
      </c>
      <c r="E9" s="12">
        <f t="shared" si="1"/>
        <v>0</v>
      </c>
      <c r="F9" s="10"/>
    </row>
    <row r="10" spans="1:6" s="14" customFormat="1" ht="17.25" customHeight="1">
      <c r="A10" s="11" t="s">
        <v>162</v>
      </c>
      <c r="B10" s="12">
        <f>3757+108</f>
        <v>3865</v>
      </c>
      <c r="C10" s="6">
        <v>0</v>
      </c>
      <c r="D10" s="6">
        <f t="shared" si="0"/>
        <v>3865</v>
      </c>
      <c r="E10" s="12">
        <f t="shared" si="1"/>
        <v>0</v>
      </c>
      <c r="F10" s="10"/>
    </row>
    <row r="11" spans="1:6" s="14" customFormat="1" ht="17.25" customHeight="1">
      <c r="A11" s="11" t="s">
        <v>163</v>
      </c>
      <c r="B11" s="12">
        <v>4380</v>
      </c>
      <c r="C11" s="6">
        <v>0</v>
      </c>
      <c r="D11" s="6">
        <f t="shared" si="0"/>
        <v>4380</v>
      </c>
      <c r="E11" s="12">
        <f t="shared" si="1"/>
        <v>0</v>
      </c>
      <c r="F11" s="10"/>
    </row>
    <row r="12" spans="1:6" s="14" customFormat="1" ht="17.25" customHeight="1">
      <c r="A12" s="11" t="s">
        <v>164</v>
      </c>
      <c r="B12" s="12">
        <f>1623+115</f>
        <v>1738</v>
      </c>
      <c r="C12" s="6">
        <v>0</v>
      </c>
      <c r="D12" s="6">
        <f t="shared" si="0"/>
        <v>1738</v>
      </c>
      <c r="E12" s="12">
        <f t="shared" si="1"/>
        <v>0</v>
      </c>
      <c r="F12" s="10"/>
    </row>
    <row r="13" spans="1:6" s="14" customFormat="1" ht="17.25" customHeight="1">
      <c r="A13" s="11" t="s">
        <v>62</v>
      </c>
      <c r="B13" s="12">
        <v>3000</v>
      </c>
      <c r="C13" s="6">
        <v>0</v>
      </c>
      <c r="D13" s="12">
        <f t="shared" si="0"/>
        <v>3000</v>
      </c>
      <c r="E13" s="12">
        <f t="shared" si="1"/>
        <v>0</v>
      </c>
      <c r="F13" s="10"/>
    </row>
    <row r="14" spans="1:6" s="14" customFormat="1" ht="17.25" customHeight="1">
      <c r="A14" s="11" t="s">
        <v>114</v>
      </c>
      <c r="B14" s="12">
        <v>6000</v>
      </c>
      <c r="C14" s="6">
        <v>0</v>
      </c>
      <c r="D14" s="12">
        <f t="shared" si="0"/>
        <v>6000</v>
      </c>
      <c r="E14" s="12">
        <f t="shared" si="1"/>
        <v>0</v>
      </c>
      <c r="F14" s="10"/>
    </row>
    <row r="15" spans="1:6" s="1" customFormat="1" ht="17.25" customHeight="1">
      <c r="A15" s="15" t="s">
        <v>185</v>
      </c>
      <c r="B15" s="6">
        <v>1700</v>
      </c>
      <c r="C15" s="6">
        <v>0</v>
      </c>
      <c r="D15" s="6">
        <f>+B15+C15</f>
        <v>1700</v>
      </c>
      <c r="E15" s="6">
        <f>+D15-B15</f>
        <v>0</v>
      </c>
      <c r="F15" s="13"/>
    </row>
    <row r="16" spans="1:6" ht="17.25" customHeight="1">
      <c r="A16" s="11" t="s">
        <v>113</v>
      </c>
      <c r="B16" s="12">
        <v>2500</v>
      </c>
      <c r="C16" s="6">
        <v>0</v>
      </c>
      <c r="D16" s="12">
        <f t="shared" si="0"/>
        <v>2500</v>
      </c>
      <c r="E16" s="12">
        <f t="shared" si="1"/>
        <v>0</v>
      </c>
      <c r="F16" s="10"/>
    </row>
    <row r="17" spans="1:6" ht="17.25" customHeight="1">
      <c r="A17" s="11" t="s">
        <v>92</v>
      </c>
      <c r="B17" s="12">
        <v>3000</v>
      </c>
      <c r="C17" s="6">
        <v>0</v>
      </c>
      <c r="D17" s="12">
        <f t="shared" si="0"/>
        <v>3000</v>
      </c>
      <c r="E17" s="12">
        <f t="shared" si="1"/>
        <v>0</v>
      </c>
      <c r="F17" s="10"/>
    </row>
    <row r="18" spans="1:6" s="1" customFormat="1" ht="17.25" customHeight="1">
      <c r="A18" s="5" t="s">
        <v>29</v>
      </c>
      <c r="B18" s="6">
        <v>6036</v>
      </c>
      <c r="C18" s="6">
        <v>0</v>
      </c>
      <c r="D18" s="6">
        <f>+B18+C18</f>
        <v>6036</v>
      </c>
      <c r="E18" s="6">
        <f>+D18-B18</f>
        <v>0</v>
      </c>
      <c r="F18" s="10"/>
    </row>
    <row r="19" spans="1:6" s="1" customFormat="1" ht="33.75" customHeight="1">
      <c r="A19" s="5" t="s">
        <v>199</v>
      </c>
      <c r="B19" s="6">
        <f>720+672</f>
        <v>1392</v>
      </c>
      <c r="C19" s="6">
        <v>0</v>
      </c>
      <c r="D19" s="6">
        <f>+B19+C19</f>
        <v>1392</v>
      </c>
      <c r="E19" s="6">
        <f>+D19-B19</f>
        <v>0</v>
      </c>
      <c r="F19" s="13"/>
    </row>
    <row r="20" spans="1:6" s="1" customFormat="1" ht="17.25" customHeight="1">
      <c r="A20" s="5" t="s">
        <v>1</v>
      </c>
      <c r="B20" s="6">
        <v>486</v>
      </c>
      <c r="C20" s="6">
        <v>0</v>
      </c>
      <c r="D20" s="6">
        <f>+B20+C20</f>
        <v>486</v>
      </c>
      <c r="E20" s="6">
        <f>+D20-B20</f>
        <v>0</v>
      </c>
      <c r="F20" s="9"/>
    </row>
    <row r="21" spans="1:6" s="1" customFormat="1" ht="17.25" customHeight="1">
      <c r="A21" s="15" t="s">
        <v>179</v>
      </c>
      <c r="B21" s="6">
        <v>764</v>
      </c>
      <c r="C21" s="6">
        <v>0</v>
      </c>
      <c r="D21" s="6">
        <f>+B21+C21</f>
        <v>764</v>
      </c>
      <c r="E21" s="6">
        <f>+D21-B21</f>
        <v>0</v>
      </c>
      <c r="F21" s="13"/>
    </row>
    <row r="22" spans="1:6" s="20" customFormat="1" ht="18" customHeight="1">
      <c r="A22" s="17" t="s">
        <v>31</v>
      </c>
      <c r="B22" s="18">
        <f>SUM(B4:B21)</f>
        <v>47621</v>
      </c>
      <c r="C22" s="18">
        <f>SUM(C4:C21)</f>
        <v>0</v>
      </c>
      <c r="D22" s="18">
        <f>SUM(D4:D21)</f>
        <v>47621</v>
      </c>
      <c r="E22" s="18">
        <f>SUM(E4:E21)</f>
        <v>0</v>
      </c>
      <c r="F22" s="19"/>
    </row>
    <row r="23" spans="1:6" s="1" customFormat="1" ht="18" customHeight="1">
      <c r="A23" s="21" t="s">
        <v>32</v>
      </c>
      <c r="B23" s="6"/>
      <c r="C23" s="6"/>
      <c r="D23" s="6"/>
      <c r="E23" s="6"/>
      <c r="F23" s="4"/>
    </row>
    <row r="24" spans="1:6" s="24" customFormat="1" ht="16.5" customHeight="1">
      <c r="A24" s="8" t="s">
        <v>18</v>
      </c>
      <c r="B24" s="22">
        <f>173455+173742</f>
        <v>347197</v>
      </c>
      <c r="C24" s="12">
        <v>0</v>
      </c>
      <c r="D24" s="22">
        <f aca="true" t="shared" si="2" ref="D24:D45">+B24+C24</f>
        <v>347197</v>
      </c>
      <c r="E24" s="12">
        <f aca="true" t="shared" si="3" ref="E24:E45">+D24-B24</f>
        <v>0</v>
      </c>
      <c r="F24" s="23"/>
    </row>
    <row r="25" spans="1:6" s="24" customFormat="1" ht="16.5" customHeight="1">
      <c r="A25" s="8" t="s">
        <v>19</v>
      </c>
      <c r="B25" s="22">
        <f>43344+432+432</f>
        <v>44208</v>
      </c>
      <c r="C25" s="12">
        <v>0</v>
      </c>
      <c r="D25" s="22">
        <f t="shared" si="2"/>
        <v>44208</v>
      </c>
      <c r="E25" s="12">
        <f t="shared" si="3"/>
        <v>0</v>
      </c>
      <c r="F25" s="23"/>
    </row>
    <row r="26" spans="1:6" s="24" customFormat="1" ht="16.5" customHeight="1">
      <c r="A26" s="8" t="s">
        <v>25</v>
      </c>
      <c r="B26" s="22">
        <f>217440+2880</f>
        <v>220320</v>
      </c>
      <c r="C26" s="12">
        <v>0</v>
      </c>
      <c r="D26" s="22">
        <f t="shared" si="2"/>
        <v>220320</v>
      </c>
      <c r="E26" s="12">
        <f t="shared" si="3"/>
        <v>0</v>
      </c>
      <c r="F26" s="23"/>
    </row>
    <row r="27" spans="1:6" s="1" customFormat="1" ht="16.5" customHeight="1">
      <c r="A27" s="25" t="s">
        <v>121</v>
      </c>
      <c r="B27" s="6">
        <v>310</v>
      </c>
      <c r="C27" s="6">
        <v>0</v>
      </c>
      <c r="D27" s="6">
        <f t="shared" si="2"/>
        <v>310</v>
      </c>
      <c r="E27" s="6">
        <f t="shared" si="3"/>
        <v>0</v>
      </c>
      <c r="F27" s="10"/>
    </row>
    <row r="28" spans="1:6" s="1" customFormat="1" ht="16.5" customHeight="1">
      <c r="A28" s="8" t="s">
        <v>124</v>
      </c>
      <c r="B28" s="6">
        <v>4000</v>
      </c>
      <c r="C28" s="6">
        <v>0</v>
      </c>
      <c r="D28" s="6">
        <f t="shared" si="2"/>
        <v>4000</v>
      </c>
      <c r="E28" s="6">
        <f t="shared" si="3"/>
        <v>0</v>
      </c>
      <c r="F28" s="10"/>
    </row>
    <row r="29" spans="1:6" ht="16.5" customHeight="1">
      <c r="A29" s="8" t="s">
        <v>118</v>
      </c>
      <c r="B29" s="12">
        <f>7503-806</f>
        <v>6697</v>
      </c>
      <c r="C29" s="6">
        <v>0</v>
      </c>
      <c r="D29" s="12">
        <f>+B29+C29</f>
        <v>6697</v>
      </c>
      <c r="E29" s="12">
        <f>+D29-B29</f>
        <v>0</v>
      </c>
      <c r="F29" s="26"/>
    </row>
    <row r="30" spans="1:6" s="1" customFormat="1" ht="16.5" customHeight="1">
      <c r="A30" s="8" t="s">
        <v>64</v>
      </c>
      <c r="B30" s="6">
        <f>1024-800</f>
        <v>224</v>
      </c>
      <c r="C30" s="6">
        <v>0</v>
      </c>
      <c r="D30" s="6">
        <f t="shared" si="2"/>
        <v>224</v>
      </c>
      <c r="E30" s="6">
        <f t="shared" si="3"/>
        <v>0</v>
      </c>
      <c r="F30" s="26"/>
    </row>
    <row r="31" spans="1:6" s="1" customFormat="1" ht="16.5" customHeight="1">
      <c r="A31" s="8" t="s">
        <v>83</v>
      </c>
      <c r="B31" s="6">
        <f>5000-5000</f>
        <v>0</v>
      </c>
      <c r="C31" s="6">
        <v>0</v>
      </c>
      <c r="D31" s="6">
        <f t="shared" si="2"/>
        <v>0</v>
      </c>
      <c r="E31" s="6">
        <f t="shared" si="3"/>
        <v>0</v>
      </c>
      <c r="F31" s="10"/>
    </row>
    <row r="32" spans="1:6" s="1" customFormat="1" ht="16.5" customHeight="1">
      <c r="A32" s="27" t="s">
        <v>193</v>
      </c>
      <c r="B32" s="6">
        <v>0</v>
      </c>
      <c r="C32" s="6">
        <v>341</v>
      </c>
      <c r="D32" s="6">
        <f>+B32+C32</f>
        <v>341</v>
      </c>
      <c r="E32" s="6">
        <f>+D32-B32</f>
        <v>341</v>
      </c>
      <c r="F32" s="13" t="s">
        <v>195</v>
      </c>
    </row>
    <row r="33" spans="1:6" s="1" customFormat="1" ht="16.5" customHeight="1">
      <c r="A33" s="15" t="s">
        <v>135</v>
      </c>
      <c r="B33" s="6">
        <v>5971</v>
      </c>
      <c r="C33" s="6">
        <v>0</v>
      </c>
      <c r="D33" s="6">
        <f>+B33+C33</f>
        <v>5971</v>
      </c>
      <c r="E33" s="6">
        <f>+D33-B33</f>
        <v>0</v>
      </c>
      <c r="F33" s="13"/>
    </row>
    <row r="34" spans="1:6" s="1" customFormat="1" ht="16.5" customHeight="1">
      <c r="A34" s="15" t="s">
        <v>133</v>
      </c>
      <c r="B34" s="6">
        <v>0</v>
      </c>
      <c r="C34" s="6">
        <v>0</v>
      </c>
      <c r="D34" s="6">
        <f>+B34+C34</f>
        <v>0</v>
      </c>
      <c r="E34" s="6">
        <f>+D34-B34</f>
        <v>0</v>
      </c>
      <c r="F34" s="13"/>
    </row>
    <row r="35" spans="1:6" s="1" customFormat="1" ht="16.5" customHeight="1">
      <c r="A35" s="8" t="s">
        <v>10</v>
      </c>
      <c r="B35" s="6">
        <v>2450</v>
      </c>
      <c r="C35" s="6">
        <v>0</v>
      </c>
      <c r="D35" s="6">
        <f t="shared" si="2"/>
        <v>2450</v>
      </c>
      <c r="E35" s="6">
        <f t="shared" si="3"/>
        <v>0</v>
      </c>
      <c r="F35" s="10"/>
    </row>
    <row r="36" spans="1:6" s="1" customFormat="1" ht="16.5" customHeight="1">
      <c r="A36" s="28" t="s">
        <v>9</v>
      </c>
      <c r="B36" s="29">
        <v>408</v>
      </c>
      <c r="C36" s="29">
        <v>0</v>
      </c>
      <c r="D36" s="29">
        <f t="shared" si="2"/>
        <v>408</v>
      </c>
      <c r="E36" s="29">
        <f t="shared" si="3"/>
        <v>0</v>
      </c>
      <c r="F36" s="30"/>
    </row>
    <row r="37" spans="1:6" s="24" customFormat="1" ht="16.5" customHeight="1">
      <c r="A37" s="8" t="s">
        <v>107</v>
      </c>
      <c r="B37" s="22">
        <v>1094</v>
      </c>
      <c r="C37" s="6">
        <v>0</v>
      </c>
      <c r="D37" s="22">
        <f t="shared" si="2"/>
        <v>1094</v>
      </c>
      <c r="E37" s="6">
        <f t="shared" si="3"/>
        <v>0</v>
      </c>
      <c r="F37" s="23"/>
    </row>
    <row r="38" spans="1:6" s="24" customFormat="1" ht="16.5" customHeight="1">
      <c r="A38" s="8" t="s">
        <v>63</v>
      </c>
      <c r="B38" s="22">
        <f>8000-6000</f>
        <v>2000</v>
      </c>
      <c r="C38" s="6">
        <v>0</v>
      </c>
      <c r="D38" s="22">
        <f t="shared" si="2"/>
        <v>2000</v>
      </c>
      <c r="E38" s="6">
        <f t="shared" si="3"/>
        <v>0</v>
      </c>
      <c r="F38" s="23"/>
    </row>
    <row r="39" spans="1:6" ht="16.5" customHeight="1">
      <c r="A39" s="31" t="s">
        <v>12</v>
      </c>
      <c r="B39" s="12">
        <f>5000+4237</f>
        <v>9237</v>
      </c>
      <c r="C39" s="12">
        <v>0</v>
      </c>
      <c r="D39" s="12">
        <f t="shared" si="2"/>
        <v>9237</v>
      </c>
      <c r="E39" s="12">
        <f t="shared" si="3"/>
        <v>0</v>
      </c>
      <c r="F39" s="10"/>
    </row>
    <row r="40" spans="1:6" ht="16.5" customHeight="1">
      <c r="A40" s="11" t="s">
        <v>115</v>
      </c>
      <c r="B40" s="12">
        <v>5000</v>
      </c>
      <c r="C40" s="12">
        <v>0</v>
      </c>
      <c r="D40" s="12">
        <f t="shared" si="2"/>
        <v>5000</v>
      </c>
      <c r="E40" s="12">
        <f t="shared" si="3"/>
        <v>0</v>
      </c>
      <c r="F40" s="26"/>
    </row>
    <row r="41" spans="1:6" ht="16.5" customHeight="1">
      <c r="A41" s="11" t="s">
        <v>117</v>
      </c>
      <c r="B41" s="12">
        <f>6500-1736</f>
        <v>4764</v>
      </c>
      <c r="C41" s="12">
        <v>0</v>
      </c>
      <c r="D41" s="12">
        <f t="shared" si="2"/>
        <v>4764</v>
      </c>
      <c r="E41" s="12">
        <f t="shared" si="3"/>
        <v>0</v>
      </c>
      <c r="F41" s="26"/>
    </row>
    <row r="42" spans="1:6" ht="16.5" customHeight="1">
      <c r="A42" s="11" t="s">
        <v>119</v>
      </c>
      <c r="B42" s="12">
        <f>1700-1320</f>
        <v>380</v>
      </c>
      <c r="C42" s="12">
        <v>0</v>
      </c>
      <c r="D42" s="12">
        <f t="shared" si="2"/>
        <v>380</v>
      </c>
      <c r="E42" s="12">
        <f t="shared" si="3"/>
        <v>0</v>
      </c>
      <c r="F42" s="26"/>
    </row>
    <row r="43" spans="1:6" ht="16.5" customHeight="1">
      <c r="A43" s="11" t="s">
        <v>116</v>
      </c>
      <c r="B43" s="12">
        <v>1200</v>
      </c>
      <c r="C43" s="12">
        <v>0</v>
      </c>
      <c r="D43" s="12">
        <f>+B43+C43</f>
        <v>1200</v>
      </c>
      <c r="E43" s="12">
        <f>+D43-B43</f>
        <v>0</v>
      </c>
      <c r="F43" s="10"/>
    </row>
    <row r="44" spans="1:6" ht="16.5" customHeight="1">
      <c r="A44" s="32" t="s">
        <v>172</v>
      </c>
      <c r="B44" s="12">
        <v>480</v>
      </c>
      <c r="C44" s="12">
        <v>0</v>
      </c>
      <c r="D44" s="12">
        <f>+B44+C44</f>
        <v>480</v>
      </c>
      <c r="E44" s="12">
        <f>+D44-B44</f>
        <v>0</v>
      </c>
      <c r="F44" s="13"/>
    </row>
    <row r="45" spans="1:6" ht="16.5" customHeight="1">
      <c r="A45" s="32" t="s">
        <v>186</v>
      </c>
      <c r="B45" s="12">
        <v>190</v>
      </c>
      <c r="C45" s="12">
        <v>0</v>
      </c>
      <c r="D45" s="12">
        <f t="shared" si="2"/>
        <v>190</v>
      </c>
      <c r="E45" s="12">
        <f t="shared" si="3"/>
        <v>0</v>
      </c>
      <c r="F45" s="13"/>
    </row>
    <row r="46" spans="1:6" s="20" customFormat="1" ht="18" customHeight="1">
      <c r="A46" s="17" t="s">
        <v>33</v>
      </c>
      <c r="B46" s="18">
        <f>SUM(B24:B45)</f>
        <v>656130</v>
      </c>
      <c r="C46" s="18">
        <f>SUM(C24:C45)</f>
        <v>341</v>
      </c>
      <c r="D46" s="18">
        <f>SUM(D24:D45)</f>
        <v>656471</v>
      </c>
      <c r="E46" s="18">
        <f>SUM(E24:E45)</f>
        <v>341</v>
      </c>
      <c r="F46" s="19"/>
    </row>
    <row r="47" spans="1:6" s="1" customFormat="1" ht="18" customHeight="1">
      <c r="A47" s="21" t="s">
        <v>34</v>
      </c>
      <c r="B47" s="6"/>
      <c r="C47" s="6"/>
      <c r="D47" s="6"/>
      <c r="E47" s="6"/>
      <c r="F47" s="4"/>
    </row>
    <row r="48" spans="1:6" s="1" customFormat="1" ht="15.75" customHeight="1">
      <c r="A48" s="8" t="s">
        <v>123</v>
      </c>
      <c r="B48" s="6">
        <f>152+658</f>
        <v>810</v>
      </c>
      <c r="C48" s="6">
        <v>0</v>
      </c>
      <c r="D48" s="6">
        <f>+B48+C48</f>
        <v>810</v>
      </c>
      <c r="E48" s="6">
        <f>+D48-B48</f>
        <v>0</v>
      </c>
      <c r="F48" s="10"/>
    </row>
    <row r="49" spans="1:6" ht="15.75" customHeight="1">
      <c r="A49" s="11" t="s">
        <v>20</v>
      </c>
      <c r="B49" s="12">
        <f>4000-2000+1000+826+506</f>
        <v>4332</v>
      </c>
      <c r="C49" s="12">
        <v>0</v>
      </c>
      <c r="D49" s="12">
        <f>+B49+C49</f>
        <v>4332</v>
      </c>
      <c r="E49" s="12">
        <f>+D49-B49</f>
        <v>0</v>
      </c>
      <c r="F49" s="26"/>
    </row>
    <row r="50" spans="1:6" ht="15.75" customHeight="1">
      <c r="A50" s="11" t="s">
        <v>129</v>
      </c>
      <c r="B50" s="12">
        <f>1237+264+1915</f>
        <v>3416</v>
      </c>
      <c r="C50" s="12">
        <v>0</v>
      </c>
      <c r="D50" s="12">
        <f>+B50+C50</f>
        <v>3416</v>
      </c>
      <c r="E50" s="12">
        <f>+D50-B50</f>
        <v>0</v>
      </c>
      <c r="F50" s="13"/>
    </row>
    <row r="51" spans="1:6" s="20" customFormat="1" ht="18" customHeight="1">
      <c r="A51" s="17" t="s">
        <v>35</v>
      </c>
      <c r="B51" s="18">
        <f>SUM(B48:B50)</f>
        <v>8558</v>
      </c>
      <c r="C51" s="18">
        <f>SUM(C48:C50)</f>
        <v>0</v>
      </c>
      <c r="D51" s="18">
        <f>SUM(D48:D50)</f>
        <v>8558</v>
      </c>
      <c r="E51" s="18">
        <f>SUM(E48:E50)</f>
        <v>0</v>
      </c>
      <c r="F51" s="19"/>
    </row>
    <row r="52" spans="1:6" s="1" customFormat="1" ht="18" customHeight="1">
      <c r="A52" s="21" t="s">
        <v>36</v>
      </c>
      <c r="B52" s="6"/>
      <c r="C52" s="6"/>
      <c r="D52" s="6"/>
      <c r="E52" s="6"/>
      <c r="F52" s="4"/>
    </row>
    <row r="53" spans="1:6" s="1" customFormat="1" ht="16.5" customHeight="1">
      <c r="A53" s="8" t="s">
        <v>21</v>
      </c>
      <c r="B53" s="6">
        <v>334358</v>
      </c>
      <c r="C53" s="6">
        <v>0</v>
      </c>
      <c r="D53" s="6">
        <f aca="true" t="shared" si="4" ref="D53:D112">+B53+C53</f>
        <v>334358</v>
      </c>
      <c r="E53" s="6">
        <f aca="true" t="shared" si="5" ref="E53:E112">+D53-B53</f>
        <v>0</v>
      </c>
      <c r="F53" s="10"/>
    </row>
    <row r="54" spans="1:6" s="24" customFormat="1" ht="16.5" customHeight="1">
      <c r="A54" s="33" t="s">
        <v>200</v>
      </c>
      <c r="B54" s="22">
        <f>107211</f>
        <v>107211</v>
      </c>
      <c r="C54" s="6">
        <v>0</v>
      </c>
      <c r="D54" s="22">
        <f t="shared" si="4"/>
        <v>107211</v>
      </c>
      <c r="E54" s="6">
        <f t="shared" si="5"/>
        <v>0</v>
      </c>
      <c r="F54" s="34"/>
    </row>
    <row r="55" spans="1:6" s="24" customFormat="1" ht="16.5" customHeight="1">
      <c r="A55" s="33" t="s">
        <v>191</v>
      </c>
      <c r="B55" s="6">
        <f>5000-5000</f>
        <v>0</v>
      </c>
      <c r="C55" s="6">
        <v>3480</v>
      </c>
      <c r="D55" s="22">
        <f>+B55+C55</f>
        <v>3480</v>
      </c>
      <c r="E55" s="6">
        <f>+D55-B55</f>
        <v>3480</v>
      </c>
      <c r="F55" s="13" t="s">
        <v>195</v>
      </c>
    </row>
    <row r="56" spans="1:6" s="1" customFormat="1" ht="16.5" customHeight="1">
      <c r="A56" s="35" t="s">
        <v>65</v>
      </c>
      <c r="B56" s="6">
        <v>40000</v>
      </c>
      <c r="C56" s="6">
        <v>0</v>
      </c>
      <c r="D56" s="22">
        <f>+B56+C56</f>
        <v>40000</v>
      </c>
      <c r="E56" s="6">
        <f>+D56-B56</f>
        <v>0</v>
      </c>
      <c r="F56" s="10"/>
    </row>
    <row r="57" spans="1:6" s="1" customFormat="1" ht="16.5" customHeight="1">
      <c r="A57" s="31" t="s">
        <v>167</v>
      </c>
      <c r="B57" s="6">
        <f>2000+1600</f>
        <v>3600</v>
      </c>
      <c r="C57" s="6">
        <v>0</v>
      </c>
      <c r="D57" s="22">
        <f>+B57+C57</f>
        <v>3600</v>
      </c>
      <c r="E57" s="6">
        <f>+D57-B57</f>
        <v>0</v>
      </c>
      <c r="F57" s="26"/>
    </row>
    <row r="58" spans="1:6" s="1" customFormat="1" ht="16.5" customHeight="1">
      <c r="A58" s="31" t="s">
        <v>184</v>
      </c>
      <c r="B58" s="6">
        <v>7600</v>
      </c>
      <c r="C58" s="6">
        <v>4752</v>
      </c>
      <c r="D58" s="22">
        <f>+B58+C58</f>
        <v>12352</v>
      </c>
      <c r="E58" s="6">
        <f>+D58-B58</f>
        <v>4752</v>
      </c>
      <c r="F58" s="13" t="s">
        <v>195</v>
      </c>
    </row>
    <row r="59" spans="1:6" s="1" customFormat="1" ht="16.5" customHeight="1">
      <c r="A59" s="31" t="s">
        <v>192</v>
      </c>
      <c r="B59" s="6">
        <f>5000-5000</f>
        <v>0</v>
      </c>
      <c r="C59" s="6">
        <v>798</v>
      </c>
      <c r="D59" s="22">
        <f>+B59+C59</f>
        <v>798</v>
      </c>
      <c r="E59" s="6">
        <f>+D59-B59</f>
        <v>798</v>
      </c>
      <c r="F59" s="13" t="s">
        <v>195</v>
      </c>
    </row>
    <row r="60" spans="1:6" s="1" customFormat="1" ht="16.5" customHeight="1">
      <c r="A60" s="31" t="s">
        <v>110</v>
      </c>
      <c r="B60" s="6">
        <f>6341-36+237</f>
        <v>6542</v>
      </c>
      <c r="C60" s="6">
        <v>0</v>
      </c>
      <c r="D60" s="6">
        <f t="shared" si="4"/>
        <v>6542</v>
      </c>
      <c r="E60" s="6">
        <f t="shared" si="5"/>
        <v>0</v>
      </c>
      <c r="F60" s="9"/>
    </row>
    <row r="61" spans="1:6" s="1" customFormat="1" ht="16.5" customHeight="1">
      <c r="A61" s="31" t="s">
        <v>11</v>
      </c>
      <c r="B61" s="6">
        <v>5759</v>
      </c>
      <c r="C61" s="6">
        <v>0</v>
      </c>
      <c r="D61" s="6">
        <f t="shared" si="4"/>
        <v>5759</v>
      </c>
      <c r="E61" s="6">
        <f t="shared" si="5"/>
        <v>0</v>
      </c>
      <c r="F61" s="10"/>
    </row>
    <row r="62" spans="1:6" s="1" customFormat="1" ht="16.5" customHeight="1">
      <c r="A62" s="35" t="s">
        <v>85</v>
      </c>
      <c r="B62" s="6">
        <f>14000-1383</f>
        <v>12617</v>
      </c>
      <c r="C62" s="6">
        <v>0</v>
      </c>
      <c r="D62" s="6">
        <f t="shared" si="4"/>
        <v>12617</v>
      </c>
      <c r="E62" s="6">
        <f t="shared" si="5"/>
        <v>0</v>
      </c>
      <c r="F62" s="26"/>
    </row>
    <row r="63" spans="1:6" s="1" customFormat="1" ht="16.5" customHeight="1">
      <c r="A63" s="35" t="s">
        <v>66</v>
      </c>
      <c r="B63" s="6">
        <v>5250</v>
      </c>
      <c r="C63" s="6">
        <v>0</v>
      </c>
      <c r="D63" s="6">
        <f t="shared" si="4"/>
        <v>5250</v>
      </c>
      <c r="E63" s="6">
        <f t="shared" si="5"/>
        <v>0</v>
      </c>
      <c r="F63" s="36"/>
    </row>
    <row r="64" spans="1:6" s="1" customFormat="1" ht="16.5" customHeight="1">
      <c r="A64" s="35" t="s">
        <v>67</v>
      </c>
      <c r="B64" s="6">
        <f>4440</f>
        <v>4440</v>
      </c>
      <c r="C64" s="6">
        <v>0</v>
      </c>
      <c r="D64" s="6">
        <f t="shared" si="4"/>
        <v>4440</v>
      </c>
      <c r="E64" s="6">
        <f t="shared" si="5"/>
        <v>0</v>
      </c>
      <c r="F64" s="36"/>
    </row>
    <row r="65" spans="1:6" s="1" customFormat="1" ht="16.5" customHeight="1">
      <c r="A65" s="35" t="s">
        <v>68</v>
      </c>
      <c r="B65" s="6">
        <v>235</v>
      </c>
      <c r="C65" s="6">
        <v>0</v>
      </c>
      <c r="D65" s="6">
        <f t="shared" si="4"/>
        <v>235</v>
      </c>
      <c r="E65" s="6">
        <f t="shared" si="5"/>
        <v>0</v>
      </c>
      <c r="F65" s="10"/>
    </row>
    <row r="66" spans="1:6" s="1" customFormat="1" ht="16.5" customHeight="1">
      <c r="A66" s="35" t="s">
        <v>201</v>
      </c>
      <c r="B66" s="6">
        <v>108</v>
      </c>
      <c r="C66" s="6">
        <v>0</v>
      </c>
      <c r="D66" s="6">
        <f>+B66+C66</f>
        <v>108</v>
      </c>
      <c r="E66" s="6">
        <f>+D66-B66</f>
        <v>0</v>
      </c>
      <c r="F66" s="9"/>
    </row>
    <row r="67" spans="1:6" s="1" customFormat="1" ht="16.5" customHeight="1">
      <c r="A67" s="35" t="s">
        <v>144</v>
      </c>
      <c r="B67" s="6">
        <v>16500</v>
      </c>
      <c r="C67" s="6">
        <v>0</v>
      </c>
      <c r="D67" s="6">
        <f>+B67+C67</f>
        <v>16500</v>
      </c>
      <c r="E67" s="6">
        <f>+D67-B67</f>
        <v>0</v>
      </c>
      <c r="F67" s="9"/>
    </row>
    <row r="68" spans="1:6" ht="16.5" customHeight="1">
      <c r="A68" s="15" t="s">
        <v>171</v>
      </c>
      <c r="B68" s="12">
        <v>2340</v>
      </c>
      <c r="C68" s="12">
        <v>0</v>
      </c>
      <c r="D68" s="12">
        <f>+B68+C68</f>
        <v>2340</v>
      </c>
      <c r="E68" s="12">
        <f>+D68-B68</f>
        <v>0</v>
      </c>
      <c r="F68" s="13"/>
    </row>
    <row r="69" spans="1:6" ht="16.5" customHeight="1">
      <c r="A69" s="15" t="s">
        <v>70</v>
      </c>
      <c r="B69" s="12">
        <v>18020</v>
      </c>
      <c r="C69" s="12">
        <v>0</v>
      </c>
      <c r="D69" s="12">
        <f t="shared" si="4"/>
        <v>18020</v>
      </c>
      <c r="E69" s="12">
        <f t="shared" si="5"/>
        <v>0</v>
      </c>
      <c r="F69" s="13"/>
    </row>
    <row r="70" spans="1:6" s="1" customFormat="1" ht="16.5" customHeight="1">
      <c r="A70" s="35" t="s">
        <v>84</v>
      </c>
      <c r="B70" s="6">
        <v>700</v>
      </c>
      <c r="C70" s="6">
        <v>0</v>
      </c>
      <c r="D70" s="6">
        <f t="shared" si="4"/>
        <v>700</v>
      </c>
      <c r="E70" s="6">
        <f t="shared" si="5"/>
        <v>0</v>
      </c>
      <c r="F70" s="10"/>
    </row>
    <row r="71" spans="1:6" s="1" customFormat="1" ht="16.5" customHeight="1">
      <c r="A71" s="37" t="s">
        <v>61</v>
      </c>
      <c r="B71" s="29">
        <f>1679+2000-136</f>
        <v>3543</v>
      </c>
      <c r="C71" s="29">
        <v>0</v>
      </c>
      <c r="D71" s="29">
        <f t="shared" si="4"/>
        <v>3543</v>
      </c>
      <c r="E71" s="29">
        <f t="shared" si="5"/>
        <v>0</v>
      </c>
      <c r="F71" s="38"/>
    </row>
    <row r="72" spans="1:6" s="1" customFormat="1" ht="16.5" customHeight="1">
      <c r="A72" s="31" t="s">
        <v>147</v>
      </c>
      <c r="B72" s="6">
        <f>1200+120</f>
        <v>1320</v>
      </c>
      <c r="C72" s="6">
        <v>0</v>
      </c>
      <c r="D72" s="6">
        <f>+B72+C72</f>
        <v>1320</v>
      </c>
      <c r="E72" s="6">
        <f>+D72-B72</f>
        <v>0</v>
      </c>
      <c r="F72" s="26"/>
    </row>
    <row r="73" spans="1:6" s="1" customFormat="1" ht="16.5" customHeight="1">
      <c r="A73" s="31" t="s">
        <v>69</v>
      </c>
      <c r="B73" s="6">
        <f>1100-708</f>
        <v>392</v>
      </c>
      <c r="C73" s="6">
        <v>0</v>
      </c>
      <c r="D73" s="6">
        <f t="shared" si="4"/>
        <v>392</v>
      </c>
      <c r="E73" s="6">
        <f t="shared" si="5"/>
        <v>0</v>
      </c>
      <c r="F73" s="26"/>
    </row>
    <row r="74" spans="1:6" s="1" customFormat="1" ht="16.5" customHeight="1">
      <c r="A74" s="35" t="s">
        <v>97</v>
      </c>
      <c r="B74" s="6">
        <v>1485</v>
      </c>
      <c r="C74" s="6">
        <v>0</v>
      </c>
      <c r="D74" s="6">
        <f t="shared" si="4"/>
        <v>1485</v>
      </c>
      <c r="E74" s="6">
        <f t="shared" si="5"/>
        <v>0</v>
      </c>
      <c r="F74" s="10"/>
    </row>
    <row r="75" spans="1:6" s="1" customFormat="1" ht="16.5" customHeight="1">
      <c r="A75" s="35" t="s">
        <v>14</v>
      </c>
      <c r="B75" s="6">
        <f>2500+1204</f>
        <v>3704</v>
      </c>
      <c r="C75" s="6">
        <v>0</v>
      </c>
      <c r="D75" s="6">
        <f t="shared" si="4"/>
        <v>3704</v>
      </c>
      <c r="E75" s="6">
        <f t="shared" si="5"/>
        <v>0</v>
      </c>
      <c r="F75" s="10"/>
    </row>
    <row r="76" spans="1:6" s="1" customFormat="1" ht="16.5" customHeight="1">
      <c r="A76" s="35" t="s">
        <v>89</v>
      </c>
      <c r="B76" s="6">
        <v>180</v>
      </c>
      <c r="C76" s="6">
        <v>0</v>
      </c>
      <c r="D76" s="6">
        <f t="shared" si="4"/>
        <v>180</v>
      </c>
      <c r="E76" s="6">
        <f t="shared" si="5"/>
        <v>0</v>
      </c>
      <c r="F76" s="10"/>
    </row>
    <row r="77" spans="1:6" s="1" customFormat="1" ht="16.5" customHeight="1">
      <c r="A77" s="31" t="s">
        <v>134</v>
      </c>
      <c r="B77" s="6">
        <f>2994+11976+15024+62</f>
        <v>30056</v>
      </c>
      <c r="C77" s="6">
        <v>1500</v>
      </c>
      <c r="D77" s="22">
        <f t="shared" si="4"/>
        <v>31556</v>
      </c>
      <c r="E77" s="6">
        <f t="shared" si="5"/>
        <v>1500</v>
      </c>
      <c r="F77" s="13" t="s">
        <v>195</v>
      </c>
    </row>
    <row r="78" spans="1:6" s="1" customFormat="1" ht="16.5" customHeight="1">
      <c r="A78" s="31" t="s">
        <v>194</v>
      </c>
      <c r="B78" s="6">
        <v>0</v>
      </c>
      <c r="C78" s="6">
        <v>6600</v>
      </c>
      <c r="D78" s="22">
        <f>+B78+C78</f>
        <v>6600</v>
      </c>
      <c r="E78" s="6">
        <f>+D78-B78</f>
        <v>6600</v>
      </c>
      <c r="F78" s="13" t="s">
        <v>195</v>
      </c>
    </row>
    <row r="79" spans="1:6" s="24" customFormat="1" ht="16.5" customHeight="1">
      <c r="A79" s="35" t="s">
        <v>176</v>
      </c>
      <c r="B79" s="6">
        <f>7560+9240</f>
        <v>16800</v>
      </c>
      <c r="C79" s="6">
        <v>0</v>
      </c>
      <c r="D79" s="6">
        <f>+B79+C79</f>
        <v>16800</v>
      </c>
      <c r="E79" s="6">
        <f>+D79-B79</f>
        <v>0</v>
      </c>
      <c r="F79" s="39"/>
    </row>
    <row r="80" spans="1:6" s="1" customFormat="1" ht="16.5" customHeight="1">
      <c r="A80" s="31" t="s">
        <v>5</v>
      </c>
      <c r="B80" s="6">
        <f>3500+2500</f>
        <v>6000</v>
      </c>
      <c r="C80" s="6">
        <v>0</v>
      </c>
      <c r="D80" s="6">
        <f>+B80+C80</f>
        <v>6000</v>
      </c>
      <c r="E80" s="6">
        <f>+D80-B80</f>
        <v>0</v>
      </c>
      <c r="F80" s="9"/>
    </row>
    <row r="81" spans="1:6" s="1" customFormat="1" ht="16.5" customHeight="1">
      <c r="A81" s="5" t="s">
        <v>138</v>
      </c>
      <c r="B81" s="6">
        <f>120+360+240+360+360+360+240</f>
        <v>2040</v>
      </c>
      <c r="C81" s="6">
        <v>0</v>
      </c>
      <c r="D81" s="6">
        <f>+B81+C81</f>
        <v>2040</v>
      </c>
      <c r="E81" s="6">
        <f>+D81-B81</f>
        <v>0</v>
      </c>
      <c r="F81" s="39"/>
    </row>
    <row r="82" spans="1:6" s="1" customFormat="1" ht="16.5" customHeight="1">
      <c r="A82" s="40" t="s">
        <v>2</v>
      </c>
      <c r="B82" s="6">
        <v>1200</v>
      </c>
      <c r="C82" s="6">
        <v>0</v>
      </c>
      <c r="D82" s="6">
        <f t="shared" si="4"/>
        <v>1200</v>
      </c>
      <c r="E82" s="6">
        <f t="shared" si="5"/>
        <v>0</v>
      </c>
      <c r="F82" s="39"/>
    </row>
    <row r="83" spans="1:6" s="24" customFormat="1" ht="16.5" customHeight="1">
      <c r="A83" s="41" t="s">
        <v>136</v>
      </c>
      <c r="B83" s="22">
        <v>4824</v>
      </c>
      <c r="C83" s="6">
        <v>0</v>
      </c>
      <c r="D83" s="22">
        <f>+B83+C83</f>
        <v>4824</v>
      </c>
      <c r="E83" s="6">
        <f>+D83-B83</f>
        <v>0</v>
      </c>
      <c r="F83" s="9"/>
    </row>
    <row r="84" spans="1:6" s="24" customFormat="1" ht="16.5" customHeight="1">
      <c r="A84" s="41" t="s">
        <v>149</v>
      </c>
      <c r="B84" s="6">
        <v>4728</v>
      </c>
      <c r="C84" s="6">
        <v>0</v>
      </c>
      <c r="D84" s="22">
        <f>+B84+C84</f>
        <v>4728</v>
      </c>
      <c r="E84" s="6">
        <f>+D84-B84</f>
        <v>0</v>
      </c>
      <c r="F84" s="9"/>
    </row>
    <row r="85" spans="1:6" s="24" customFormat="1" ht="16.5" customHeight="1">
      <c r="A85" s="41" t="s">
        <v>137</v>
      </c>
      <c r="B85" s="6">
        <v>3000</v>
      </c>
      <c r="C85" s="6">
        <v>0</v>
      </c>
      <c r="D85" s="22">
        <f t="shared" si="4"/>
        <v>3000</v>
      </c>
      <c r="E85" s="6">
        <f t="shared" si="5"/>
        <v>0</v>
      </c>
      <c r="F85" s="9"/>
    </row>
    <row r="86" spans="1:6" s="1" customFormat="1" ht="16.5" customHeight="1">
      <c r="A86" s="8" t="s">
        <v>180</v>
      </c>
      <c r="B86" s="6">
        <v>1920</v>
      </c>
      <c r="C86" s="6">
        <v>0</v>
      </c>
      <c r="D86" s="6">
        <f>+B86+C86</f>
        <v>1920</v>
      </c>
      <c r="E86" s="6">
        <f>+D86-B86</f>
        <v>0</v>
      </c>
      <c r="F86" s="13"/>
    </row>
    <row r="87" spans="1:6" s="1" customFormat="1" ht="16.5" customHeight="1">
      <c r="A87" s="8" t="s">
        <v>181</v>
      </c>
      <c r="B87" s="6">
        <v>2640</v>
      </c>
      <c r="C87" s="6">
        <v>0</v>
      </c>
      <c r="D87" s="6">
        <f>+B87+C87</f>
        <v>2640</v>
      </c>
      <c r="E87" s="6">
        <f>+D87-B87</f>
        <v>0</v>
      </c>
      <c r="F87" s="13"/>
    </row>
    <row r="88" spans="1:6" s="1" customFormat="1" ht="16.5" customHeight="1">
      <c r="A88" s="8" t="s">
        <v>182</v>
      </c>
      <c r="B88" s="6">
        <v>1920</v>
      </c>
      <c r="C88" s="6">
        <v>0</v>
      </c>
      <c r="D88" s="6">
        <f>+B88+C88</f>
        <v>1920</v>
      </c>
      <c r="E88" s="6">
        <f>+D88-B88</f>
        <v>0</v>
      </c>
      <c r="F88" s="13"/>
    </row>
    <row r="89" spans="1:6" s="1" customFormat="1" ht="16.5" customHeight="1">
      <c r="A89" s="8" t="s">
        <v>109</v>
      </c>
      <c r="B89" s="6">
        <v>3946</v>
      </c>
      <c r="C89" s="6">
        <v>0</v>
      </c>
      <c r="D89" s="6">
        <f t="shared" si="4"/>
        <v>3946</v>
      </c>
      <c r="E89" s="6">
        <f t="shared" si="5"/>
        <v>0</v>
      </c>
      <c r="F89" s="10"/>
    </row>
    <row r="90" spans="1:6" s="1" customFormat="1" ht="16.5" customHeight="1">
      <c r="A90" s="8" t="s">
        <v>127</v>
      </c>
      <c r="B90" s="6">
        <v>614</v>
      </c>
      <c r="C90" s="6">
        <v>0</v>
      </c>
      <c r="D90" s="6">
        <f>+B90+C90</f>
        <v>614</v>
      </c>
      <c r="E90" s="6">
        <f>+D90-B90</f>
        <v>0</v>
      </c>
      <c r="F90" s="9"/>
    </row>
    <row r="91" spans="1:6" s="24" customFormat="1" ht="16.5" customHeight="1">
      <c r="A91" s="8" t="s">
        <v>139</v>
      </c>
      <c r="B91" s="42">
        <v>1290</v>
      </c>
      <c r="C91" s="6">
        <v>0</v>
      </c>
      <c r="D91" s="42">
        <f>+B91+C91</f>
        <v>1290</v>
      </c>
      <c r="E91" s="6">
        <f>+D91-B91</f>
        <v>0</v>
      </c>
      <c r="F91" s="43"/>
    </row>
    <row r="92" spans="1:6" s="1" customFormat="1" ht="16.5" customHeight="1">
      <c r="A92" s="8" t="s">
        <v>165</v>
      </c>
      <c r="B92" s="6">
        <v>4500</v>
      </c>
      <c r="C92" s="6">
        <v>0</v>
      </c>
      <c r="D92" s="6">
        <f>+B92+C92</f>
        <v>4500</v>
      </c>
      <c r="E92" s="6">
        <f>+D92-B92</f>
        <v>0</v>
      </c>
      <c r="F92" s="9"/>
    </row>
    <row r="93" spans="1:6" s="1" customFormat="1" ht="16.5" customHeight="1">
      <c r="A93" s="8" t="s">
        <v>151</v>
      </c>
      <c r="B93" s="6">
        <v>636</v>
      </c>
      <c r="C93" s="6">
        <v>0</v>
      </c>
      <c r="D93" s="6">
        <f>+B93+C93</f>
        <v>636</v>
      </c>
      <c r="E93" s="6">
        <f>+D93-B93</f>
        <v>0</v>
      </c>
      <c r="F93" s="44"/>
    </row>
    <row r="94" spans="1:6" s="1" customFormat="1" ht="16.5" customHeight="1">
      <c r="A94" s="8" t="s">
        <v>95</v>
      </c>
      <c r="B94" s="6">
        <v>47620</v>
      </c>
      <c r="C94" s="6">
        <v>0</v>
      </c>
      <c r="D94" s="6">
        <f t="shared" si="4"/>
        <v>47620</v>
      </c>
      <c r="E94" s="6">
        <f t="shared" si="5"/>
        <v>0</v>
      </c>
      <c r="F94" s="10"/>
    </row>
    <row r="95" spans="1:6" s="24" customFormat="1" ht="16.5" customHeight="1">
      <c r="A95" s="8" t="s">
        <v>106</v>
      </c>
      <c r="B95" s="42">
        <v>120000</v>
      </c>
      <c r="C95" s="6">
        <v>0</v>
      </c>
      <c r="D95" s="42">
        <f t="shared" si="4"/>
        <v>120000</v>
      </c>
      <c r="E95" s="6">
        <f t="shared" si="5"/>
        <v>0</v>
      </c>
      <c r="F95" s="23"/>
    </row>
    <row r="96" spans="1:6" s="1" customFormat="1" ht="16.5" customHeight="1">
      <c r="A96" s="35" t="s">
        <v>37</v>
      </c>
      <c r="B96" s="6">
        <v>3240</v>
      </c>
      <c r="C96" s="6">
        <v>0</v>
      </c>
      <c r="D96" s="6">
        <f t="shared" si="4"/>
        <v>3240</v>
      </c>
      <c r="E96" s="6">
        <f t="shared" si="5"/>
        <v>0</v>
      </c>
      <c r="F96" s="45"/>
    </row>
    <row r="97" spans="1:6" s="1" customFormat="1" ht="16.5" customHeight="1">
      <c r="A97" s="31" t="s">
        <v>38</v>
      </c>
      <c r="B97" s="6">
        <v>420</v>
      </c>
      <c r="C97" s="6">
        <v>0</v>
      </c>
      <c r="D97" s="6">
        <f t="shared" si="4"/>
        <v>420</v>
      </c>
      <c r="E97" s="6">
        <f t="shared" si="5"/>
        <v>0</v>
      </c>
      <c r="F97" s="10"/>
    </row>
    <row r="98" spans="1:6" s="1" customFormat="1" ht="16.5" customHeight="1">
      <c r="A98" s="31" t="s">
        <v>39</v>
      </c>
      <c r="B98" s="6">
        <v>300</v>
      </c>
      <c r="C98" s="6">
        <v>0</v>
      </c>
      <c r="D98" s="6">
        <f t="shared" si="4"/>
        <v>300</v>
      </c>
      <c r="E98" s="6">
        <f t="shared" si="5"/>
        <v>0</v>
      </c>
      <c r="F98" s="10"/>
    </row>
    <row r="99" spans="1:6" ht="16.5" customHeight="1">
      <c r="A99" s="11" t="s">
        <v>93</v>
      </c>
      <c r="B99" s="6">
        <v>18000</v>
      </c>
      <c r="C99" s="6">
        <v>0</v>
      </c>
      <c r="D99" s="6">
        <f t="shared" si="4"/>
        <v>18000</v>
      </c>
      <c r="E99" s="6">
        <f t="shared" si="5"/>
        <v>0</v>
      </c>
      <c r="F99" s="10"/>
    </row>
    <row r="100" spans="1:6" ht="16.5" customHeight="1">
      <c r="A100" s="11" t="s">
        <v>16</v>
      </c>
      <c r="B100" s="6">
        <v>1500</v>
      </c>
      <c r="C100" s="6">
        <v>0</v>
      </c>
      <c r="D100" s="6">
        <f t="shared" si="4"/>
        <v>1500</v>
      </c>
      <c r="E100" s="6">
        <f t="shared" si="5"/>
        <v>0</v>
      </c>
      <c r="F100" s="10"/>
    </row>
    <row r="101" spans="1:6" s="1" customFormat="1" ht="16.5" customHeight="1">
      <c r="A101" s="35" t="s">
        <v>125</v>
      </c>
      <c r="B101" s="12">
        <v>300</v>
      </c>
      <c r="C101" s="6">
        <v>0</v>
      </c>
      <c r="D101" s="6">
        <f aca="true" t="shared" si="6" ref="D101:D106">+B101+C101</f>
        <v>300</v>
      </c>
      <c r="E101" s="6">
        <f aca="true" t="shared" si="7" ref="E101:E106">+D101-B101</f>
        <v>0</v>
      </c>
      <c r="F101" s="46"/>
    </row>
    <row r="102" spans="1:6" ht="16.5" customHeight="1">
      <c r="A102" s="11" t="s">
        <v>148</v>
      </c>
      <c r="B102" s="6">
        <v>500</v>
      </c>
      <c r="C102" s="6">
        <v>0</v>
      </c>
      <c r="D102" s="6">
        <f t="shared" si="6"/>
        <v>500</v>
      </c>
      <c r="E102" s="6">
        <f t="shared" si="7"/>
        <v>0</v>
      </c>
      <c r="F102" s="47"/>
    </row>
    <row r="103" spans="1:6" ht="16.5" customHeight="1">
      <c r="A103" s="11" t="s">
        <v>150</v>
      </c>
      <c r="B103" s="6">
        <v>1550</v>
      </c>
      <c r="C103" s="6">
        <v>0</v>
      </c>
      <c r="D103" s="6">
        <f t="shared" si="6"/>
        <v>1550</v>
      </c>
      <c r="E103" s="6">
        <f t="shared" si="7"/>
        <v>0</v>
      </c>
      <c r="F103" s="47"/>
    </row>
    <row r="104" spans="1:6" ht="16.5" customHeight="1">
      <c r="A104" s="11" t="s">
        <v>153</v>
      </c>
      <c r="B104" s="6">
        <v>800</v>
      </c>
      <c r="C104" s="6">
        <v>0</v>
      </c>
      <c r="D104" s="6">
        <f t="shared" si="6"/>
        <v>800</v>
      </c>
      <c r="E104" s="6">
        <f t="shared" si="7"/>
        <v>0</v>
      </c>
      <c r="F104" s="47"/>
    </row>
    <row r="105" spans="1:6" ht="16.5" customHeight="1">
      <c r="A105" s="11" t="s">
        <v>177</v>
      </c>
      <c r="B105" s="6">
        <v>96000</v>
      </c>
      <c r="C105" s="6">
        <v>0</v>
      </c>
      <c r="D105" s="6">
        <f t="shared" si="6"/>
        <v>96000</v>
      </c>
      <c r="E105" s="6">
        <f t="shared" si="7"/>
        <v>0</v>
      </c>
      <c r="F105" s="47"/>
    </row>
    <row r="106" spans="1:6" ht="16.5" customHeight="1">
      <c r="A106" s="48" t="s">
        <v>178</v>
      </c>
      <c r="B106" s="29">
        <f>450*1.2</f>
        <v>540</v>
      </c>
      <c r="C106" s="29">
        <v>0</v>
      </c>
      <c r="D106" s="29">
        <f t="shared" si="6"/>
        <v>540</v>
      </c>
      <c r="E106" s="29">
        <f t="shared" si="7"/>
        <v>0</v>
      </c>
      <c r="F106" s="49"/>
    </row>
    <row r="107" spans="1:6" ht="16.5" customHeight="1">
      <c r="A107" s="11" t="s">
        <v>96</v>
      </c>
      <c r="B107" s="6">
        <v>8750</v>
      </c>
      <c r="C107" s="6">
        <v>0</v>
      </c>
      <c r="D107" s="6">
        <f t="shared" si="4"/>
        <v>8750</v>
      </c>
      <c r="E107" s="6">
        <f t="shared" si="5"/>
        <v>0</v>
      </c>
      <c r="F107" s="47"/>
    </row>
    <row r="108" spans="1:6" s="24" customFormat="1" ht="16.5" customHeight="1">
      <c r="A108" s="8" t="s">
        <v>120</v>
      </c>
      <c r="B108" s="22">
        <v>2112</v>
      </c>
      <c r="C108" s="6">
        <v>0</v>
      </c>
      <c r="D108" s="6">
        <f t="shared" si="4"/>
        <v>2112</v>
      </c>
      <c r="E108" s="6">
        <f t="shared" si="5"/>
        <v>0</v>
      </c>
      <c r="F108" s="10"/>
    </row>
    <row r="109" spans="1:6" s="20" customFormat="1" ht="16.5" customHeight="1">
      <c r="A109" s="35" t="s">
        <v>141</v>
      </c>
      <c r="B109" s="6">
        <v>0</v>
      </c>
      <c r="C109" s="6">
        <v>0</v>
      </c>
      <c r="D109" s="6">
        <f>+B109+C109</f>
        <v>0</v>
      </c>
      <c r="E109" s="6">
        <f>+D109-B109</f>
        <v>0</v>
      </c>
      <c r="F109" s="13"/>
    </row>
    <row r="110" spans="1:6" s="1" customFormat="1" ht="16.5" customHeight="1">
      <c r="A110" s="35" t="s">
        <v>90</v>
      </c>
      <c r="B110" s="6">
        <v>800</v>
      </c>
      <c r="C110" s="6">
        <v>0</v>
      </c>
      <c r="D110" s="6">
        <f t="shared" si="4"/>
        <v>800</v>
      </c>
      <c r="E110" s="6">
        <f t="shared" si="5"/>
        <v>0</v>
      </c>
      <c r="F110" s="10"/>
    </row>
    <row r="111" spans="1:6" s="1" customFormat="1" ht="16.5" customHeight="1">
      <c r="A111" s="35" t="s">
        <v>152</v>
      </c>
      <c r="B111" s="6">
        <v>150</v>
      </c>
      <c r="C111" s="6">
        <v>0</v>
      </c>
      <c r="D111" s="6">
        <f>+B111+C111</f>
        <v>150</v>
      </c>
      <c r="E111" s="6">
        <f>+D111-B111</f>
        <v>0</v>
      </c>
      <c r="F111" s="47"/>
    </row>
    <row r="112" spans="1:6" s="50" customFormat="1" ht="16.5" customHeight="1">
      <c r="A112" s="11" t="s">
        <v>7</v>
      </c>
      <c r="B112" s="6">
        <v>300</v>
      </c>
      <c r="C112" s="6">
        <v>0</v>
      </c>
      <c r="D112" s="6">
        <f t="shared" si="4"/>
        <v>300</v>
      </c>
      <c r="E112" s="6">
        <f t="shared" si="5"/>
        <v>0</v>
      </c>
      <c r="F112" s="10"/>
    </row>
    <row r="113" spans="1:6" s="1" customFormat="1" ht="18" customHeight="1">
      <c r="A113" s="17" t="s">
        <v>40</v>
      </c>
      <c r="B113" s="18">
        <f>SUM(B53:B112)</f>
        <v>964900</v>
      </c>
      <c r="C113" s="18">
        <f>SUM(C53:C112)</f>
        <v>17130</v>
      </c>
      <c r="D113" s="18">
        <f>SUM(D53:D112)</f>
        <v>982030</v>
      </c>
      <c r="E113" s="18">
        <f>SUM(E53:E112)</f>
        <v>17130</v>
      </c>
      <c r="F113" s="19"/>
    </row>
    <row r="114" spans="1:6" s="1" customFormat="1" ht="18" customHeight="1">
      <c r="A114" s="21" t="s">
        <v>131</v>
      </c>
      <c r="B114" s="6"/>
      <c r="C114" s="6"/>
      <c r="D114" s="6"/>
      <c r="E114" s="6"/>
      <c r="F114" s="4"/>
    </row>
    <row r="115" spans="1:6" s="20" customFormat="1" ht="17.25" customHeight="1">
      <c r="A115" s="31" t="s">
        <v>41</v>
      </c>
      <c r="B115" s="6">
        <v>18281</v>
      </c>
      <c r="C115" s="6">
        <v>0</v>
      </c>
      <c r="D115" s="6">
        <f aca="true" t="shared" si="8" ref="D115:D121">+B115+C115</f>
        <v>18281</v>
      </c>
      <c r="E115" s="6">
        <f aca="true" t="shared" si="9" ref="E115:E121">+D115-B115</f>
        <v>0</v>
      </c>
      <c r="F115" s="10"/>
    </row>
    <row r="116" spans="1:6" s="1" customFormat="1" ht="17.25" customHeight="1">
      <c r="A116" s="31" t="s">
        <v>42</v>
      </c>
      <c r="B116" s="6">
        <f>2500-100</f>
        <v>2400</v>
      </c>
      <c r="C116" s="6">
        <v>0</v>
      </c>
      <c r="D116" s="6">
        <f t="shared" si="8"/>
        <v>2400</v>
      </c>
      <c r="E116" s="6">
        <f t="shared" si="9"/>
        <v>0</v>
      </c>
      <c r="F116" s="26"/>
    </row>
    <row r="117" spans="1:6" ht="17.25" customHeight="1">
      <c r="A117" s="11" t="s">
        <v>108</v>
      </c>
      <c r="B117" s="6">
        <f>1036+3964-964</f>
        <v>4036</v>
      </c>
      <c r="C117" s="6">
        <v>0</v>
      </c>
      <c r="D117" s="6">
        <f t="shared" si="8"/>
        <v>4036</v>
      </c>
      <c r="E117" s="6">
        <f t="shared" si="9"/>
        <v>0</v>
      </c>
      <c r="F117" s="26"/>
    </row>
    <row r="118" spans="1:6" s="1" customFormat="1" ht="17.25" customHeight="1">
      <c r="A118" s="11" t="s">
        <v>140</v>
      </c>
      <c r="B118" s="12">
        <v>1438</v>
      </c>
      <c r="C118" s="12">
        <v>0</v>
      </c>
      <c r="D118" s="12">
        <f t="shared" si="8"/>
        <v>1438</v>
      </c>
      <c r="E118" s="12">
        <f t="shared" si="9"/>
        <v>0</v>
      </c>
      <c r="F118" s="51"/>
    </row>
    <row r="119" spans="1:6" s="1" customFormat="1" ht="17.25" customHeight="1">
      <c r="A119" s="11" t="s">
        <v>130</v>
      </c>
      <c r="B119" s="12">
        <v>6264</v>
      </c>
      <c r="C119" s="12">
        <v>0</v>
      </c>
      <c r="D119" s="12">
        <f t="shared" si="8"/>
        <v>6264</v>
      </c>
      <c r="E119" s="12">
        <f t="shared" si="9"/>
        <v>0</v>
      </c>
      <c r="F119" s="47"/>
    </row>
    <row r="120" spans="1:6" s="1" customFormat="1" ht="29.25" customHeight="1">
      <c r="A120" s="11" t="s">
        <v>168</v>
      </c>
      <c r="B120" s="12">
        <f>820+336-280+144</f>
        <v>1020</v>
      </c>
      <c r="C120" s="12">
        <f>418</f>
        <v>418</v>
      </c>
      <c r="D120" s="12">
        <f>+B120+C120</f>
        <v>1438</v>
      </c>
      <c r="E120" s="12">
        <f>+D120-B120</f>
        <v>418</v>
      </c>
      <c r="F120" s="13" t="s">
        <v>202</v>
      </c>
    </row>
    <row r="121" spans="1:6" s="1" customFormat="1" ht="17.25" customHeight="1">
      <c r="A121" s="8" t="s">
        <v>169</v>
      </c>
      <c r="B121" s="6">
        <v>2164</v>
      </c>
      <c r="C121" s="6">
        <v>0</v>
      </c>
      <c r="D121" s="6">
        <f t="shared" si="8"/>
        <v>2164</v>
      </c>
      <c r="E121" s="6">
        <f t="shared" si="9"/>
        <v>0</v>
      </c>
      <c r="F121" s="26"/>
    </row>
    <row r="122" spans="1:6" s="1" customFormat="1" ht="18" customHeight="1">
      <c r="A122" s="17" t="s">
        <v>43</v>
      </c>
      <c r="B122" s="18">
        <f>SUM(B115:B121)</f>
        <v>35603</v>
      </c>
      <c r="C122" s="18">
        <f>SUM(C115:C121)</f>
        <v>418</v>
      </c>
      <c r="D122" s="18">
        <f>SUM(D115:D121)</f>
        <v>36021</v>
      </c>
      <c r="E122" s="18">
        <f>SUM(E115:E121)</f>
        <v>418</v>
      </c>
      <c r="F122" s="19"/>
    </row>
    <row r="123" spans="1:6" s="1" customFormat="1" ht="18" customHeight="1">
      <c r="A123" s="21" t="s">
        <v>197</v>
      </c>
      <c r="B123" s="6"/>
      <c r="C123" s="6"/>
      <c r="D123" s="6"/>
      <c r="E123" s="6"/>
      <c r="F123" s="4"/>
    </row>
    <row r="124" spans="1:6" s="1" customFormat="1" ht="16.5" customHeight="1">
      <c r="A124" s="25" t="s">
        <v>71</v>
      </c>
      <c r="B124" s="6">
        <f>1794-1500</f>
        <v>294</v>
      </c>
      <c r="C124" s="6">
        <v>0</v>
      </c>
      <c r="D124" s="6">
        <f>+B124+C124</f>
        <v>294</v>
      </c>
      <c r="E124" s="6">
        <f>+D124-B124</f>
        <v>0</v>
      </c>
      <c r="F124" s="26"/>
    </row>
    <row r="125" spans="1:6" s="1" customFormat="1" ht="16.5" customHeight="1">
      <c r="A125" s="35" t="s">
        <v>3</v>
      </c>
      <c r="B125" s="6">
        <f>2000</f>
        <v>2000</v>
      </c>
      <c r="C125" s="6">
        <v>0</v>
      </c>
      <c r="D125" s="6">
        <f>+B125+C125</f>
        <v>2000</v>
      </c>
      <c r="E125" s="6">
        <f>+D125-B125</f>
        <v>0</v>
      </c>
      <c r="F125" s="10"/>
    </row>
    <row r="126" spans="1:6" s="20" customFormat="1" ht="16.5" customHeight="1">
      <c r="A126" s="35" t="s">
        <v>98</v>
      </c>
      <c r="B126" s="6">
        <v>600</v>
      </c>
      <c r="C126" s="6">
        <v>0</v>
      </c>
      <c r="D126" s="6">
        <f>+B126+C126</f>
        <v>600</v>
      </c>
      <c r="E126" s="6">
        <f>+D126-B126</f>
        <v>0</v>
      </c>
      <c r="F126" s="10"/>
    </row>
    <row r="127" spans="1:6" s="1" customFormat="1" ht="16.5" customHeight="1">
      <c r="A127" s="8" t="s">
        <v>173</v>
      </c>
      <c r="B127" s="6">
        <v>478</v>
      </c>
      <c r="C127" s="6">
        <v>0</v>
      </c>
      <c r="D127" s="6">
        <f>+B127+C127</f>
        <v>478</v>
      </c>
      <c r="E127" s="6">
        <f>+D127-B127</f>
        <v>0</v>
      </c>
      <c r="F127" s="26"/>
    </row>
    <row r="128" spans="1:6" s="1" customFormat="1" ht="16.5" customHeight="1">
      <c r="A128" s="8" t="s">
        <v>188</v>
      </c>
      <c r="B128" s="6">
        <v>0</v>
      </c>
      <c r="C128" s="6">
        <v>1389</v>
      </c>
      <c r="D128" s="6">
        <f>+B128+C128</f>
        <v>1389</v>
      </c>
      <c r="E128" s="6">
        <f>+D128-B128</f>
        <v>1389</v>
      </c>
      <c r="F128" s="26" t="s">
        <v>198</v>
      </c>
    </row>
    <row r="129" spans="1:6" s="1" customFormat="1" ht="18" customHeight="1">
      <c r="A129" s="17" t="s">
        <v>44</v>
      </c>
      <c r="B129" s="18">
        <f>SUM(B124:B128)</f>
        <v>3372</v>
      </c>
      <c r="C129" s="18">
        <f>SUM(C124:C128)</f>
        <v>1389</v>
      </c>
      <c r="D129" s="18">
        <f>SUM(D124:D128)</f>
        <v>4761</v>
      </c>
      <c r="E129" s="18">
        <f>SUM(E124:E128)</f>
        <v>1389</v>
      </c>
      <c r="F129" s="19"/>
    </row>
    <row r="130" spans="1:6" s="1" customFormat="1" ht="18" customHeight="1">
      <c r="A130" s="21" t="s">
        <v>45</v>
      </c>
      <c r="B130" s="6"/>
      <c r="C130" s="6"/>
      <c r="D130" s="6"/>
      <c r="E130" s="6"/>
      <c r="F130" s="4"/>
    </row>
    <row r="131" spans="1:6" s="20" customFormat="1" ht="17.25" customHeight="1">
      <c r="A131" s="25" t="s">
        <v>72</v>
      </c>
      <c r="B131" s="6">
        <f>5000-282</f>
        <v>4718</v>
      </c>
      <c r="C131" s="6">
        <v>0</v>
      </c>
      <c r="D131" s="6">
        <f>+B131+C131</f>
        <v>4718</v>
      </c>
      <c r="E131" s="6">
        <f>+D131-B131</f>
        <v>0</v>
      </c>
      <c r="F131" s="26"/>
    </row>
    <row r="132" spans="1:6" s="1" customFormat="1" ht="17.25" customHeight="1">
      <c r="A132" s="25" t="s">
        <v>99</v>
      </c>
      <c r="B132" s="6">
        <f>139335-8004+5117</f>
        <v>136448</v>
      </c>
      <c r="C132" s="6">
        <v>0</v>
      </c>
      <c r="D132" s="6">
        <f>+B132+C132</f>
        <v>136448</v>
      </c>
      <c r="E132" s="6">
        <f>+D132-B132</f>
        <v>0</v>
      </c>
      <c r="F132" s="47"/>
    </row>
    <row r="133" spans="1:6" s="1" customFormat="1" ht="17.25" customHeight="1">
      <c r="A133" s="25" t="s">
        <v>132</v>
      </c>
      <c r="B133" s="6">
        <v>20000</v>
      </c>
      <c r="C133" s="6">
        <v>0</v>
      </c>
      <c r="D133" s="6">
        <v>20000</v>
      </c>
      <c r="E133" s="6">
        <f>+D133-B133</f>
        <v>0</v>
      </c>
      <c r="F133" s="47"/>
    </row>
    <row r="134" spans="1:6" s="1" customFormat="1" ht="18" customHeight="1">
      <c r="A134" s="17" t="s">
        <v>46</v>
      </c>
      <c r="B134" s="18">
        <f>SUM(B131:B133)</f>
        <v>161166</v>
      </c>
      <c r="C134" s="18">
        <f>SUM(C131:C133)</f>
        <v>0</v>
      </c>
      <c r="D134" s="18">
        <f>SUM(D131:D133)</f>
        <v>161166</v>
      </c>
      <c r="E134" s="18">
        <f>SUM(E131:E133)</f>
        <v>0</v>
      </c>
      <c r="F134" s="19"/>
    </row>
    <row r="135" spans="1:6" s="1" customFormat="1" ht="18" customHeight="1">
      <c r="A135" s="21" t="s">
        <v>47</v>
      </c>
      <c r="B135" s="6"/>
      <c r="C135" s="6"/>
      <c r="D135" s="6"/>
      <c r="E135" s="6"/>
      <c r="F135" s="4"/>
    </row>
    <row r="136" spans="1:6" s="1" customFormat="1" ht="17.25" customHeight="1">
      <c r="A136" s="35" t="s">
        <v>100</v>
      </c>
      <c r="B136" s="6">
        <f>4020-328</f>
        <v>3692</v>
      </c>
      <c r="C136" s="6">
        <v>0</v>
      </c>
      <c r="D136" s="6">
        <f aca="true" t="shared" si="10" ref="D136:D143">+B136+C136</f>
        <v>3692</v>
      </c>
      <c r="E136" s="6">
        <f aca="true" t="shared" si="11" ref="E136:E143">+D136-B136</f>
        <v>0</v>
      </c>
      <c r="F136" s="26"/>
    </row>
    <row r="137" spans="1:6" s="1" customFormat="1" ht="17.25" customHeight="1">
      <c r="A137" s="35" t="s">
        <v>102</v>
      </c>
      <c r="B137" s="6">
        <f>3031-716</f>
        <v>2315</v>
      </c>
      <c r="C137" s="6">
        <v>0</v>
      </c>
      <c r="D137" s="6">
        <f t="shared" si="10"/>
        <v>2315</v>
      </c>
      <c r="E137" s="6">
        <f t="shared" si="11"/>
        <v>0</v>
      </c>
      <c r="F137" s="26"/>
    </row>
    <row r="138" spans="1:6" s="1" customFormat="1" ht="17.25" customHeight="1">
      <c r="A138" s="35" t="s">
        <v>101</v>
      </c>
      <c r="B138" s="6">
        <v>500</v>
      </c>
      <c r="C138" s="6">
        <v>0</v>
      </c>
      <c r="D138" s="6">
        <f t="shared" si="10"/>
        <v>500</v>
      </c>
      <c r="E138" s="6">
        <f t="shared" si="11"/>
        <v>0</v>
      </c>
      <c r="F138" s="10"/>
    </row>
    <row r="139" spans="1:6" s="1" customFormat="1" ht="17.25" customHeight="1">
      <c r="A139" s="37" t="s">
        <v>0</v>
      </c>
      <c r="B139" s="29">
        <f>3000+6502+632</f>
        <v>10134</v>
      </c>
      <c r="C139" s="29">
        <v>0</v>
      </c>
      <c r="D139" s="29">
        <f t="shared" si="10"/>
        <v>10134</v>
      </c>
      <c r="E139" s="29">
        <f t="shared" si="11"/>
        <v>0</v>
      </c>
      <c r="F139" s="52"/>
    </row>
    <row r="140" spans="1:6" ht="17.25" customHeight="1">
      <c r="A140" s="11" t="s">
        <v>94</v>
      </c>
      <c r="B140" s="12">
        <f>13000-950</f>
        <v>12050</v>
      </c>
      <c r="C140" s="12">
        <v>0</v>
      </c>
      <c r="D140" s="12">
        <f t="shared" si="10"/>
        <v>12050</v>
      </c>
      <c r="E140" s="12">
        <f t="shared" si="11"/>
        <v>0</v>
      </c>
      <c r="F140" s="26"/>
    </row>
    <row r="141" spans="1:6" ht="17.25" customHeight="1">
      <c r="A141" s="11" t="s">
        <v>8</v>
      </c>
      <c r="B141" s="12">
        <f>7500-632</f>
        <v>6868</v>
      </c>
      <c r="C141" s="12">
        <v>0</v>
      </c>
      <c r="D141" s="12">
        <f t="shared" si="10"/>
        <v>6868</v>
      </c>
      <c r="E141" s="12">
        <f t="shared" si="11"/>
        <v>0</v>
      </c>
      <c r="F141" s="26"/>
    </row>
    <row r="142" spans="1:6" ht="17.25" customHeight="1">
      <c r="A142" s="11" t="s">
        <v>143</v>
      </c>
      <c r="B142" s="12">
        <f>8000+68+54</f>
        <v>8122</v>
      </c>
      <c r="C142" s="12">
        <v>0</v>
      </c>
      <c r="D142" s="12">
        <f t="shared" si="10"/>
        <v>8122</v>
      </c>
      <c r="E142" s="12">
        <f t="shared" si="11"/>
        <v>0</v>
      </c>
      <c r="F142" s="13"/>
    </row>
    <row r="143" spans="1:6" ht="17.25" customHeight="1">
      <c r="A143" s="31" t="s">
        <v>15</v>
      </c>
      <c r="B143" s="12">
        <f>1000+2274</f>
        <v>3274</v>
      </c>
      <c r="C143" s="12">
        <v>0</v>
      </c>
      <c r="D143" s="12">
        <f t="shared" si="10"/>
        <v>3274</v>
      </c>
      <c r="E143" s="12">
        <f t="shared" si="11"/>
        <v>0</v>
      </c>
      <c r="F143" s="13"/>
    </row>
    <row r="144" spans="1:6" ht="17.25" customHeight="1">
      <c r="A144" s="31" t="s">
        <v>156</v>
      </c>
      <c r="B144" s="12">
        <v>5400</v>
      </c>
      <c r="C144" s="12">
        <v>0</v>
      </c>
      <c r="D144" s="12">
        <f aca="true" t="shared" si="12" ref="D144:D151">+B144+C144</f>
        <v>5400</v>
      </c>
      <c r="E144" s="12">
        <f aca="true" t="shared" si="13" ref="E144:E151">+D144-B144</f>
        <v>0</v>
      </c>
      <c r="F144" s="9"/>
    </row>
    <row r="145" spans="1:6" ht="17.25" customHeight="1">
      <c r="A145" s="35" t="s">
        <v>166</v>
      </c>
      <c r="B145" s="12">
        <v>6000</v>
      </c>
      <c r="C145" s="12">
        <v>0</v>
      </c>
      <c r="D145" s="12">
        <f t="shared" si="12"/>
        <v>6000</v>
      </c>
      <c r="E145" s="12">
        <f t="shared" si="13"/>
        <v>0</v>
      </c>
      <c r="F145" s="9"/>
    </row>
    <row r="146" spans="1:6" ht="17.25" customHeight="1">
      <c r="A146" s="31" t="s">
        <v>13</v>
      </c>
      <c r="B146" s="12">
        <v>1000</v>
      </c>
      <c r="C146" s="12">
        <v>0</v>
      </c>
      <c r="D146" s="12">
        <f t="shared" si="12"/>
        <v>1000</v>
      </c>
      <c r="E146" s="12">
        <f t="shared" si="13"/>
        <v>0</v>
      </c>
      <c r="F146" s="10"/>
    </row>
    <row r="147" spans="1:6" s="24" customFormat="1" ht="17.25" customHeight="1">
      <c r="A147" s="8" t="s">
        <v>60</v>
      </c>
      <c r="B147" s="42">
        <v>20000</v>
      </c>
      <c r="C147" s="12">
        <v>0</v>
      </c>
      <c r="D147" s="42">
        <f>+B147+C147</f>
        <v>20000</v>
      </c>
      <c r="E147" s="12">
        <f>+D147-B147</f>
        <v>0</v>
      </c>
      <c r="F147" s="23"/>
    </row>
    <row r="148" spans="1:6" ht="29.25" customHeight="1">
      <c r="A148" s="11" t="s">
        <v>190</v>
      </c>
      <c r="B148" s="12">
        <v>0</v>
      </c>
      <c r="C148" s="12">
        <f>300+150+1666</f>
        <v>2116</v>
      </c>
      <c r="D148" s="12">
        <f>+B148+C148</f>
        <v>2116</v>
      </c>
      <c r="E148" s="12">
        <f>+D148-B148</f>
        <v>2116</v>
      </c>
      <c r="F148" s="13" t="s">
        <v>189</v>
      </c>
    </row>
    <row r="149" spans="1:6" s="24" customFormat="1" ht="14.25" customHeight="1">
      <c r="A149" s="8" t="s">
        <v>145</v>
      </c>
      <c r="B149" s="6">
        <v>0</v>
      </c>
      <c r="C149" s="12">
        <v>0</v>
      </c>
      <c r="D149" s="6">
        <f t="shared" si="12"/>
        <v>0</v>
      </c>
      <c r="E149" s="12">
        <f t="shared" si="13"/>
        <v>0</v>
      </c>
      <c r="F149" s="53"/>
    </row>
    <row r="150" spans="1:6" s="24" customFormat="1" ht="14.25" customHeight="1">
      <c r="A150" s="8" t="s">
        <v>146</v>
      </c>
      <c r="B150" s="6">
        <v>0</v>
      </c>
      <c r="C150" s="12">
        <v>0</v>
      </c>
      <c r="D150" s="6">
        <f t="shared" si="12"/>
        <v>0</v>
      </c>
      <c r="E150" s="12">
        <f t="shared" si="13"/>
        <v>0</v>
      </c>
      <c r="F150" s="53"/>
    </row>
    <row r="151" spans="1:6" s="20" customFormat="1" ht="14.25" customHeight="1">
      <c r="A151" s="31" t="s">
        <v>91</v>
      </c>
      <c r="B151" s="6">
        <v>0</v>
      </c>
      <c r="C151" s="6">
        <v>0</v>
      </c>
      <c r="D151" s="6">
        <f t="shared" si="12"/>
        <v>0</v>
      </c>
      <c r="E151" s="6">
        <f t="shared" si="13"/>
        <v>0</v>
      </c>
      <c r="F151" s="26"/>
    </row>
    <row r="152" spans="1:6" s="1" customFormat="1" ht="18" customHeight="1">
      <c r="A152" s="17" t="s">
        <v>48</v>
      </c>
      <c r="B152" s="18">
        <f>SUM(B136:B151)</f>
        <v>79355</v>
      </c>
      <c r="C152" s="18">
        <f>SUM(C136:C151)</f>
        <v>2116</v>
      </c>
      <c r="D152" s="18">
        <f>SUM(D136:D151)</f>
        <v>81471</v>
      </c>
      <c r="E152" s="18">
        <f>SUM(E136:E151)</f>
        <v>2116</v>
      </c>
      <c r="F152" s="19"/>
    </row>
    <row r="153" spans="1:6" s="1" customFormat="1" ht="18" customHeight="1">
      <c r="A153" s="21" t="s">
        <v>49</v>
      </c>
      <c r="B153" s="6"/>
      <c r="C153" s="6"/>
      <c r="D153" s="6"/>
      <c r="E153" s="6"/>
      <c r="F153" s="4"/>
    </row>
    <row r="154" spans="1:6" s="1" customFormat="1" ht="17.25" customHeight="1">
      <c r="A154" s="8" t="s">
        <v>103</v>
      </c>
      <c r="B154" s="6">
        <f>16000-11572+30</f>
        <v>4458</v>
      </c>
      <c r="C154" s="6">
        <v>0</v>
      </c>
      <c r="D154" s="6">
        <f>+B154+C154</f>
        <v>4458</v>
      </c>
      <c r="E154" s="6">
        <f>+D154-B154</f>
        <v>0</v>
      </c>
      <c r="F154" s="9"/>
    </row>
    <row r="155" spans="1:6" s="20" customFormat="1" ht="17.25" customHeight="1">
      <c r="A155" s="8" t="s">
        <v>104</v>
      </c>
      <c r="B155" s="6">
        <v>2559</v>
      </c>
      <c r="C155" s="6">
        <v>0</v>
      </c>
      <c r="D155" s="6">
        <f>+B155+C155</f>
        <v>2559</v>
      </c>
      <c r="E155" s="6">
        <f>+D155-B155</f>
        <v>0</v>
      </c>
      <c r="F155" s="10"/>
    </row>
    <row r="156" spans="1:6" s="20" customFormat="1" ht="17.25" customHeight="1">
      <c r="A156" s="35" t="s">
        <v>158</v>
      </c>
      <c r="B156" s="6">
        <v>2885</v>
      </c>
      <c r="C156" s="6">
        <v>0</v>
      </c>
      <c r="D156" s="6">
        <f>+B156+C156</f>
        <v>2885</v>
      </c>
      <c r="E156" s="6">
        <f>+D156-B156</f>
        <v>0</v>
      </c>
      <c r="F156" s="26"/>
    </row>
    <row r="157" spans="1:6" s="24" customFormat="1" ht="17.25" customHeight="1">
      <c r="A157" s="8" t="s">
        <v>187</v>
      </c>
      <c r="B157" s="6">
        <v>22000</v>
      </c>
      <c r="C157" s="12">
        <v>0</v>
      </c>
      <c r="D157" s="6">
        <f>+B157+C157</f>
        <v>22000</v>
      </c>
      <c r="E157" s="12">
        <f>+D157-B157</f>
        <v>0</v>
      </c>
      <c r="F157" s="53"/>
    </row>
    <row r="158" spans="1:6" s="1" customFormat="1" ht="17.25" customHeight="1">
      <c r="A158" s="11" t="s">
        <v>142</v>
      </c>
      <c r="B158" s="12">
        <v>0</v>
      </c>
      <c r="C158" s="12">
        <v>0</v>
      </c>
      <c r="D158" s="12">
        <f>+B158+C158</f>
        <v>0</v>
      </c>
      <c r="E158" s="12">
        <f>+D158-B158</f>
        <v>0</v>
      </c>
      <c r="F158" s="26"/>
    </row>
    <row r="159" spans="1:6" s="1" customFormat="1" ht="18" customHeight="1">
      <c r="A159" s="17" t="s">
        <v>50</v>
      </c>
      <c r="B159" s="18">
        <f>SUM(B154:B158)</f>
        <v>31902</v>
      </c>
      <c r="C159" s="18">
        <f>SUM(C154:C158)</f>
        <v>0</v>
      </c>
      <c r="D159" s="18">
        <f>SUM(D154:D158)</f>
        <v>31902</v>
      </c>
      <c r="E159" s="18">
        <f>SUM(E154:E158)</f>
        <v>0</v>
      </c>
      <c r="F159" s="19"/>
    </row>
    <row r="160" spans="1:6" s="1" customFormat="1" ht="18" customHeight="1">
      <c r="A160" s="21" t="s">
        <v>51</v>
      </c>
      <c r="B160" s="6"/>
      <c r="C160" s="6"/>
      <c r="D160" s="6"/>
      <c r="E160" s="6"/>
      <c r="F160" s="4"/>
    </row>
    <row r="161" spans="1:6" s="1" customFormat="1" ht="18" customHeight="1">
      <c r="A161" s="8" t="s">
        <v>111</v>
      </c>
      <c r="B161" s="6">
        <v>3096</v>
      </c>
      <c r="C161" s="6">
        <v>0</v>
      </c>
      <c r="D161" s="6">
        <f>+B161+C161</f>
        <v>3096</v>
      </c>
      <c r="E161" s="6">
        <f>+D161-B161</f>
        <v>0</v>
      </c>
      <c r="F161" s="10"/>
    </row>
    <row r="162" spans="1:6" ht="18" customHeight="1">
      <c r="A162" s="11" t="s">
        <v>73</v>
      </c>
      <c r="B162" s="12">
        <f>2500-101</f>
        <v>2399</v>
      </c>
      <c r="C162" s="12">
        <v>0</v>
      </c>
      <c r="D162" s="12">
        <f>+B162+C162</f>
        <v>2399</v>
      </c>
      <c r="E162" s="12">
        <f>+D162-B162</f>
        <v>0</v>
      </c>
      <c r="F162" s="13"/>
    </row>
    <row r="163" spans="1:6" ht="33" customHeight="1">
      <c r="A163" s="11" t="s">
        <v>4</v>
      </c>
      <c r="B163" s="12">
        <v>100</v>
      </c>
      <c r="C163" s="12">
        <v>0</v>
      </c>
      <c r="D163" s="12">
        <f>+B163+C163</f>
        <v>100</v>
      </c>
      <c r="E163" s="12">
        <f>+D163-B163</f>
        <v>0</v>
      </c>
      <c r="F163" s="10"/>
    </row>
    <row r="164" spans="1:6" ht="24.75" customHeight="1">
      <c r="A164" s="11" t="s">
        <v>175</v>
      </c>
      <c r="B164" s="12">
        <v>75</v>
      </c>
      <c r="C164" s="12">
        <v>0</v>
      </c>
      <c r="D164" s="12">
        <f>+B164+C164</f>
        <v>75</v>
      </c>
      <c r="E164" s="12">
        <f>+D164-B164</f>
        <v>0</v>
      </c>
      <c r="F164" s="10"/>
    </row>
    <row r="165" spans="1:6" s="1" customFormat="1" ht="18" customHeight="1">
      <c r="A165" s="11" t="s">
        <v>52</v>
      </c>
      <c r="B165" s="6">
        <v>0</v>
      </c>
      <c r="C165" s="6">
        <v>0</v>
      </c>
      <c r="D165" s="6">
        <f>+B165+C165</f>
        <v>0</v>
      </c>
      <c r="E165" s="6">
        <f>+D165-B165</f>
        <v>0</v>
      </c>
      <c r="F165" s="9"/>
    </row>
    <row r="166" spans="1:6" s="1" customFormat="1" ht="18" customHeight="1">
      <c r="A166" s="17" t="s">
        <v>53</v>
      </c>
      <c r="B166" s="18">
        <f>SUM(B161:B165)</f>
        <v>5670</v>
      </c>
      <c r="C166" s="18">
        <f>SUM(C161:C165)</f>
        <v>0</v>
      </c>
      <c r="D166" s="18">
        <f>SUM(D161:D165)</f>
        <v>5670</v>
      </c>
      <c r="E166" s="18">
        <f>SUM(E161:E165)</f>
        <v>0</v>
      </c>
      <c r="F166" s="19"/>
    </row>
    <row r="167" spans="1:6" s="1" customFormat="1" ht="18" customHeight="1">
      <c r="A167" s="54" t="s">
        <v>54</v>
      </c>
      <c r="B167" s="6"/>
      <c r="C167" s="6"/>
      <c r="D167" s="6"/>
      <c r="E167" s="6"/>
      <c r="F167" s="4"/>
    </row>
    <row r="168" spans="1:6" ht="107.25" customHeight="1">
      <c r="A168" s="55" t="s">
        <v>74</v>
      </c>
      <c r="B168" s="6">
        <f>30000+9025+12652-(237+1334+15024+3000+108+30+2500)+15000-120-3000-16500-720-1235-4728-820-5400-3180-336+2156+2785+25000-11268</f>
        <v>27078</v>
      </c>
      <c r="C168" s="6">
        <f>-6600-4752-798-3480-341-60-1500</f>
        <v>-17531</v>
      </c>
      <c r="D168" s="6">
        <f aca="true" t="shared" si="14" ref="D168:D180">+B168+C168</f>
        <v>9547</v>
      </c>
      <c r="E168" s="6">
        <f aca="true" t="shared" si="15" ref="E168:E180">+D168-B168</f>
        <v>-17531</v>
      </c>
      <c r="F168" s="56" t="s">
        <v>203</v>
      </c>
    </row>
    <row r="169" spans="1:6" ht="16.5" customHeight="1">
      <c r="A169" s="11" t="s">
        <v>75</v>
      </c>
      <c r="B169" s="6">
        <f>18000+2300-5000</f>
        <v>15300</v>
      </c>
      <c r="C169" s="6">
        <v>0</v>
      </c>
      <c r="D169" s="6">
        <f t="shared" si="14"/>
        <v>15300</v>
      </c>
      <c r="E169" s="6">
        <f t="shared" si="15"/>
        <v>0</v>
      </c>
      <c r="F169" s="10"/>
    </row>
    <row r="170" spans="1:6" ht="16.5" customHeight="1">
      <c r="A170" s="11" t="s">
        <v>76</v>
      </c>
      <c r="B170" s="6">
        <f>2000+3575</f>
        <v>5575</v>
      </c>
      <c r="C170" s="6">
        <v>0</v>
      </c>
      <c r="D170" s="6">
        <f t="shared" si="14"/>
        <v>5575</v>
      </c>
      <c r="E170" s="6">
        <f t="shared" si="15"/>
        <v>0</v>
      </c>
      <c r="F170" s="51"/>
    </row>
    <row r="171" spans="1:6" ht="16.5" customHeight="1">
      <c r="A171" s="11" t="s">
        <v>77</v>
      </c>
      <c r="B171" s="6">
        <v>500</v>
      </c>
      <c r="C171" s="6">
        <v>0</v>
      </c>
      <c r="D171" s="6">
        <f t="shared" si="14"/>
        <v>500</v>
      </c>
      <c r="E171" s="6">
        <f t="shared" si="15"/>
        <v>0</v>
      </c>
      <c r="F171" s="10"/>
    </row>
    <row r="172" spans="1:6" s="1" customFormat="1" ht="16.5" customHeight="1">
      <c r="A172" s="11" t="s">
        <v>78</v>
      </c>
      <c r="B172" s="6">
        <f>4000+1850+50</f>
        <v>5900</v>
      </c>
      <c r="C172" s="6">
        <v>0</v>
      </c>
      <c r="D172" s="6">
        <f t="shared" si="14"/>
        <v>5900</v>
      </c>
      <c r="E172" s="6">
        <f t="shared" si="15"/>
        <v>0</v>
      </c>
      <c r="F172" s="10"/>
    </row>
    <row r="173" spans="1:6" s="1" customFormat="1" ht="16.5" customHeight="1">
      <c r="A173" s="11" t="s">
        <v>79</v>
      </c>
      <c r="B173" s="12">
        <f>10000-300</f>
        <v>9700</v>
      </c>
      <c r="C173" s="12">
        <v>0</v>
      </c>
      <c r="D173" s="12">
        <f t="shared" si="14"/>
        <v>9700</v>
      </c>
      <c r="E173" s="12">
        <f t="shared" si="15"/>
        <v>0</v>
      </c>
      <c r="F173" s="26"/>
    </row>
    <row r="174" spans="1:6" s="1" customFormat="1" ht="16.5" customHeight="1">
      <c r="A174" s="11" t="s">
        <v>24</v>
      </c>
      <c r="B174" s="12">
        <f>5000-950-2050</f>
        <v>2000</v>
      </c>
      <c r="C174" s="12">
        <v>0</v>
      </c>
      <c r="D174" s="12">
        <f t="shared" si="14"/>
        <v>2000</v>
      </c>
      <c r="E174" s="12">
        <f t="shared" si="15"/>
        <v>0</v>
      </c>
      <c r="F174" s="10" t="s">
        <v>17</v>
      </c>
    </row>
    <row r="175" spans="1:6" s="1" customFormat="1" ht="16.5" customHeight="1">
      <c r="A175" s="11" t="s">
        <v>159</v>
      </c>
      <c r="B175" s="12">
        <v>950</v>
      </c>
      <c r="C175" s="12">
        <v>0</v>
      </c>
      <c r="D175" s="12">
        <f>+B175+C175</f>
        <v>950</v>
      </c>
      <c r="E175" s="12">
        <f>+D175-B175</f>
        <v>0</v>
      </c>
      <c r="F175" s="26"/>
    </row>
    <row r="176" spans="1:6" s="57" customFormat="1" ht="16.5" customHeight="1">
      <c r="A176" s="5" t="s">
        <v>23</v>
      </c>
      <c r="B176" s="6">
        <v>3000</v>
      </c>
      <c r="C176" s="6">
        <v>0</v>
      </c>
      <c r="D176" s="6">
        <f t="shared" si="14"/>
        <v>3000</v>
      </c>
      <c r="E176" s="6">
        <f t="shared" si="15"/>
        <v>0</v>
      </c>
      <c r="F176" s="10"/>
    </row>
    <row r="177" spans="1:6" s="57" customFormat="1" ht="16.5" customHeight="1">
      <c r="A177" s="5" t="s">
        <v>80</v>
      </c>
      <c r="B177" s="6">
        <v>400</v>
      </c>
      <c r="C177" s="6">
        <v>0</v>
      </c>
      <c r="D177" s="6">
        <f t="shared" si="14"/>
        <v>400</v>
      </c>
      <c r="E177" s="6">
        <f t="shared" si="15"/>
        <v>0</v>
      </c>
      <c r="F177" s="10"/>
    </row>
    <row r="178" spans="1:6" s="20" customFormat="1" ht="16.5" customHeight="1">
      <c r="A178" s="31" t="s">
        <v>55</v>
      </c>
      <c r="B178" s="6">
        <f>300-300</f>
        <v>0</v>
      </c>
      <c r="C178" s="6">
        <v>0</v>
      </c>
      <c r="D178" s="6">
        <f t="shared" si="14"/>
        <v>0</v>
      </c>
      <c r="E178" s="6">
        <f t="shared" si="15"/>
        <v>0</v>
      </c>
      <c r="F178" s="47"/>
    </row>
    <row r="179" spans="1:6" s="20" customFormat="1" ht="16.5" customHeight="1">
      <c r="A179" s="31" t="s">
        <v>204</v>
      </c>
      <c r="B179" s="6">
        <f>1388-1388</f>
        <v>0</v>
      </c>
      <c r="C179" s="6">
        <v>0</v>
      </c>
      <c r="D179" s="6">
        <f t="shared" si="14"/>
        <v>0</v>
      </c>
      <c r="E179" s="6">
        <f t="shared" si="15"/>
        <v>0</v>
      </c>
      <c r="F179" s="47"/>
    </row>
    <row r="180" spans="1:6" s="1" customFormat="1" ht="16.5" customHeight="1">
      <c r="A180" s="41" t="s">
        <v>105</v>
      </c>
      <c r="B180" s="6">
        <v>100</v>
      </c>
      <c r="C180" s="6">
        <v>0</v>
      </c>
      <c r="D180" s="6">
        <f t="shared" si="14"/>
        <v>100</v>
      </c>
      <c r="E180" s="6">
        <f t="shared" si="15"/>
        <v>0</v>
      </c>
      <c r="F180" s="10"/>
    </row>
    <row r="181" spans="1:6" s="1" customFormat="1" ht="16.5" customHeight="1">
      <c r="A181" s="40" t="s">
        <v>6</v>
      </c>
      <c r="B181" s="6">
        <v>720</v>
      </c>
      <c r="C181" s="6">
        <v>0</v>
      </c>
      <c r="D181" s="6">
        <f aca="true" t="shared" si="16" ref="D181:D186">+B181+C181</f>
        <v>720</v>
      </c>
      <c r="E181" s="6">
        <f aca="true" t="shared" si="17" ref="E181:E186">+D181-B181</f>
        <v>0</v>
      </c>
      <c r="F181" s="10"/>
    </row>
    <row r="182" spans="1:6" s="1" customFormat="1" ht="16.5" customHeight="1">
      <c r="A182" s="40" t="s">
        <v>157</v>
      </c>
      <c r="B182" s="6">
        <v>3180</v>
      </c>
      <c r="C182" s="6">
        <v>0</v>
      </c>
      <c r="D182" s="6">
        <f t="shared" si="16"/>
        <v>3180</v>
      </c>
      <c r="E182" s="6">
        <f t="shared" si="17"/>
        <v>0</v>
      </c>
      <c r="F182" s="9"/>
    </row>
    <row r="183" spans="1:6" s="1" customFormat="1" ht="16.5" customHeight="1">
      <c r="A183" s="5" t="s">
        <v>126</v>
      </c>
      <c r="B183" s="6">
        <v>1334</v>
      </c>
      <c r="C183" s="6">
        <v>0</v>
      </c>
      <c r="D183" s="6">
        <f t="shared" si="16"/>
        <v>1334</v>
      </c>
      <c r="E183" s="6">
        <f t="shared" si="17"/>
        <v>0</v>
      </c>
      <c r="F183" s="9"/>
    </row>
    <row r="184" spans="1:6" s="1" customFormat="1" ht="16.5" customHeight="1">
      <c r="A184" s="5" t="s">
        <v>170</v>
      </c>
      <c r="B184" s="6">
        <v>234</v>
      </c>
      <c r="C184" s="6">
        <v>0</v>
      </c>
      <c r="D184" s="6">
        <f t="shared" si="16"/>
        <v>234</v>
      </c>
      <c r="E184" s="6">
        <f t="shared" si="17"/>
        <v>0</v>
      </c>
      <c r="F184" s="9"/>
    </row>
    <row r="185" spans="1:6" s="1" customFormat="1" ht="16.5" customHeight="1">
      <c r="A185" s="5" t="s">
        <v>174</v>
      </c>
      <c r="B185" s="6">
        <v>160</v>
      </c>
      <c r="C185" s="6">
        <v>0</v>
      </c>
      <c r="D185" s="6">
        <f t="shared" si="16"/>
        <v>160</v>
      </c>
      <c r="E185" s="6">
        <f t="shared" si="17"/>
        <v>0</v>
      </c>
      <c r="F185" s="9"/>
    </row>
    <row r="186" spans="1:6" s="1" customFormat="1" ht="16.5" customHeight="1">
      <c r="A186" s="5" t="s">
        <v>196</v>
      </c>
      <c r="B186" s="6">
        <v>0</v>
      </c>
      <c r="C186" s="6">
        <v>60</v>
      </c>
      <c r="D186" s="6">
        <f t="shared" si="16"/>
        <v>60</v>
      </c>
      <c r="E186" s="6">
        <f t="shared" si="17"/>
        <v>60</v>
      </c>
      <c r="F186" s="13" t="s">
        <v>195</v>
      </c>
    </row>
    <row r="187" spans="1:6" s="1" customFormat="1" ht="18" customHeight="1">
      <c r="A187" s="17" t="s">
        <v>56</v>
      </c>
      <c r="B187" s="18">
        <f>SUM(B168:B186)</f>
        <v>76131</v>
      </c>
      <c r="C187" s="18">
        <f>SUM(C168:C186)</f>
        <v>-17471</v>
      </c>
      <c r="D187" s="18">
        <f>SUM(D168:D186)</f>
        <v>58660</v>
      </c>
      <c r="E187" s="18">
        <f>SUM(E168:E186)</f>
        <v>-17471</v>
      </c>
      <c r="F187" s="19"/>
    </row>
    <row r="188" spans="1:6" s="1" customFormat="1" ht="18" customHeight="1">
      <c r="A188" s="58" t="s">
        <v>57</v>
      </c>
      <c r="B188" s="6"/>
      <c r="C188" s="6"/>
      <c r="D188" s="6"/>
      <c r="E188" s="6"/>
      <c r="F188" s="59"/>
    </row>
    <row r="189" spans="1:6" s="20" customFormat="1" ht="16.5" customHeight="1">
      <c r="A189" s="35" t="s">
        <v>58</v>
      </c>
      <c r="B189" s="6">
        <v>2820</v>
      </c>
      <c r="C189" s="6">
        <v>0</v>
      </c>
      <c r="D189" s="6">
        <f>+B189+C189</f>
        <v>2820</v>
      </c>
      <c r="E189" s="6">
        <f>+D189-B189</f>
        <v>0</v>
      </c>
      <c r="F189" s="10"/>
    </row>
    <row r="190" spans="1:6" s="1" customFormat="1" ht="16.5" customHeight="1">
      <c r="A190" s="35" t="s">
        <v>112</v>
      </c>
      <c r="B190" s="6">
        <v>3116</v>
      </c>
      <c r="C190" s="6">
        <v>0</v>
      </c>
      <c r="D190" s="6">
        <f>+B190+C190</f>
        <v>3116</v>
      </c>
      <c r="E190" s="6">
        <f>+D190-B190</f>
        <v>0</v>
      </c>
      <c r="F190" s="10"/>
    </row>
    <row r="191" spans="1:6" s="1" customFormat="1" ht="16.5" customHeight="1">
      <c r="A191" s="35" t="s">
        <v>154</v>
      </c>
      <c r="B191" s="6">
        <v>4000</v>
      </c>
      <c r="C191" s="6">
        <v>0</v>
      </c>
      <c r="D191" s="6">
        <f>+B191+C191</f>
        <v>4000</v>
      </c>
      <c r="E191" s="6">
        <f>+D191-B191</f>
        <v>0</v>
      </c>
      <c r="F191" s="26"/>
    </row>
    <row r="192" spans="1:6" s="1" customFormat="1" ht="16.5" customHeight="1">
      <c r="A192" s="35" t="s">
        <v>155</v>
      </c>
      <c r="B192" s="6">
        <v>11045</v>
      </c>
      <c r="C192" s="6">
        <v>0</v>
      </c>
      <c r="D192" s="6">
        <f>+B192+C192</f>
        <v>11045</v>
      </c>
      <c r="E192" s="6">
        <f>+D192-B192</f>
        <v>0</v>
      </c>
      <c r="F192" s="26"/>
    </row>
    <row r="193" spans="1:6" s="1" customFormat="1" ht="16.5" customHeight="1">
      <c r="A193" s="5" t="s">
        <v>183</v>
      </c>
      <c r="B193" s="6">
        <v>57720</v>
      </c>
      <c r="C193" s="6">
        <v>0</v>
      </c>
      <c r="D193" s="6">
        <f>+B193+C193</f>
        <v>57720</v>
      </c>
      <c r="E193" s="6">
        <f>+D193-B193</f>
        <v>0</v>
      </c>
      <c r="F193" s="9"/>
    </row>
    <row r="194" spans="1:6" s="1" customFormat="1" ht="16.5" customHeight="1">
      <c r="A194" s="60" t="s">
        <v>59</v>
      </c>
      <c r="B194" s="61">
        <f>SUM(B189:B193)</f>
        <v>78701</v>
      </c>
      <c r="C194" s="61">
        <f>SUM(C189:C193)</f>
        <v>0</v>
      </c>
      <c r="D194" s="61">
        <f>SUM(D189:D193)</f>
        <v>78701</v>
      </c>
      <c r="E194" s="61">
        <f>SUM(E189:E193)</f>
        <v>0</v>
      </c>
      <c r="F194" s="62"/>
    </row>
    <row r="195" spans="1:6" ht="25.5" customHeight="1">
      <c r="A195" s="63" t="s">
        <v>81</v>
      </c>
      <c r="B195" s="64">
        <f>+B22+B46+B51+B113+B122+B129+B134+B152+B159+B166+B187+B194</f>
        <v>2149109</v>
      </c>
      <c r="C195" s="64">
        <f>+C22+C46+C51+C113+C122+C129+C134+C152+C159+C166+C187+C194</f>
        <v>3923</v>
      </c>
      <c r="D195" s="64">
        <f>+D22+D46+D51+D113+D122+D129+D134+D152+D159+D166+D187+D194</f>
        <v>2153032</v>
      </c>
      <c r="E195" s="64">
        <f>+E22+E46+E51+E113+E122+E129+E134+E152+E159+E166+E187+E194</f>
        <v>3923</v>
      </c>
      <c r="F195" s="65"/>
    </row>
  </sheetData>
  <sheetProtection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4724409448818898" right="0.2755905511811024" top="1.02" bottom="0.5905511811023623" header="0.6299212598425197" footer="0.31496062992125984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 1/2008.(III.05).önk.rendelet 
&amp;10 9. sz. melléklet
ezer Ft</oddHeader>
    <oddFooter>&amp;L&amp;"Times New Roman,Normál"
Kaposvár, &amp;D
&amp;C&amp;"Times New Roman,Normál"&amp;Z&amp;F _ &amp;A   &amp;"Times New Roman,Félkövér"  Szabó Tiborné&amp;R&amp;"Times New Roman,Normál"
&amp;P/&amp;N</oddFooter>
  </headerFooter>
  <rowBreaks count="5" manualBreakCount="5">
    <brk id="36" max="255" man="1"/>
    <brk id="71" max="255" man="1"/>
    <brk id="106" max="255" man="1"/>
    <brk id="139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2008-03-05T12:37:49Z</cp:lastPrinted>
  <dcterms:created xsi:type="dcterms:W3CDTF">2006-10-17T07:01:27Z</dcterms:created>
  <dcterms:modified xsi:type="dcterms:W3CDTF">2008-03-06T08:50:51Z</dcterms:modified>
  <cp:category/>
  <cp:version/>
  <cp:contentType/>
  <cp:contentStatus/>
</cp:coreProperties>
</file>