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0"/>
  </bookViews>
  <sheets>
    <sheet name="9.Felhalml" sheetId="1" r:id="rId1"/>
  </sheets>
  <definedNames>
    <definedName name="_xlnm.Print_Titles" localSheetId="0">'9.Felhalml'!$1:$2</definedName>
    <definedName name="_xlnm.Print_Area" localSheetId="0">'9.Felhalml'!$A$1:$H$203</definedName>
  </definedNames>
  <calcPr fullCalcOnLoad="1"/>
</workbook>
</file>

<file path=xl/sharedStrings.xml><?xml version="1.0" encoding="utf-8"?>
<sst xmlns="http://schemas.openxmlformats.org/spreadsheetml/2006/main" count="433" uniqueCount="221">
  <si>
    <t>Megnevezés</t>
  </si>
  <si>
    <t>2006. évi  előirányzat</t>
  </si>
  <si>
    <t>Szerződéses lekötöttség</t>
  </si>
  <si>
    <t>Megjegyzés</t>
  </si>
  <si>
    <t>eredeti</t>
  </si>
  <si>
    <t xml:space="preserve"> módosított</t>
  </si>
  <si>
    <t>összege</t>
  </si>
  <si>
    <t>%-a</t>
  </si>
  <si>
    <t>Közlekedés</t>
  </si>
  <si>
    <t>Toponár-Kaposvár összekötő úthoz  terület vásárlás</t>
  </si>
  <si>
    <t>Parkoló építése Béke u.97-99 elött    kb. 26 db</t>
  </si>
  <si>
    <t>Földút és járdaépítési program 2005.</t>
  </si>
  <si>
    <t xml:space="preserve">Közl.építési tervek: utak, járdák, parkoló, csomópont (6 db) </t>
  </si>
  <si>
    <t>Kossuth tér üzemeltetők által nem vállalt közmű-kiváltásai, egyéb munkák</t>
  </si>
  <si>
    <t>Földút és járdaépítési program  2006.</t>
  </si>
  <si>
    <t xml:space="preserve"> -</t>
  </si>
  <si>
    <t xml:space="preserve">                             Szabó Pál u déli oldal járdaépítés</t>
  </si>
  <si>
    <t xml:space="preserve">                             Buzsáki u.2-6 belső út</t>
  </si>
  <si>
    <t xml:space="preserve">                             Keletivánfa u vége: lépcsős járda átépítése</t>
  </si>
  <si>
    <t xml:space="preserve">                             Fazekas M. u. vége</t>
  </si>
  <si>
    <t>Buszvárók telepítése</t>
  </si>
  <si>
    <t>Csík F. sétány hosszabbítása (út, parkoló, járda, buszforduló)</t>
  </si>
  <si>
    <t>Fő u - Anna u. körforgalmú csomópont építése</t>
  </si>
  <si>
    <t>Ezredév u. szélesítése</t>
  </si>
  <si>
    <t>Ady E. u. gyalogos forgalmú utcává tervezése</t>
  </si>
  <si>
    <t>Térfigyelő kamera telepítése önerő</t>
  </si>
  <si>
    <t>Bartók B - Nyár - Golice - Iszák - Zrinyi utcák kereszteződése</t>
  </si>
  <si>
    <t>Körforgalom tervezése: Hársfa-Baross G-Béla Király u</t>
  </si>
  <si>
    <t>Közlekedés összesen</t>
  </si>
  <si>
    <t>Vízgazdálkodás</t>
  </si>
  <si>
    <t>Ammóniamentesítés engedélyezési terve pályázathoz</t>
  </si>
  <si>
    <t>Ammóniamentesítés törésponti klórozással  2006.évi ütem</t>
  </si>
  <si>
    <t>Intézmények és bérlakások szennyvízcsatorna rákötései 2005-2006.</t>
  </si>
  <si>
    <t xml:space="preserve">K.szentjakabi városrész és egyéb utcák szennyvízcsat + műszaki ell. </t>
  </si>
  <si>
    <t xml:space="preserve">Házi szvízátemelők     (Ksz.jakabi v.rész  szvcsat.-hoz kapcs.) </t>
  </si>
  <si>
    <t>Töröcske és társult települések szennyvízcsat. céltám. 2006 évi ütem</t>
  </si>
  <si>
    <t>Kaposvár-Töröcske szennyvízcsat.  pályázat előkészítése</t>
  </si>
  <si>
    <t>Házi kisátemelők és házi bekötések utólagos kiépítése</t>
  </si>
  <si>
    <t>Losonc-köz csapadékvíz elvezetés megoldása terv</t>
  </si>
  <si>
    <t>Losonc köz vízelvezetés  I.ütem</t>
  </si>
  <si>
    <t>Gruber J. u vízellátása belterületi szakaszon terv</t>
  </si>
  <si>
    <t>Gruber J. u vízvezetékcső fektetése</t>
  </si>
  <si>
    <t xml:space="preserve">  - </t>
  </si>
  <si>
    <t xml:space="preserve">Pálvarga dűlő. 400 fm ívóvízvezeték építése </t>
  </si>
  <si>
    <t>Ady E. u csapadékvízelvezetés terv</t>
  </si>
  <si>
    <t>Fő u.21. csapadékcsatorna csere</t>
  </si>
  <si>
    <t>Cseri út É-i oldal csapadékvíz elvezetés pályázati önerő</t>
  </si>
  <si>
    <t xml:space="preserve">Városi Fürdő: vízbázisvédelmi tanulmányterv védőidom kijelöléshez </t>
  </si>
  <si>
    <t>Keletivánfa u. útárkok burkolása</t>
  </si>
  <si>
    <t>Ivóvíz vezeték építése: Gesztenye u.</t>
  </si>
  <si>
    <t>Ivóvíz vezeték építése: Kaposhegyi u.</t>
  </si>
  <si>
    <t>Ivóvíz vezeték építése: Nagyváthy u.</t>
  </si>
  <si>
    <t>Táncsics - Duna utcák kereszteződésében vízelvezetési terv</t>
  </si>
  <si>
    <t>Madár u. vízvezeték kiváltása</t>
  </si>
  <si>
    <t>Jászai M. u. vízvezeték kiépítése terv és vízjogi létesítési eng.terv</t>
  </si>
  <si>
    <t>Vízgazdálkodás összesen</t>
  </si>
  <si>
    <t>Közvilágítás</t>
  </si>
  <si>
    <t>Kisebb közvilágítási fejlesztések  2005.</t>
  </si>
  <si>
    <t>Galagonya, Vadkörte, Kökény és Körte u közvilágítás fejlesztése</t>
  </si>
  <si>
    <t>Kisebb közvilágítási fejlesztések 2006</t>
  </si>
  <si>
    <t>Közvilágítás: Kökörcsin u.</t>
  </si>
  <si>
    <t>Közvilágítás: Galagonya-Vadkörte u.</t>
  </si>
  <si>
    <t>Közvilágítási fejlesztések összesen</t>
  </si>
  <si>
    <t>Városgazdálkodás</t>
  </si>
  <si>
    <t>Füredi II laktanya körny.véd.kármentesítése  2004+2005</t>
  </si>
  <si>
    <t>Városi hulladéklerakó környezetvéd. előírt köt. teljesítése</t>
  </si>
  <si>
    <t>Állati hulladék gyűjtőhely kialakítása: előkészítés, pályázati önerő</t>
  </si>
  <si>
    <t>Komplex építési hulladékgazdálkodási rendszer (KIOP)</t>
  </si>
  <si>
    <t>Kaposmenti hulladékgazdálkodási program előkészítése</t>
  </si>
  <si>
    <t>Déli temető: út, parkoló, ravatalozó, szoc.parcellák</t>
  </si>
  <si>
    <t xml:space="preserve">Déli temető: vill.bekötés és ravatalozó asztal </t>
  </si>
  <si>
    <t>Toponári temetőben elvégzendő beruházások</t>
  </si>
  <si>
    <t>Deseda strand vizesblokk átalakítása</t>
  </si>
  <si>
    <t>Deseda tavi vízi bázis ifjúsági szálláshellyé alakítás tervezés</t>
  </si>
  <si>
    <t>Városi Fürdő termálkút energia ellátása</t>
  </si>
  <si>
    <t>Városi Fürdő új termálkút-fej, elektromos ellátás, töltővezeték</t>
  </si>
  <si>
    <t>Városi Fürdő: 60fm kerítés építés a fürdő keleti oldalán</t>
  </si>
  <si>
    <t>Élményfürdő vendéglátó létesítmények tervezése</t>
  </si>
  <si>
    <t>Élményfürdő termálvíz tározómedence létesítése</t>
  </si>
  <si>
    <t>Élményfürdő medence fedés terv</t>
  </si>
  <si>
    <t>Élményfürdő - Csík F.sétány meghosszabbítás - kerítés áthelyezés</t>
  </si>
  <si>
    <t xml:space="preserve">Élményfürdő kereskedelmi egységek építése A épület </t>
  </si>
  <si>
    <t>Élményfürdő első beszerzés</t>
  </si>
  <si>
    <t>"SÁÉV" telep és környező lakótelep rehab.-   pályázati dok.</t>
  </si>
  <si>
    <t>Béke-Füredi ltp. mintalakótelepi rekonstrukció</t>
  </si>
  <si>
    <t>Mintalakótelepi rekonstrukciós program II üteme</t>
  </si>
  <si>
    <t>Vásárcsarnok bőv..(Baross u.11),bejárat és murvás parkoló kiép.</t>
  </si>
  <si>
    <t>Városi Tűzoltóság - vízszállító jármű beszerzéséhez önerő</t>
  </si>
  <si>
    <t xml:space="preserve">Városi Tűzoltóság - szakfelsz.beszerz. a pály.önerő biztosítása </t>
  </si>
  <si>
    <t>Városi Tűzoltóság - ldb szívattyú beszez., 1db szívattyú jav.</t>
  </si>
  <si>
    <t>Városi Tűzoltóság - komm.ügyeleti vezérlőrendszer saját erő 20%</t>
  </si>
  <si>
    <t>SM Katasztrófavédelmi Ig.-tól javítóműhely és berend.átvétele</t>
  </si>
  <si>
    <t>Vagyonvédelmi berendezések</t>
  </si>
  <si>
    <t>Kaposvár szabályozási terve</t>
  </si>
  <si>
    <t>Ady E. u. déli tömb szabályozási terve</t>
  </si>
  <si>
    <t>Ady E.u.épülettömb rehabilitációja mv.tan.és eng.tervek</t>
  </si>
  <si>
    <t xml:space="preserve">Cseri park geodéziai alaptérkép    </t>
  </si>
  <si>
    <t xml:space="preserve">Cseri park átépítése tervpályázat    </t>
  </si>
  <si>
    <t>Cseri park: játszótér és kalandpark terv 2006.évi ütem</t>
  </si>
  <si>
    <t>Kaposvári "Életfa" plasztika felállítása</t>
  </si>
  <si>
    <t>Emléktábla Szaplonczay Manónak   Fő u.55.</t>
  </si>
  <si>
    <t>Dr.Kaposvári Vétek György emléktábla</t>
  </si>
  <si>
    <t xml:space="preserve"> '56-os emlékmű Berzsenyi parkban</t>
  </si>
  <si>
    <t>Emléktáblák: Lendvai Ernő zenetudós és dr Szász Béla törv.orvos</t>
  </si>
  <si>
    <t>Kaposvári Városgazdálkodási Rt részvény vásárlása névértéken</t>
  </si>
  <si>
    <t>Vár u. ingatlanok vásárlása</t>
  </si>
  <si>
    <t xml:space="preserve">Földterület vásárlás 21m2   Béke u.27-29. </t>
  </si>
  <si>
    <t>Kisajátítási tervek Baross u.9. és Vár 11.</t>
  </si>
  <si>
    <t>Kapos-Fürdő Kft. üzletrész vásárlása   (élményfürdő)</t>
  </si>
  <si>
    <t>Jégcsarnok üzletrész vásárlás</t>
  </si>
  <si>
    <t>Jégcsarnok jegyzett tőke emelés</t>
  </si>
  <si>
    <t>Izzó u. művelési ágból kivonás 3533/7-8-9-10-11-12 hrsz 6 db</t>
  </si>
  <si>
    <t>Ingatlanvásárlás: Nyár u. 1.lakás 7136/A/4 hrsz.</t>
  </si>
  <si>
    <t xml:space="preserve">Ingatlanvásárlás:     5376/6 hrsz Füredi út körforg.kialakításhoz </t>
  </si>
  <si>
    <t>Orgona és Margaréta u közötti játszótér építés első üteme</t>
  </si>
  <si>
    <t>A 0556/2 hrsz.ing.értékesítését követően kezdődhet a beruh.</t>
  </si>
  <si>
    <t>Volt DRVV terület: kerítés áthelyezés</t>
  </si>
  <si>
    <t>BM ltp.pr. Radaros sebességmérő   (Toponári és K.füredi városrész 2 db)</t>
  </si>
  <si>
    <t>BM ltp.pr. Rendőrségnek eszközök beszerzése Kszjakab</t>
  </si>
  <si>
    <t>BM ltp.pr: Top.Műv.Ház hang- és fénytechn.</t>
  </si>
  <si>
    <t>BM ltp.pr: Játszótér terv és kivitelezés. Kfüred</t>
  </si>
  <si>
    <t>BM ltp.pr: Játszótér terv és kivitelezés. Kszjakab</t>
  </si>
  <si>
    <t>BM ltp.pr: Kfüred szelektív hull.gyűjtők</t>
  </si>
  <si>
    <t>BM Ltp.program: Együd VMK elektronikai eszközök,projektor és tart.</t>
  </si>
  <si>
    <t>BM ltp.pr:Töröcske szabadtéri színpad</t>
  </si>
  <si>
    <t>BM Ltp.program: Toponár Műv.ház belső udvar fedése</t>
  </si>
  <si>
    <t>BM Ltp.program:K.füred fűnyírók és Toponár fűkasza</t>
  </si>
  <si>
    <t>Bűnmegelőzési program: 2 db számítógép beszerzése</t>
  </si>
  <si>
    <t>Városgazdálkodás összesen</t>
  </si>
  <si>
    <t xml:space="preserve"> Oktatás </t>
  </si>
  <si>
    <t>Széchenyi SZKI tanétterem és tanszálló   (2002-2006)</t>
  </si>
  <si>
    <t>Klebelsberg középiskolai kollégium építése</t>
  </si>
  <si>
    <t>Kaposfüredi Ált.Iskola multifunkcionális terem építése</t>
  </si>
  <si>
    <t>TISZK Térségi Integr.Szakképzési Kp építési eng.terv és tender dok.</t>
  </si>
  <si>
    <t>Munkácsy Gimn. rekonstrukció mv.tanulmány</t>
  </si>
  <si>
    <t>Oktatási intézmények kisértékű számítástechnikai eszközei</t>
  </si>
  <si>
    <t>Szántó u. Óvoda Szántó utcai bejárat kialakítása</t>
  </si>
  <si>
    <t xml:space="preserve">Kinizsi Élelmiszeripari SZKI áthely.volt Baross Koll. épületébe  </t>
  </si>
  <si>
    <t>Kaposfüredi Benedek Elek Ált.Isk. tornaterem szertár építése</t>
  </si>
  <si>
    <t>Kodály Zoltán Ált.Iskola régi épület világítás korszerűsítése</t>
  </si>
  <si>
    <t>Építőipari SZKI területének víztelenítése  tervezés</t>
  </si>
  <si>
    <t xml:space="preserve">Bárczi G.Ált-Iskola akadálymentesítési terv </t>
  </si>
  <si>
    <t xml:space="preserve">Kodály Zoltán.Ált-Isk. és Táncsics Gimn. akadálymentesítési terv </t>
  </si>
  <si>
    <t xml:space="preserve"> Oktatás összesen</t>
  </si>
  <si>
    <t>Egészségügy</t>
  </si>
  <si>
    <t>Orvosi rendelő kialakítása Szántó u. 5. alatt</t>
  </si>
  <si>
    <t>Ezredév u.13. orvosi ügyelet akadálymentesítés és eszközbesz.</t>
  </si>
  <si>
    <t>Ezredév u.13.Háziorvosi Rendelők és Alapellátási Ügyelet</t>
  </si>
  <si>
    <t>Húskombinát orvosi rendelő fűtésleválasztás költségeinek önkorm.része</t>
  </si>
  <si>
    <t>Terhesgondozó és Cs.s.kp. Honvéd u. tervdok.átdolg.</t>
  </si>
  <si>
    <t>Egészségügy összesen</t>
  </si>
  <si>
    <t xml:space="preserve"> Sport   </t>
  </si>
  <si>
    <t>Rákóczi pálya rekonstrukciója I-II-III. ütem</t>
  </si>
  <si>
    <t>Sportcsarnok statikai vizsgálat és rekonstrukció tervezése</t>
  </si>
  <si>
    <t>Cseri úti, műfű borítású sportpálya és kiegészítő létesítményei</t>
  </si>
  <si>
    <t>Arany u. Sportcentrum atlétikai pálya földfal megtámasztásának terve</t>
  </si>
  <si>
    <t>Arany u. Sportcentrum atlétikai pálya lelátó, rekonstrukció</t>
  </si>
  <si>
    <t xml:space="preserve"> Sport összesen</t>
  </si>
  <si>
    <t xml:space="preserve"> Közigazgatás  </t>
  </si>
  <si>
    <t>Városháza Teleki u-i iskolaép.bőv.tervpályázat</t>
  </si>
  <si>
    <t>Hatósági munkához: akusztikai mérőműszer beszerzése</t>
  </si>
  <si>
    <t>Polgármesteri Hivatal: informatikai fejlesztés  2005-2006.</t>
  </si>
  <si>
    <t>Polgármesteri Hivatal:  fénymásolók cseréje, eszköz-, gépbesz. 2005-2006.</t>
  </si>
  <si>
    <t>"Kaposvár Kártya Rendszer" bevezetése</t>
  </si>
  <si>
    <t>Internet terminál vásárlása 2 db használt</t>
  </si>
  <si>
    <t>DÉDÁSZ ingatlan vásárlás</t>
  </si>
  <si>
    <t>Teleki u. 2. és P.Hivatal összenyitásával kapcs. átalakítás, berendezés</t>
  </si>
  <si>
    <t xml:space="preserve"> Közigazgatás összesen  </t>
  </si>
  <si>
    <t xml:space="preserve"> Lakásgazdálkodás </t>
  </si>
  <si>
    <t>Fő u.93. lakóház építés előkészítése  (építési és kiviteli terv)</t>
  </si>
  <si>
    <t>Fő u.84.  30 lakásos társasház ép.megvalósíthatósági tan.</t>
  </si>
  <si>
    <t>Ady E. utcából elhelyezendő lakók részére bérlakás vásárlás</t>
  </si>
  <si>
    <t>Önkormányzati bérlakásokba vízóra felszerelés</t>
  </si>
  <si>
    <t xml:space="preserve"> Lakásgazdálkodás összesen </t>
  </si>
  <si>
    <t xml:space="preserve">Művelődés, kultúra </t>
  </si>
  <si>
    <t>Bors István kisplasztikák kiöntése</t>
  </si>
  <si>
    <t>Kalandpark és állat-simogató látványterv</t>
  </si>
  <si>
    <t>Szentjakabi Bencés Apátság állagmegóvás</t>
  </si>
  <si>
    <t>"Gugyuló Jézus" barokk szobor elhelyezése a Városházán</t>
  </si>
  <si>
    <t>Csiky Gergely Színház rekonstrukció építési eng tervek készíttetése</t>
  </si>
  <si>
    <t>Művelődés, kultúra összesen</t>
  </si>
  <si>
    <t>Egyéb nem beruházási kiadások</t>
  </si>
  <si>
    <t>Pályázatok előkészítése, tervezési feladatok</t>
  </si>
  <si>
    <t>Helyi támogatás: lakásépítés és  vásárlás</t>
  </si>
  <si>
    <t>Lakáscélu támogatás fiatal szakembereknek</t>
  </si>
  <si>
    <t>Lakásmobilitás   (lakás-használatbavételi díjak)</t>
  </si>
  <si>
    <t>Közműhozzájárulás</t>
  </si>
  <si>
    <t xml:space="preserve">Munkáltatói kölcsönalap </t>
  </si>
  <si>
    <t>Egyéb kisebb kiadások</t>
  </si>
  <si>
    <t>Engedélyezési és használatbavételi eng.eljárási díjak</t>
  </si>
  <si>
    <t>Pályázati anyagok előkészítése, másolása</t>
  </si>
  <si>
    <t>Címzett támogatások pály.benyújt.-hoz tan.terv.korsz.felülvizsg.</t>
  </si>
  <si>
    <t>Helyi védett épületek felújítása</t>
  </si>
  <si>
    <t>Kisgát III.: telkek kialakít., műv.ágból kivonása a VIDEOTON szakemberenek</t>
  </si>
  <si>
    <t>Füredi út 148-152. 012/2hrsz ing.belterületbe csatolás</t>
  </si>
  <si>
    <t>Toponári városrész-központ látványterv és tablók</t>
  </si>
  <si>
    <t xml:space="preserve">Ifjúsági Alkotó és Szórakoztató Kp.tervezési program (NOSTRA) </t>
  </si>
  <si>
    <t>Egyéb nem beruh.kiad. összesen</t>
  </si>
  <si>
    <t>Kompenzációs ügyletek</t>
  </si>
  <si>
    <t>Kisgát É-i oldal közműberuházás          (BITT Kft.)</t>
  </si>
  <si>
    <t>Teleki u. parkolóház telekcsere</t>
  </si>
  <si>
    <t>Ingatlan csere      5727/34 hrsz    2.164 m2                  (Korona 2001.Kft)</t>
  </si>
  <si>
    <t>Ady E. u. 7. gázvezeték hálozatra rákötés és gázkészülékbeszerelés</t>
  </si>
  <si>
    <t>Ady E.u. D-i tömb lakásfelújítás    CENTER INVEST INT.Ép.ip.</t>
  </si>
  <si>
    <t>Bevétel terhére</t>
  </si>
  <si>
    <t>Kisgát D-i old. 2021/4 és 2286 hrsz.           (CORUM Consulting Kft)</t>
  </si>
  <si>
    <t>Kisgát É-i old.lakóter.fejl. 2111/2 és 2108/34 hrsz.  (SIRYUS-Ép Kft)</t>
  </si>
  <si>
    <t xml:space="preserve"> Kompenzációs ügyek összesen:</t>
  </si>
  <si>
    <t>Felhalmozási kiadások összesen:</t>
  </si>
  <si>
    <r>
      <t>2006.év teljesítés</t>
    </r>
    <r>
      <rPr>
        <b/>
        <sz val="9"/>
        <color indexed="8"/>
        <rFont val="Times New Roman"/>
        <family val="1"/>
      </rPr>
      <t xml:space="preserve"> </t>
    </r>
  </si>
  <si>
    <r>
      <t>Szilárd hulladéklerakó: csurgalékvíz elvez.rendszer kiép.</t>
    </r>
    <r>
      <rPr>
        <sz val="9"/>
        <color indexed="8"/>
        <rFont val="Times New Roman"/>
        <family val="1"/>
      </rPr>
      <t>(övárok)</t>
    </r>
  </si>
  <si>
    <t xml:space="preserve">119/2005(IV.21)önk.hat.  </t>
  </si>
  <si>
    <t>Megtakarítás</t>
  </si>
  <si>
    <t>Áthúzódó kifizetés</t>
  </si>
  <si>
    <t>Garanciális visszatartás</t>
  </si>
  <si>
    <t>Paneles lakótelep rehabilitációja      2006 évi ütem</t>
  </si>
  <si>
    <t xml:space="preserve"> "Életfa" plasztikára levelek készíttetése az újszülöttek részére</t>
  </si>
  <si>
    <t xml:space="preserve"> Füredi u-Raktár u-5377/2.hrsz-közpark által határolt területre</t>
  </si>
  <si>
    <t>Szabályozási terv és helyi ép.szab. módosítás (KSZT és HÉSZ)</t>
  </si>
  <si>
    <t>K Tömegközl. ZRt kisebbségi részvényeinek megvásárlása Kapos Volán Rt-től</t>
  </si>
  <si>
    <t>Előszerződés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</si>
</sst>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</numFmts>
  <fonts count="11">
    <font>
      <sz val="10"/>
      <name val="Arial CE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64" fontId="1" fillId="0" borderId="1" xfId="0" applyNumberFormat="1" applyFont="1" applyFill="1" applyBorder="1" applyAlignment="1">
      <alignment/>
    </xf>
    <xf numFmtId="168" fontId="1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64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168" fontId="1" fillId="0" borderId="1" xfId="0" applyNumberFormat="1" applyFont="1" applyFill="1" applyBorder="1" applyAlignment="1">
      <alignment horizontal="right"/>
    </xf>
    <xf numFmtId="3" fontId="2" fillId="0" borderId="3" xfId="19" applyNumberFormat="1" applyFont="1" applyFill="1" applyBorder="1" applyAlignment="1">
      <alignment horizontal="right" wrapText="1"/>
      <protection/>
    </xf>
    <xf numFmtId="168" fontId="2" fillId="0" borderId="3" xfId="19" applyNumberFormat="1" applyFont="1" applyFill="1" applyBorder="1" applyAlignment="1">
      <alignment horizontal="right" wrapText="1"/>
      <protection/>
    </xf>
    <xf numFmtId="0" fontId="1" fillId="0" borderId="4" xfId="0" applyFont="1" applyFill="1" applyBorder="1" applyAlignment="1">
      <alignment/>
    </xf>
    <xf numFmtId="164" fontId="1" fillId="0" borderId="5" xfId="0" applyNumberFormat="1" applyFont="1" applyFill="1" applyBorder="1" applyAlignment="1">
      <alignment/>
    </xf>
    <xf numFmtId="168" fontId="1" fillId="0" borderId="5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168" fontId="1" fillId="0" borderId="5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Alignment="1">
      <alignment/>
    </xf>
    <xf numFmtId="168" fontId="1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6" fillId="0" borderId="2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6" fillId="0" borderId="6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3" fontId="1" fillId="0" borderId="0" xfId="0" applyNumberFormat="1" applyFont="1" applyFill="1" applyAlignment="1">
      <alignment/>
    </xf>
    <xf numFmtId="0" fontId="3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horizontal="center" vertical="center"/>
    </xf>
    <xf numFmtId="168" fontId="2" fillId="0" borderId="8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/>
    </xf>
    <xf numFmtId="168" fontId="1" fillId="0" borderId="9" xfId="0" applyNumberFormat="1" applyFont="1" applyFill="1" applyBorder="1" applyAlignment="1">
      <alignment/>
    </xf>
    <xf numFmtId="0" fontId="6" fillId="0" borderId="7" xfId="0" applyFont="1" applyFill="1" applyBorder="1" applyAlignment="1">
      <alignment wrapText="1"/>
    </xf>
    <xf numFmtId="164" fontId="5" fillId="0" borderId="2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wrapText="1"/>
    </xf>
    <xf numFmtId="0" fontId="2" fillId="0" borderId="11" xfId="0" applyFont="1" applyFill="1" applyBorder="1" applyAlignment="1">
      <alignment horizontal="right"/>
    </xf>
    <xf numFmtId="0" fontId="2" fillId="0" borderId="4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5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3" fontId="6" fillId="0" borderId="2" xfId="0" applyNumberFormat="1" applyFont="1" applyBorder="1" applyAlignment="1">
      <alignment horizontal="left"/>
    </xf>
    <xf numFmtId="164" fontId="7" fillId="0" borderId="2" xfId="0" applyNumberFormat="1" applyFont="1" applyFill="1" applyBorder="1" applyAlignment="1">
      <alignment horizontal="left" wrapText="1"/>
    </xf>
    <xf numFmtId="0" fontId="8" fillId="0" borderId="13" xfId="0" applyFont="1" applyFill="1" applyBorder="1" applyAlignment="1">
      <alignment wrapText="1"/>
    </xf>
    <xf numFmtId="164" fontId="5" fillId="0" borderId="6" xfId="0" applyNumberFormat="1" applyFont="1" applyFill="1" applyBorder="1" applyAlignment="1">
      <alignment horizontal="left" wrapText="1"/>
    </xf>
    <xf numFmtId="3" fontId="5" fillId="0" borderId="2" xfId="19" applyNumberFormat="1" applyFont="1" applyFill="1" applyBorder="1" applyAlignment="1">
      <alignment horizontal="left" wrapText="1"/>
      <protection/>
    </xf>
    <xf numFmtId="164" fontId="6" fillId="0" borderId="2" xfId="0" applyNumberFormat="1" applyFont="1" applyFill="1" applyBorder="1" applyAlignment="1">
      <alignment horizontal="left" wrapText="1"/>
    </xf>
    <xf numFmtId="3" fontId="6" fillId="0" borderId="2" xfId="19" applyNumberFormat="1" applyFont="1" applyFill="1" applyBorder="1" applyAlignment="1">
      <alignment horizontal="left" wrapText="1"/>
      <protection/>
    </xf>
    <xf numFmtId="3" fontId="3" fillId="0" borderId="13" xfId="19" applyNumberFormat="1" applyFont="1" applyFill="1" applyBorder="1" applyAlignment="1">
      <alignment horizontal="left" wrapText="1"/>
      <protection/>
    </xf>
    <xf numFmtId="3" fontId="4" fillId="0" borderId="13" xfId="19" applyNumberFormat="1" applyFont="1" applyFill="1" applyBorder="1" applyAlignment="1">
      <alignment horizontal="center" wrapText="1"/>
      <protection/>
    </xf>
    <xf numFmtId="164" fontId="1" fillId="0" borderId="14" xfId="0" applyNumberFormat="1" applyFont="1" applyFill="1" applyBorder="1" applyAlignment="1">
      <alignment/>
    </xf>
    <xf numFmtId="168" fontId="1" fillId="0" borderId="15" xfId="0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168" fontId="1" fillId="0" borderId="17" xfId="0" applyNumberFormat="1" applyFont="1" applyFill="1" applyBorder="1" applyAlignment="1">
      <alignment/>
    </xf>
    <xf numFmtId="164" fontId="1" fillId="0" borderId="17" xfId="0" applyNumberFormat="1" applyFont="1" applyFill="1" applyBorder="1" applyAlignment="1">
      <alignment horizontal="center"/>
    </xf>
    <xf numFmtId="164" fontId="1" fillId="0" borderId="16" xfId="0" applyNumberFormat="1" applyFont="1" applyFill="1" applyBorder="1" applyAlignment="1">
      <alignment horizontal="right"/>
    </xf>
    <xf numFmtId="168" fontId="1" fillId="0" borderId="17" xfId="0" applyNumberFormat="1" applyFont="1" applyFill="1" applyBorder="1" applyAlignment="1">
      <alignment horizontal="right"/>
    </xf>
    <xf numFmtId="164" fontId="1" fillId="0" borderId="16" xfId="0" applyNumberFormat="1" applyFont="1" applyFill="1" applyBorder="1" applyAlignment="1">
      <alignment horizontal="center"/>
    </xf>
    <xf numFmtId="3" fontId="2" fillId="0" borderId="18" xfId="19" applyNumberFormat="1" applyFont="1" applyFill="1" applyBorder="1" applyAlignment="1">
      <alignment horizontal="right" wrapText="1"/>
      <protection/>
    </xf>
    <xf numFmtId="168" fontId="2" fillId="0" borderId="19" xfId="19" applyNumberFormat="1" applyFont="1" applyFill="1" applyBorder="1" applyAlignment="1">
      <alignment horizontal="right" wrapText="1"/>
      <protection/>
    </xf>
    <xf numFmtId="164" fontId="1" fillId="0" borderId="20" xfId="0" applyNumberFormat="1" applyFont="1" applyFill="1" applyBorder="1" applyAlignment="1">
      <alignment horizontal="center"/>
    </xf>
    <xf numFmtId="168" fontId="1" fillId="0" borderId="21" xfId="0" applyNumberFormat="1" applyFont="1" applyFill="1" applyBorder="1" applyAlignment="1">
      <alignment/>
    </xf>
    <xf numFmtId="168" fontId="1" fillId="0" borderId="21" xfId="0" applyNumberFormat="1" applyFont="1" applyFill="1" applyBorder="1" applyAlignment="1">
      <alignment horizontal="right"/>
    </xf>
    <xf numFmtId="164" fontId="1" fillId="0" borderId="20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 vertical="center"/>
    </xf>
    <xf numFmtId="168" fontId="2" fillId="0" borderId="2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168" fontId="2" fillId="0" borderId="25" xfId="0" applyNumberFormat="1" applyFont="1" applyFill="1" applyBorder="1" applyAlignment="1">
      <alignment horizontal="center" vertical="center" wrapText="1"/>
    </xf>
    <xf numFmtId="168" fontId="2" fillId="0" borderId="26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Pályázatok 2002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206"/>
  <sheetViews>
    <sheetView tabSelected="1" workbookViewId="0" topLeftCell="A40">
      <selection activeCell="H56" sqref="H56"/>
    </sheetView>
  </sheetViews>
  <sheetFormatPr defaultColWidth="9.00390625" defaultRowHeight="19.5" customHeight="1"/>
  <cols>
    <col min="1" max="1" width="60.25390625" style="26" customWidth="1"/>
    <col min="2" max="2" width="10.375" style="18" customWidth="1"/>
    <col min="3" max="3" width="10.75390625" style="18" customWidth="1"/>
    <col min="4" max="4" width="11.25390625" style="18" bestFit="1" customWidth="1"/>
    <col min="5" max="5" width="8.625" style="19" customWidth="1"/>
    <col min="6" max="6" width="10.375" style="18" customWidth="1"/>
    <col min="7" max="7" width="10.00390625" style="19" customWidth="1"/>
    <col min="8" max="8" width="47.00390625" style="3" customWidth="1"/>
    <col min="9" max="16384" width="9.125" style="3" customWidth="1"/>
  </cols>
  <sheetData>
    <row r="1" spans="1:8" s="20" customFormat="1" ht="35.25" customHeight="1">
      <c r="A1" s="80" t="s">
        <v>0</v>
      </c>
      <c r="B1" s="76" t="s">
        <v>1</v>
      </c>
      <c r="C1" s="77"/>
      <c r="D1" s="77" t="s">
        <v>2</v>
      </c>
      <c r="E1" s="77"/>
      <c r="F1" s="78" t="s">
        <v>209</v>
      </c>
      <c r="G1" s="79"/>
      <c r="H1" s="28" t="s">
        <v>3</v>
      </c>
    </row>
    <row r="2" spans="1:8" s="20" customFormat="1" ht="18.75" customHeight="1">
      <c r="A2" s="81"/>
      <c r="B2" s="73" t="s">
        <v>4</v>
      </c>
      <c r="C2" s="30" t="s">
        <v>5</v>
      </c>
      <c r="D2" s="30" t="s">
        <v>6</v>
      </c>
      <c r="E2" s="31" t="s">
        <v>7</v>
      </c>
      <c r="F2" s="30" t="s">
        <v>6</v>
      </c>
      <c r="G2" s="74" t="s">
        <v>7</v>
      </c>
      <c r="H2" s="29"/>
    </row>
    <row r="3" spans="1:8" s="22" customFormat="1" ht="18.75" customHeight="1">
      <c r="A3" s="36" t="s">
        <v>8</v>
      </c>
      <c r="B3" s="59"/>
      <c r="C3" s="32"/>
      <c r="D3" s="32"/>
      <c r="E3" s="33"/>
      <c r="F3" s="32"/>
      <c r="G3" s="60"/>
      <c r="H3" s="34"/>
    </row>
    <row r="4" spans="1:8" s="22" customFormat="1" ht="18.75" customHeight="1">
      <c r="A4" s="37" t="s">
        <v>9</v>
      </c>
      <c r="B4" s="61">
        <v>2500</v>
      </c>
      <c r="C4" s="1">
        <v>2500</v>
      </c>
      <c r="D4" s="1">
        <v>974</v>
      </c>
      <c r="E4" s="2">
        <f>+D4/C4*100</f>
        <v>38.96</v>
      </c>
      <c r="F4" s="1">
        <v>974</v>
      </c>
      <c r="G4" s="62">
        <f>+F4/C4*100</f>
        <v>38.96</v>
      </c>
      <c r="H4" s="50"/>
    </row>
    <row r="5" spans="1:8" s="22" customFormat="1" ht="18.75" customHeight="1">
      <c r="A5" s="37" t="s">
        <v>10</v>
      </c>
      <c r="B5" s="61">
        <v>6425</v>
      </c>
      <c r="C5" s="1">
        <v>3944</v>
      </c>
      <c r="D5" s="1">
        <f>175+3769</f>
        <v>3944</v>
      </c>
      <c r="E5" s="2">
        <f>+D5/C5*100</f>
        <v>100</v>
      </c>
      <c r="F5" s="1">
        <v>3567</v>
      </c>
      <c r="G5" s="62">
        <f>+F5/C5*100</f>
        <v>90.44117647058823</v>
      </c>
      <c r="H5" s="50" t="s">
        <v>214</v>
      </c>
    </row>
    <row r="6" spans="1:8" s="22" customFormat="1" ht="18.75" customHeight="1">
      <c r="A6" s="37" t="s">
        <v>11</v>
      </c>
      <c r="B6" s="61">
        <f>556+184</f>
        <v>740</v>
      </c>
      <c r="C6" s="1">
        <f>556+184</f>
        <v>740</v>
      </c>
      <c r="D6" s="1">
        <v>739</v>
      </c>
      <c r="E6" s="2">
        <f>+D6/C6*100</f>
        <v>99.86486486486487</v>
      </c>
      <c r="F6" s="1">
        <v>739</v>
      </c>
      <c r="G6" s="62">
        <f>+F6/C6*100</f>
        <v>99.86486486486487</v>
      </c>
      <c r="H6" s="21"/>
    </row>
    <row r="7" spans="1:8" s="22" customFormat="1" ht="18.75" customHeight="1">
      <c r="A7" s="37" t="s">
        <v>12</v>
      </c>
      <c r="B7" s="61">
        <f>1152+696+600+1176</f>
        <v>3624</v>
      </c>
      <c r="C7" s="1">
        <f>1152+696+600+1176</f>
        <v>3624</v>
      </c>
      <c r="D7" s="1">
        <v>3624</v>
      </c>
      <c r="E7" s="2">
        <f>+D7/C7*100</f>
        <v>100</v>
      </c>
      <c r="F7" s="1">
        <v>3624</v>
      </c>
      <c r="G7" s="62">
        <f>+F7/C7*100</f>
        <v>100</v>
      </c>
      <c r="H7" s="21"/>
    </row>
    <row r="8" spans="1:8" s="22" customFormat="1" ht="18.75" customHeight="1">
      <c r="A8" s="38" t="s">
        <v>13</v>
      </c>
      <c r="B8" s="61">
        <v>304</v>
      </c>
      <c r="C8" s="1">
        <v>304</v>
      </c>
      <c r="D8" s="5" t="s">
        <v>15</v>
      </c>
      <c r="E8" s="5" t="s">
        <v>15</v>
      </c>
      <c r="F8" s="5" t="s">
        <v>15</v>
      </c>
      <c r="G8" s="63" t="s">
        <v>15</v>
      </c>
      <c r="H8" s="21"/>
    </row>
    <row r="9" spans="1:8" ht="18.75" customHeight="1">
      <c r="A9" s="39" t="s">
        <v>14</v>
      </c>
      <c r="B9" s="64">
        <v>10000</v>
      </c>
      <c r="C9" s="5" t="s">
        <v>15</v>
      </c>
      <c r="D9" s="5" t="s">
        <v>15</v>
      </c>
      <c r="E9" s="5" t="s">
        <v>15</v>
      </c>
      <c r="F9" s="5" t="s">
        <v>15</v>
      </c>
      <c r="G9" s="63" t="s">
        <v>15</v>
      </c>
      <c r="H9" s="6"/>
    </row>
    <row r="10" spans="1:8" ht="18.75" customHeight="1">
      <c r="A10" s="39" t="s">
        <v>16</v>
      </c>
      <c r="B10" s="64"/>
      <c r="C10" s="4">
        <v>4674</v>
      </c>
      <c r="D10" s="4">
        <v>4674</v>
      </c>
      <c r="E10" s="7">
        <f aca="true" t="shared" si="0" ref="E10:E16">+D10/C10*100</f>
        <v>100</v>
      </c>
      <c r="F10" s="4">
        <v>4674</v>
      </c>
      <c r="G10" s="65">
        <f aca="true" t="shared" si="1" ref="G10:G16">+F10/C10*100</f>
        <v>100</v>
      </c>
      <c r="H10" s="6"/>
    </row>
    <row r="11" spans="1:8" ht="18.75" customHeight="1">
      <c r="A11" s="39" t="s">
        <v>17</v>
      </c>
      <c r="B11" s="64"/>
      <c r="C11" s="4">
        <v>4011</v>
      </c>
      <c r="D11" s="4">
        <v>4011</v>
      </c>
      <c r="E11" s="7">
        <f t="shared" si="0"/>
        <v>100</v>
      </c>
      <c r="F11" s="4">
        <v>4011</v>
      </c>
      <c r="G11" s="65">
        <f t="shared" si="1"/>
        <v>100</v>
      </c>
      <c r="H11" s="6"/>
    </row>
    <row r="12" spans="1:8" ht="18.75" customHeight="1">
      <c r="A12" s="39" t="s">
        <v>18</v>
      </c>
      <c r="B12" s="64"/>
      <c r="C12" s="4">
        <v>1200</v>
      </c>
      <c r="D12" s="4">
        <v>1200</v>
      </c>
      <c r="E12" s="7">
        <f t="shared" si="0"/>
        <v>100</v>
      </c>
      <c r="F12" s="4">
        <v>1200</v>
      </c>
      <c r="G12" s="65">
        <f t="shared" si="1"/>
        <v>100</v>
      </c>
      <c r="H12" s="6"/>
    </row>
    <row r="13" spans="1:8" ht="18.75" customHeight="1">
      <c r="A13" s="39" t="s">
        <v>19</v>
      </c>
      <c r="B13" s="64"/>
      <c r="C13" s="4">
        <v>988</v>
      </c>
      <c r="D13" s="4">
        <v>988</v>
      </c>
      <c r="E13" s="7">
        <f t="shared" si="0"/>
        <v>100</v>
      </c>
      <c r="F13" s="4">
        <v>988</v>
      </c>
      <c r="G13" s="65">
        <f t="shared" si="1"/>
        <v>100</v>
      </c>
      <c r="H13" s="6"/>
    </row>
    <row r="14" spans="1:8" ht="18.75" customHeight="1">
      <c r="A14" s="39" t="s">
        <v>20</v>
      </c>
      <c r="B14" s="64">
        <v>3000</v>
      </c>
      <c r="C14" s="4">
        <v>3000</v>
      </c>
      <c r="D14" s="4">
        <v>3000</v>
      </c>
      <c r="E14" s="7">
        <f t="shared" si="0"/>
        <v>100</v>
      </c>
      <c r="F14" s="4">
        <v>3000</v>
      </c>
      <c r="G14" s="65">
        <f t="shared" si="1"/>
        <v>100</v>
      </c>
      <c r="H14" s="6"/>
    </row>
    <row r="15" spans="1:8" ht="18.75" customHeight="1">
      <c r="A15" s="39" t="s">
        <v>21</v>
      </c>
      <c r="B15" s="64">
        <v>25000</v>
      </c>
      <c r="C15" s="4">
        <v>29208</v>
      </c>
      <c r="D15" s="4">
        <v>29208</v>
      </c>
      <c r="E15" s="7">
        <f t="shared" si="0"/>
        <v>100</v>
      </c>
      <c r="F15" s="4">
        <v>29208</v>
      </c>
      <c r="G15" s="65">
        <f t="shared" si="1"/>
        <v>100</v>
      </c>
      <c r="H15" s="6"/>
    </row>
    <row r="16" spans="1:8" ht="18.75" customHeight="1">
      <c r="A16" s="39" t="s">
        <v>22</v>
      </c>
      <c r="B16" s="64">
        <v>30000</v>
      </c>
      <c r="C16" s="4">
        <v>29223</v>
      </c>
      <c r="D16" s="4">
        <v>29223</v>
      </c>
      <c r="E16" s="7">
        <f t="shared" si="0"/>
        <v>100</v>
      </c>
      <c r="F16" s="4">
        <v>29223</v>
      </c>
      <c r="G16" s="65">
        <f t="shared" si="1"/>
        <v>100</v>
      </c>
      <c r="H16" s="6"/>
    </row>
    <row r="17" spans="1:8" ht="18.75" customHeight="1">
      <c r="A17" s="39" t="s">
        <v>23</v>
      </c>
      <c r="B17" s="64">
        <v>9500</v>
      </c>
      <c r="C17" s="5" t="s">
        <v>15</v>
      </c>
      <c r="D17" s="5" t="s">
        <v>15</v>
      </c>
      <c r="E17" s="5" t="s">
        <v>15</v>
      </c>
      <c r="F17" s="5" t="s">
        <v>15</v>
      </c>
      <c r="G17" s="63" t="s">
        <v>15</v>
      </c>
      <c r="H17" s="6"/>
    </row>
    <row r="18" spans="1:8" ht="18.75" customHeight="1">
      <c r="A18" s="39" t="s">
        <v>24</v>
      </c>
      <c r="B18" s="64">
        <v>1000</v>
      </c>
      <c r="C18" s="5" t="s">
        <v>15</v>
      </c>
      <c r="D18" s="5" t="s">
        <v>15</v>
      </c>
      <c r="E18" s="5" t="s">
        <v>15</v>
      </c>
      <c r="F18" s="5" t="s">
        <v>15</v>
      </c>
      <c r="G18" s="63" t="s">
        <v>15</v>
      </c>
      <c r="H18" s="6"/>
    </row>
    <row r="19" spans="1:8" ht="18.75" customHeight="1">
      <c r="A19" s="39" t="s">
        <v>25</v>
      </c>
      <c r="B19" s="64">
        <v>2800</v>
      </c>
      <c r="C19" s="4">
        <v>2800</v>
      </c>
      <c r="D19" s="4">
        <v>2798</v>
      </c>
      <c r="E19" s="7">
        <f>+D19/C19*100</f>
        <v>99.92857142857143</v>
      </c>
      <c r="F19" s="4">
        <v>2798</v>
      </c>
      <c r="G19" s="65">
        <f>+F19/C19*100</f>
        <v>99.92857142857143</v>
      </c>
      <c r="H19" s="35" t="s">
        <v>26</v>
      </c>
    </row>
    <row r="20" spans="1:8" ht="18.75" customHeight="1">
      <c r="A20" s="39" t="s">
        <v>27</v>
      </c>
      <c r="B20" s="66" t="s">
        <v>15</v>
      </c>
      <c r="C20" s="4">
        <v>1320</v>
      </c>
      <c r="D20" s="4">
        <v>1320</v>
      </c>
      <c r="E20" s="7">
        <f>+D20/C20*100</f>
        <v>100</v>
      </c>
      <c r="F20" s="5" t="s">
        <v>15</v>
      </c>
      <c r="G20" s="63" t="s">
        <v>15</v>
      </c>
      <c r="H20" s="51"/>
    </row>
    <row r="21" spans="1:8" s="23" customFormat="1" ht="18.75" customHeight="1">
      <c r="A21" s="40" t="s">
        <v>28</v>
      </c>
      <c r="B21" s="67">
        <f>SUM(B4:B20)</f>
        <v>94893</v>
      </c>
      <c r="C21" s="8">
        <f>SUM(C4:C20)</f>
        <v>87536</v>
      </c>
      <c r="D21" s="8">
        <f>SUM(D4:D20)</f>
        <v>85703</v>
      </c>
      <c r="E21" s="9">
        <f>+D21/C21*100</f>
        <v>97.90600438676658</v>
      </c>
      <c r="F21" s="8">
        <f>SUM(F4:F20)</f>
        <v>84006</v>
      </c>
      <c r="G21" s="68">
        <f>+F21/C21*100</f>
        <v>95.96737342350575</v>
      </c>
      <c r="H21" s="52"/>
    </row>
    <row r="22" spans="1:8" s="22" customFormat="1" ht="18.75" customHeight="1">
      <c r="A22" s="41" t="s">
        <v>29</v>
      </c>
      <c r="B22" s="61"/>
      <c r="C22" s="1"/>
      <c r="D22" s="1"/>
      <c r="E22" s="2"/>
      <c r="F22" s="1"/>
      <c r="G22" s="62"/>
      <c r="H22" s="21"/>
    </row>
    <row r="23" spans="1:8" s="22" customFormat="1" ht="18.75" customHeight="1">
      <c r="A23" s="10" t="s">
        <v>30</v>
      </c>
      <c r="B23" s="61">
        <v>12250</v>
      </c>
      <c r="C23" s="1">
        <v>12250</v>
      </c>
      <c r="D23" s="1">
        <v>12250</v>
      </c>
      <c r="E23" s="2">
        <f aca="true" t="shared" si="2" ref="E23:E35">+D23/C23*100</f>
        <v>100</v>
      </c>
      <c r="F23" s="1">
        <v>12250</v>
      </c>
      <c r="G23" s="62">
        <f>+F23/C23*100</f>
        <v>100</v>
      </c>
      <c r="H23" s="21"/>
    </row>
    <row r="24" spans="1:8" ht="21" customHeight="1">
      <c r="A24" s="39" t="s">
        <v>31</v>
      </c>
      <c r="B24" s="64">
        <v>15000</v>
      </c>
      <c r="C24" s="4">
        <v>73529</v>
      </c>
      <c r="D24" s="4">
        <f>16670+7220</f>
        <v>23890</v>
      </c>
      <c r="E24" s="2">
        <f t="shared" si="2"/>
        <v>32.4905819472589</v>
      </c>
      <c r="F24" s="5" t="s">
        <v>15</v>
      </c>
      <c r="G24" s="63" t="s">
        <v>15</v>
      </c>
      <c r="H24" s="51"/>
    </row>
    <row r="25" spans="1:8" ht="18.75" customHeight="1">
      <c r="A25" s="39" t="s">
        <v>32</v>
      </c>
      <c r="B25" s="64">
        <f>2838+5000</f>
        <v>7838</v>
      </c>
      <c r="C25" s="4">
        <f>2838+5000</f>
        <v>7838</v>
      </c>
      <c r="D25" s="1">
        <f>2293+145+450+4950</f>
        <v>7838</v>
      </c>
      <c r="E25" s="7">
        <f t="shared" si="2"/>
        <v>100</v>
      </c>
      <c r="F25" s="4">
        <v>7838</v>
      </c>
      <c r="G25" s="65">
        <f aca="true" t="shared" si="3" ref="G25:G35">+F25/C25*100</f>
        <v>100</v>
      </c>
      <c r="H25" s="6"/>
    </row>
    <row r="26" spans="1:8" ht="18.75" customHeight="1">
      <c r="A26" s="39" t="s">
        <v>33</v>
      </c>
      <c r="B26" s="64">
        <v>197113</v>
      </c>
      <c r="C26" s="4">
        <v>197113</v>
      </c>
      <c r="D26" s="4">
        <v>197113</v>
      </c>
      <c r="E26" s="7">
        <f t="shared" si="2"/>
        <v>100</v>
      </c>
      <c r="F26" s="4">
        <v>197113</v>
      </c>
      <c r="G26" s="65">
        <f t="shared" si="3"/>
        <v>100</v>
      </c>
      <c r="H26" s="35"/>
    </row>
    <row r="27" spans="1:8" ht="18.75" customHeight="1">
      <c r="A27" s="39" t="s">
        <v>34</v>
      </c>
      <c r="B27" s="64">
        <v>21335</v>
      </c>
      <c r="C27" s="4">
        <v>21335</v>
      </c>
      <c r="D27" s="4">
        <v>21335</v>
      </c>
      <c r="E27" s="7">
        <f t="shared" si="2"/>
        <v>100</v>
      </c>
      <c r="F27" s="4">
        <v>19474</v>
      </c>
      <c r="G27" s="65">
        <f t="shared" si="3"/>
        <v>91.27724396531521</v>
      </c>
      <c r="H27" s="6" t="s">
        <v>212</v>
      </c>
    </row>
    <row r="28" spans="1:8" ht="18.75" customHeight="1">
      <c r="A28" s="10" t="s">
        <v>35</v>
      </c>
      <c r="B28" s="64">
        <v>21631</v>
      </c>
      <c r="C28" s="4">
        <v>173743</v>
      </c>
      <c r="D28" s="4">
        <v>288</v>
      </c>
      <c r="E28" s="7">
        <f t="shared" si="2"/>
        <v>0.16576207386772415</v>
      </c>
      <c r="F28" s="4">
        <v>288</v>
      </c>
      <c r="G28" s="65">
        <f t="shared" si="3"/>
        <v>0.16576207386772415</v>
      </c>
      <c r="H28" s="6"/>
    </row>
    <row r="29" spans="1:8" ht="18.75" customHeight="1">
      <c r="A29" s="10" t="s">
        <v>36</v>
      </c>
      <c r="B29" s="64">
        <v>250</v>
      </c>
      <c r="C29" s="4">
        <v>250</v>
      </c>
      <c r="D29" s="4">
        <v>250</v>
      </c>
      <c r="E29" s="7">
        <f t="shared" si="2"/>
        <v>100</v>
      </c>
      <c r="F29" s="4">
        <v>250</v>
      </c>
      <c r="G29" s="65">
        <f t="shared" si="3"/>
        <v>100</v>
      </c>
      <c r="H29" s="6"/>
    </row>
    <row r="30" spans="1:8" ht="18.75" customHeight="1">
      <c r="A30" s="10" t="s">
        <v>37</v>
      </c>
      <c r="B30" s="64">
        <v>6500</v>
      </c>
      <c r="C30" s="4">
        <v>12388</v>
      </c>
      <c r="D30" s="4">
        <f>6500+5578+310</f>
        <v>12388</v>
      </c>
      <c r="E30" s="7">
        <f t="shared" si="2"/>
        <v>100</v>
      </c>
      <c r="F30" s="4">
        <v>12078</v>
      </c>
      <c r="G30" s="65">
        <f t="shared" si="3"/>
        <v>97.49757830158218</v>
      </c>
      <c r="H30" s="6" t="s">
        <v>213</v>
      </c>
    </row>
    <row r="31" spans="1:8" s="22" customFormat="1" ht="18.75" customHeight="1">
      <c r="A31" s="10" t="s">
        <v>38</v>
      </c>
      <c r="B31" s="61">
        <v>600</v>
      </c>
      <c r="C31" s="1">
        <v>576</v>
      </c>
      <c r="D31" s="1">
        <v>576</v>
      </c>
      <c r="E31" s="2">
        <f t="shared" si="2"/>
        <v>100</v>
      </c>
      <c r="F31" s="1">
        <v>576</v>
      </c>
      <c r="G31" s="62">
        <f t="shared" si="3"/>
        <v>100</v>
      </c>
      <c r="H31" s="21"/>
    </row>
    <row r="32" spans="1:8" ht="18.75" customHeight="1">
      <c r="A32" s="39" t="s">
        <v>39</v>
      </c>
      <c r="B32" s="64">
        <v>4000</v>
      </c>
      <c r="C32" s="4">
        <v>4000</v>
      </c>
      <c r="D32" s="4">
        <v>4000</v>
      </c>
      <c r="E32" s="7">
        <f t="shared" si="2"/>
        <v>100</v>
      </c>
      <c r="F32" s="5" t="s">
        <v>15</v>
      </c>
      <c r="G32" s="63" t="s">
        <v>15</v>
      </c>
      <c r="H32" s="6"/>
    </row>
    <row r="33" spans="1:8" s="22" customFormat="1" ht="18.75" customHeight="1">
      <c r="A33" s="10" t="s">
        <v>40</v>
      </c>
      <c r="B33" s="61">
        <v>300</v>
      </c>
      <c r="C33" s="1">
        <v>300</v>
      </c>
      <c r="D33" s="1">
        <v>300</v>
      </c>
      <c r="E33" s="2">
        <f t="shared" si="2"/>
        <v>100</v>
      </c>
      <c r="F33" s="1">
        <v>300</v>
      </c>
      <c r="G33" s="62">
        <f t="shared" si="3"/>
        <v>100</v>
      </c>
      <c r="H33" s="21"/>
    </row>
    <row r="34" spans="1:8" s="22" customFormat="1" ht="18.75" customHeight="1">
      <c r="A34" s="42" t="s">
        <v>41</v>
      </c>
      <c r="B34" s="69" t="s">
        <v>42</v>
      </c>
      <c r="C34" s="11">
        <v>300</v>
      </c>
      <c r="D34" s="11">
        <v>300</v>
      </c>
      <c r="E34" s="12">
        <f t="shared" si="2"/>
        <v>100</v>
      </c>
      <c r="F34" s="11">
        <v>300</v>
      </c>
      <c r="G34" s="70">
        <f t="shared" si="3"/>
        <v>100</v>
      </c>
      <c r="H34" s="24"/>
    </row>
    <row r="35" spans="1:8" s="22" customFormat="1" ht="18.75" customHeight="1">
      <c r="A35" s="10" t="s">
        <v>43</v>
      </c>
      <c r="B35" s="61">
        <v>1200</v>
      </c>
      <c r="C35" s="1">
        <v>1200</v>
      </c>
      <c r="D35" s="1">
        <v>1200</v>
      </c>
      <c r="E35" s="2">
        <f t="shared" si="2"/>
        <v>100</v>
      </c>
      <c r="F35" s="1">
        <v>1200</v>
      </c>
      <c r="G35" s="62">
        <f t="shared" si="3"/>
        <v>100</v>
      </c>
      <c r="H35" s="21"/>
    </row>
    <row r="36" spans="1:8" ht="18.75" customHeight="1">
      <c r="A36" s="39" t="s">
        <v>44</v>
      </c>
      <c r="B36" s="64">
        <v>1000</v>
      </c>
      <c r="C36" s="5" t="s">
        <v>15</v>
      </c>
      <c r="D36" s="5" t="s">
        <v>15</v>
      </c>
      <c r="E36" s="5" t="s">
        <v>15</v>
      </c>
      <c r="F36" s="5" t="s">
        <v>15</v>
      </c>
      <c r="G36" s="63" t="s">
        <v>15</v>
      </c>
      <c r="H36" s="6"/>
    </row>
    <row r="37" spans="1:8" ht="18.75" customHeight="1">
      <c r="A37" s="39" t="s">
        <v>45</v>
      </c>
      <c r="B37" s="64">
        <v>4000</v>
      </c>
      <c r="C37" s="4">
        <v>2000</v>
      </c>
      <c r="D37" s="4">
        <v>976</v>
      </c>
      <c r="E37" s="7">
        <f aca="true" t="shared" si="4" ref="E37:E44">+D37/C37*100</f>
        <v>48.8</v>
      </c>
      <c r="F37" s="4">
        <v>976</v>
      </c>
      <c r="G37" s="65">
        <f aca="true" t="shared" si="5" ref="G37:G44">+F37/C37*100</f>
        <v>48.8</v>
      </c>
      <c r="H37" s="6"/>
    </row>
    <row r="38" spans="1:8" ht="18.75" customHeight="1">
      <c r="A38" s="39" t="s">
        <v>46</v>
      </c>
      <c r="B38" s="64">
        <v>5000</v>
      </c>
      <c r="C38" s="4">
        <v>5000</v>
      </c>
      <c r="D38" s="5" t="s">
        <v>15</v>
      </c>
      <c r="E38" s="5" t="s">
        <v>15</v>
      </c>
      <c r="F38" s="5" t="s">
        <v>15</v>
      </c>
      <c r="G38" s="63" t="s">
        <v>15</v>
      </c>
      <c r="H38" s="6"/>
    </row>
    <row r="39" spans="1:8" ht="18.75" customHeight="1">
      <c r="A39" s="39" t="s">
        <v>47</v>
      </c>
      <c r="B39" s="64">
        <v>2500</v>
      </c>
      <c r="C39" s="4">
        <v>2450</v>
      </c>
      <c r="D39" s="4">
        <v>2450</v>
      </c>
      <c r="E39" s="7">
        <f t="shared" si="4"/>
        <v>100</v>
      </c>
      <c r="F39" s="5" t="s">
        <v>15</v>
      </c>
      <c r="G39" s="63" t="s">
        <v>15</v>
      </c>
      <c r="H39" s="6"/>
    </row>
    <row r="40" spans="1:8" ht="18.75" customHeight="1">
      <c r="A40" s="39" t="s">
        <v>48</v>
      </c>
      <c r="B40" s="64">
        <v>9700</v>
      </c>
      <c r="C40" s="4">
        <v>10060</v>
      </c>
      <c r="D40" s="4">
        <f>9700+360</f>
        <v>10060</v>
      </c>
      <c r="E40" s="7">
        <f t="shared" si="4"/>
        <v>100</v>
      </c>
      <c r="F40" s="4">
        <v>10060</v>
      </c>
      <c r="G40" s="65">
        <f t="shared" si="5"/>
        <v>100</v>
      </c>
      <c r="H40" s="6"/>
    </row>
    <row r="41" spans="1:8" ht="18.75" customHeight="1">
      <c r="A41" s="39" t="s">
        <v>49</v>
      </c>
      <c r="B41" s="66" t="s">
        <v>42</v>
      </c>
      <c r="C41" s="13">
        <v>971</v>
      </c>
      <c r="D41" s="4">
        <v>971</v>
      </c>
      <c r="E41" s="7">
        <f t="shared" si="4"/>
        <v>100</v>
      </c>
      <c r="F41" s="4">
        <v>971</v>
      </c>
      <c r="G41" s="65">
        <f t="shared" si="5"/>
        <v>100</v>
      </c>
      <c r="H41" s="6"/>
    </row>
    <row r="42" spans="1:8" ht="18.75" customHeight="1">
      <c r="A42" s="39" t="s">
        <v>50</v>
      </c>
      <c r="B42" s="66" t="s">
        <v>42</v>
      </c>
      <c r="C42" s="13">
        <v>730</v>
      </c>
      <c r="D42" s="4">
        <v>730</v>
      </c>
      <c r="E42" s="7">
        <f t="shared" si="4"/>
        <v>100</v>
      </c>
      <c r="F42" s="4">
        <v>730</v>
      </c>
      <c r="G42" s="65">
        <f t="shared" si="5"/>
        <v>100</v>
      </c>
      <c r="H42" s="6"/>
    </row>
    <row r="43" spans="1:8" ht="18.75" customHeight="1">
      <c r="A43" s="39" t="s">
        <v>51</v>
      </c>
      <c r="B43" s="66" t="s">
        <v>42</v>
      </c>
      <c r="C43" s="13">
        <v>1048</v>
      </c>
      <c r="D43" s="4">
        <v>1048</v>
      </c>
      <c r="E43" s="7">
        <f t="shared" si="4"/>
        <v>100</v>
      </c>
      <c r="F43" s="4">
        <v>1048</v>
      </c>
      <c r="G43" s="65">
        <f t="shared" si="5"/>
        <v>100</v>
      </c>
      <c r="H43" s="6"/>
    </row>
    <row r="44" spans="1:8" ht="18.75" customHeight="1">
      <c r="A44" s="39" t="s">
        <v>52</v>
      </c>
      <c r="B44" s="66" t="s">
        <v>42</v>
      </c>
      <c r="C44" s="13">
        <v>144</v>
      </c>
      <c r="D44" s="4">
        <v>144</v>
      </c>
      <c r="E44" s="7">
        <f t="shared" si="4"/>
        <v>100</v>
      </c>
      <c r="F44" s="4">
        <v>144</v>
      </c>
      <c r="G44" s="65">
        <f t="shared" si="5"/>
        <v>100</v>
      </c>
      <c r="H44" s="6"/>
    </row>
    <row r="45" spans="1:8" ht="18.75" customHeight="1">
      <c r="A45" s="39" t="s">
        <v>53</v>
      </c>
      <c r="B45" s="66" t="s">
        <v>42</v>
      </c>
      <c r="C45" s="5" t="s">
        <v>15</v>
      </c>
      <c r="D45" s="5" t="s">
        <v>15</v>
      </c>
      <c r="E45" s="5" t="s">
        <v>15</v>
      </c>
      <c r="F45" s="5" t="s">
        <v>15</v>
      </c>
      <c r="G45" s="63" t="s">
        <v>15</v>
      </c>
      <c r="H45" s="6"/>
    </row>
    <row r="46" spans="1:8" ht="18.75" customHeight="1">
      <c r="A46" s="39" t="s">
        <v>54</v>
      </c>
      <c r="B46" s="66" t="s">
        <v>42</v>
      </c>
      <c r="C46" s="13">
        <v>408</v>
      </c>
      <c r="D46" s="4">
        <v>408</v>
      </c>
      <c r="E46" s="7">
        <f>+D46/C46*100</f>
        <v>100</v>
      </c>
      <c r="F46" s="5" t="s">
        <v>15</v>
      </c>
      <c r="G46" s="63" t="s">
        <v>15</v>
      </c>
      <c r="H46" s="6"/>
    </row>
    <row r="47" spans="1:8" s="23" customFormat="1" ht="18.75" customHeight="1">
      <c r="A47" s="40" t="s">
        <v>55</v>
      </c>
      <c r="B47" s="67">
        <f>SUM(B23:B46)</f>
        <v>310217</v>
      </c>
      <c r="C47" s="8">
        <f>SUM(C23:C46)</f>
        <v>527633</v>
      </c>
      <c r="D47" s="8">
        <f>SUM(D23:D46)</f>
        <v>298515</v>
      </c>
      <c r="E47" s="9">
        <f>+D47/C47*100</f>
        <v>56.57625660260067</v>
      </c>
      <c r="F47" s="8">
        <f>SUM(F23:F46)</f>
        <v>265596</v>
      </c>
      <c r="G47" s="68">
        <f>+F47/C47*100</f>
        <v>50.33726093705284</v>
      </c>
      <c r="H47" s="52"/>
    </row>
    <row r="48" spans="1:8" s="22" customFormat="1" ht="18.75" customHeight="1">
      <c r="A48" s="41" t="s">
        <v>56</v>
      </c>
      <c r="B48" s="61"/>
      <c r="C48" s="1"/>
      <c r="D48" s="1"/>
      <c r="E48" s="2"/>
      <c r="F48" s="1"/>
      <c r="G48" s="62"/>
      <c r="H48" s="21"/>
    </row>
    <row r="49" spans="1:8" s="22" customFormat="1" ht="18.75" customHeight="1">
      <c r="A49" s="17" t="s">
        <v>57</v>
      </c>
      <c r="B49" s="61">
        <v>9563</v>
      </c>
      <c r="C49" s="1">
        <v>9563</v>
      </c>
      <c r="D49" s="1">
        <v>9563</v>
      </c>
      <c r="E49" s="2">
        <f aca="true" t="shared" si="6" ref="E49:E54">+D49/C49*100</f>
        <v>100</v>
      </c>
      <c r="F49" s="1">
        <v>9562</v>
      </c>
      <c r="G49" s="62">
        <f aca="true" t="shared" si="7" ref="G49:G54">+F49/C49*100</f>
        <v>99.98954303042979</v>
      </c>
      <c r="H49" s="21"/>
    </row>
    <row r="50" spans="1:8" s="22" customFormat="1" ht="18.75" customHeight="1">
      <c r="A50" s="17" t="s">
        <v>58</v>
      </c>
      <c r="B50" s="61">
        <v>2264</v>
      </c>
      <c r="C50" s="1">
        <v>2264</v>
      </c>
      <c r="D50" s="1">
        <v>2264</v>
      </c>
      <c r="E50" s="2">
        <f t="shared" si="6"/>
        <v>100</v>
      </c>
      <c r="F50" s="1">
        <v>2264</v>
      </c>
      <c r="G50" s="62">
        <f t="shared" si="7"/>
        <v>100</v>
      </c>
      <c r="H50" s="21"/>
    </row>
    <row r="51" spans="1:8" ht="18.75" customHeight="1">
      <c r="A51" s="39" t="s">
        <v>59</v>
      </c>
      <c r="B51" s="64">
        <v>2000</v>
      </c>
      <c r="C51" s="4">
        <f>2000+1553</f>
        <v>3553</v>
      </c>
      <c r="D51" s="4">
        <v>3553</v>
      </c>
      <c r="E51" s="7">
        <f t="shared" si="6"/>
        <v>100</v>
      </c>
      <c r="F51" s="4">
        <v>3553</v>
      </c>
      <c r="G51" s="65">
        <f t="shared" si="7"/>
        <v>100</v>
      </c>
      <c r="H51" s="6"/>
    </row>
    <row r="52" spans="1:8" ht="18.75" customHeight="1">
      <c r="A52" s="39" t="s">
        <v>60</v>
      </c>
      <c r="B52" s="66" t="s">
        <v>42</v>
      </c>
      <c r="C52" s="13">
        <f>76+76</f>
        <v>152</v>
      </c>
      <c r="D52" s="4">
        <v>152</v>
      </c>
      <c r="E52" s="7">
        <f t="shared" si="6"/>
        <v>100</v>
      </c>
      <c r="F52" s="5" t="s">
        <v>15</v>
      </c>
      <c r="G52" s="63" t="s">
        <v>15</v>
      </c>
      <c r="H52" s="6"/>
    </row>
    <row r="53" spans="1:8" ht="18.75" customHeight="1">
      <c r="A53" s="39" t="s">
        <v>61</v>
      </c>
      <c r="B53" s="66" t="s">
        <v>42</v>
      </c>
      <c r="C53" s="13">
        <f>327+331</f>
        <v>658</v>
      </c>
      <c r="D53" s="4">
        <v>658</v>
      </c>
      <c r="E53" s="7">
        <f t="shared" si="6"/>
        <v>100</v>
      </c>
      <c r="F53" s="5" t="s">
        <v>15</v>
      </c>
      <c r="G53" s="63" t="s">
        <v>15</v>
      </c>
      <c r="H53" s="6"/>
    </row>
    <row r="54" spans="1:8" s="23" customFormat="1" ht="18.75" customHeight="1">
      <c r="A54" s="40" t="s">
        <v>62</v>
      </c>
      <c r="B54" s="67">
        <f>SUM(B49:B53)</f>
        <v>13827</v>
      </c>
      <c r="C54" s="8">
        <f>SUM(C49:C53)</f>
        <v>16190</v>
      </c>
      <c r="D54" s="8">
        <f>SUM(D49:D53)</f>
        <v>16190</v>
      </c>
      <c r="E54" s="9">
        <f t="shared" si="6"/>
        <v>100</v>
      </c>
      <c r="F54" s="8">
        <f>SUM(F49:F53)</f>
        <v>15379</v>
      </c>
      <c r="G54" s="68">
        <f t="shared" si="7"/>
        <v>94.99073502161828</v>
      </c>
      <c r="H54" s="52"/>
    </row>
    <row r="55" spans="1:8" s="22" customFormat="1" ht="18.75" customHeight="1">
      <c r="A55" s="41" t="s">
        <v>63</v>
      </c>
      <c r="B55" s="61"/>
      <c r="C55" s="1"/>
      <c r="D55" s="1"/>
      <c r="E55" s="2"/>
      <c r="F55" s="1"/>
      <c r="G55" s="62"/>
      <c r="H55" s="21"/>
    </row>
    <row r="56" spans="1:8" s="22" customFormat="1" ht="18" customHeight="1">
      <c r="A56" s="17" t="s">
        <v>64</v>
      </c>
      <c r="B56" s="61">
        <f>12200+6341-36</f>
        <v>18505</v>
      </c>
      <c r="C56" s="1">
        <f>12200+6341-36</f>
        <v>18505</v>
      </c>
      <c r="D56" s="1">
        <v>18505</v>
      </c>
      <c r="E56" s="2">
        <f aca="true" t="shared" si="8" ref="E56:E87">+D56/C56*100</f>
        <v>100</v>
      </c>
      <c r="F56" s="1">
        <v>12200</v>
      </c>
      <c r="G56" s="62">
        <f aca="true" t="shared" si="9" ref="G56:G86">+F56/C56*100</f>
        <v>65.92812753309917</v>
      </c>
      <c r="H56" s="6" t="s">
        <v>213</v>
      </c>
    </row>
    <row r="57" spans="1:8" s="22" customFormat="1" ht="18" customHeight="1">
      <c r="A57" s="17" t="s">
        <v>65</v>
      </c>
      <c r="B57" s="61">
        <v>1000</v>
      </c>
      <c r="C57" s="1">
        <v>1000</v>
      </c>
      <c r="D57" s="1">
        <v>1000</v>
      </c>
      <c r="E57" s="2">
        <f t="shared" si="8"/>
        <v>100</v>
      </c>
      <c r="F57" s="1">
        <v>1000</v>
      </c>
      <c r="G57" s="62">
        <f t="shared" si="9"/>
        <v>100</v>
      </c>
      <c r="H57" s="21"/>
    </row>
    <row r="58" spans="1:8" s="22" customFormat="1" ht="18" customHeight="1">
      <c r="A58" s="39" t="s">
        <v>210</v>
      </c>
      <c r="B58" s="61">
        <v>13744</v>
      </c>
      <c r="C58" s="1">
        <v>13744</v>
      </c>
      <c r="D58" s="1">
        <v>13744</v>
      </c>
      <c r="E58" s="2">
        <f t="shared" si="8"/>
        <v>100</v>
      </c>
      <c r="F58" s="1">
        <v>13744</v>
      </c>
      <c r="G58" s="62">
        <f t="shared" si="9"/>
        <v>100</v>
      </c>
      <c r="H58" s="21"/>
    </row>
    <row r="59" spans="1:8" s="22" customFormat="1" ht="18" customHeight="1">
      <c r="A59" s="17" t="s">
        <v>66</v>
      </c>
      <c r="B59" s="61">
        <v>14896</v>
      </c>
      <c r="C59" s="1">
        <v>14896</v>
      </c>
      <c r="D59" s="1">
        <f>3840+250</f>
        <v>4090</v>
      </c>
      <c r="E59" s="2">
        <f t="shared" si="8"/>
        <v>27.45703544575725</v>
      </c>
      <c r="F59" s="1">
        <v>4090</v>
      </c>
      <c r="G59" s="62">
        <f t="shared" si="9"/>
        <v>27.45703544575725</v>
      </c>
      <c r="H59" s="21"/>
    </row>
    <row r="60" spans="1:8" ht="18" customHeight="1">
      <c r="A60" s="39" t="s">
        <v>67</v>
      </c>
      <c r="B60" s="64">
        <v>453679</v>
      </c>
      <c r="C60" s="4">
        <v>453679</v>
      </c>
      <c r="D60" s="4">
        <f>297732+4800+1920+12500+136608</f>
        <v>453560</v>
      </c>
      <c r="E60" s="7">
        <f t="shared" si="8"/>
        <v>99.97377000037471</v>
      </c>
      <c r="F60" s="4">
        <v>119202</v>
      </c>
      <c r="G60" s="65">
        <f t="shared" si="9"/>
        <v>26.274524498599227</v>
      </c>
      <c r="H60" s="35"/>
    </row>
    <row r="61" spans="1:8" s="22" customFormat="1" ht="18" customHeight="1">
      <c r="A61" s="17" t="s">
        <v>68</v>
      </c>
      <c r="B61" s="61">
        <v>15000</v>
      </c>
      <c r="C61" s="1">
        <v>40000</v>
      </c>
      <c r="D61" s="5" t="s">
        <v>15</v>
      </c>
      <c r="E61" s="5" t="s">
        <v>15</v>
      </c>
      <c r="F61" s="5" t="s">
        <v>15</v>
      </c>
      <c r="G61" s="63" t="s">
        <v>15</v>
      </c>
      <c r="H61" s="35"/>
    </row>
    <row r="62" spans="1:8" s="22" customFormat="1" ht="18" customHeight="1">
      <c r="A62" s="17" t="s">
        <v>69</v>
      </c>
      <c r="B62" s="61">
        <v>7252</v>
      </c>
      <c r="C62" s="1">
        <v>7252</v>
      </c>
      <c r="D62" s="1">
        <v>7252</v>
      </c>
      <c r="E62" s="2">
        <f t="shared" si="8"/>
        <v>100</v>
      </c>
      <c r="F62" s="1">
        <v>7252</v>
      </c>
      <c r="G62" s="62">
        <f t="shared" si="9"/>
        <v>100</v>
      </c>
      <c r="H62" s="21"/>
    </row>
    <row r="63" spans="1:8" s="22" customFormat="1" ht="18" customHeight="1">
      <c r="A63" s="17" t="s">
        <v>70</v>
      </c>
      <c r="B63" s="66" t="s">
        <v>42</v>
      </c>
      <c r="C63" s="1">
        <v>700</v>
      </c>
      <c r="D63" s="5" t="s">
        <v>15</v>
      </c>
      <c r="E63" s="5" t="s">
        <v>15</v>
      </c>
      <c r="F63" s="5" t="s">
        <v>15</v>
      </c>
      <c r="G63" s="63" t="s">
        <v>15</v>
      </c>
      <c r="H63" s="21"/>
    </row>
    <row r="64" spans="1:8" ht="18" customHeight="1">
      <c r="A64" s="39" t="s">
        <v>71</v>
      </c>
      <c r="B64" s="64">
        <v>5000</v>
      </c>
      <c r="C64" s="4">
        <v>5000</v>
      </c>
      <c r="D64" s="4">
        <f>2758+563</f>
        <v>3321</v>
      </c>
      <c r="E64" s="7">
        <f t="shared" si="8"/>
        <v>66.42</v>
      </c>
      <c r="F64" s="4">
        <v>3321</v>
      </c>
      <c r="G64" s="65">
        <f t="shared" si="9"/>
        <v>66.42</v>
      </c>
      <c r="H64" s="35"/>
    </row>
    <row r="65" spans="1:8" s="22" customFormat="1" ht="18" customHeight="1">
      <c r="A65" s="17" t="s">
        <v>72</v>
      </c>
      <c r="B65" s="61">
        <v>6275</v>
      </c>
      <c r="C65" s="1">
        <v>5758</v>
      </c>
      <c r="D65" s="1">
        <v>5758</v>
      </c>
      <c r="E65" s="2">
        <f t="shared" si="8"/>
        <v>100</v>
      </c>
      <c r="F65" s="1">
        <v>5758</v>
      </c>
      <c r="G65" s="62">
        <f t="shared" si="9"/>
        <v>100</v>
      </c>
      <c r="H65" s="21"/>
    </row>
    <row r="66" spans="1:8" s="22" customFormat="1" ht="18" customHeight="1">
      <c r="A66" s="44" t="s">
        <v>73</v>
      </c>
      <c r="B66" s="72">
        <v>1140</v>
      </c>
      <c r="C66" s="11">
        <v>1140</v>
      </c>
      <c r="D66" s="11">
        <v>1140</v>
      </c>
      <c r="E66" s="12">
        <f t="shared" si="8"/>
        <v>100</v>
      </c>
      <c r="F66" s="11">
        <v>1140</v>
      </c>
      <c r="G66" s="70">
        <f t="shared" si="9"/>
        <v>100</v>
      </c>
      <c r="H66" s="24"/>
    </row>
    <row r="67" spans="1:8" s="22" customFormat="1" ht="18" customHeight="1">
      <c r="A67" s="75" t="s">
        <v>74</v>
      </c>
      <c r="B67" s="59">
        <v>4500</v>
      </c>
      <c r="C67" s="32">
        <v>4500</v>
      </c>
      <c r="D67" s="32">
        <v>4500</v>
      </c>
      <c r="E67" s="33">
        <f t="shared" si="8"/>
        <v>100</v>
      </c>
      <c r="F67" s="32">
        <v>4500</v>
      </c>
      <c r="G67" s="60">
        <f t="shared" si="9"/>
        <v>100</v>
      </c>
      <c r="H67" s="34"/>
    </row>
    <row r="68" spans="1:8" s="22" customFormat="1" ht="18" customHeight="1">
      <c r="A68" s="17" t="s">
        <v>75</v>
      </c>
      <c r="B68" s="66" t="s">
        <v>42</v>
      </c>
      <c r="C68" s="1">
        <v>14000</v>
      </c>
      <c r="D68" s="1">
        <v>300</v>
      </c>
      <c r="E68" s="2">
        <f t="shared" si="8"/>
        <v>2.142857142857143</v>
      </c>
      <c r="F68" s="5" t="s">
        <v>15</v>
      </c>
      <c r="G68" s="63" t="s">
        <v>15</v>
      </c>
      <c r="H68" s="21"/>
    </row>
    <row r="69" spans="1:8" s="22" customFormat="1" ht="18" customHeight="1">
      <c r="A69" s="17" t="s">
        <v>76</v>
      </c>
      <c r="B69" s="61">
        <v>780</v>
      </c>
      <c r="C69" s="1">
        <v>780</v>
      </c>
      <c r="D69" s="1">
        <v>780</v>
      </c>
      <c r="E69" s="2">
        <f t="shared" si="8"/>
        <v>100</v>
      </c>
      <c r="F69" s="1">
        <v>780</v>
      </c>
      <c r="G69" s="62">
        <f t="shared" si="9"/>
        <v>100</v>
      </c>
      <c r="H69" s="35"/>
    </row>
    <row r="70" spans="1:8" s="22" customFormat="1" ht="18" customHeight="1">
      <c r="A70" s="17" t="s">
        <v>77</v>
      </c>
      <c r="B70" s="61">
        <f>1425+105+50</f>
        <v>1580</v>
      </c>
      <c r="C70" s="1">
        <f>1425+105+50</f>
        <v>1580</v>
      </c>
      <c r="D70" s="1">
        <v>1580</v>
      </c>
      <c r="E70" s="2">
        <f t="shared" si="8"/>
        <v>100</v>
      </c>
      <c r="F70" s="1">
        <v>1580</v>
      </c>
      <c r="G70" s="62">
        <f t="shared" si="9"/>
        <v>100</v>
      </c>
      <c r="H70" s="21"/>
    </row>
    <row r="71" spans="1:8" s="22" customFormat="1" ht="18" customHeight="1">
      <c r="A71" s="17" t="s">
        <v>78</v>
      </c>
      <c r="B71" s="61">
        <v>65000</v>
      </c>
      <c r="C71" s="1">
        <f>65000+216</f>
        <v>65216</v>
      </c>
      <c r="D71" s="1">
        <f>1125+216+63000</f>
        <v>64341</v>
      </c>
      <c r="E71" s="2">
        <f t="shared" si="8"/>
        <v>98.65830471050049</v>
      </c>
      <c r="F71" s="1">
        <v>59069</v>
      </c>
      <c r="G71" s="62">
        <f t="shared" si="9"/>
        <v>90.5743989205103</v>
      </c>
      <c r="H71" s="50" t="s">
        <v>214</v>
      </c>
    </row>
    <row r="72" spans="1:8" s="22" customFormat="1" ht="18" customHeight="1">
      <c r="A72" s="17" t="s">
        <v>79</v>
      </c>
      <c r="B72" s="66" t="s">
        <v>42</v>
      </c>
      <c r="C72" s="1">
        <v>1100</v>
      </c>
      <c r="D72" s="1">
        <v>1100</v>
      </c>
      <c r="E72" s="2">
        <f t="shared" si="8"/>
        <v>100</v>
      </c>
      <c r="F72" s="1">
        <v>1100</v>
      </c>
      <c r="G72" s="62">
        <f t="shared" si="9"/>
        <v>100</v>
      </c>
      <c r="H72" s="35"/>
    </row>
    <row r="73" spans="1:8" s="22" customFormat="1" ht="18" customHeight="1">
      <c r="A73" s="17" t="s">
        <v>80</v>
      </c>
      <c r="B73" s="66" t="s">
        <v>42</v>
      </c>
      <c r="C73" s="1">
        <v>1105</v>
      </c>
      <c r="D73" s="1">
        <v>1105</v>
      </c>
      <c r="E73" s="2">
        <f t="shared" si="8"/>
        <v>100</v>
      </c>
      <c r="F73" s="1">
        <v>1105</v>
      </c>
      <c r="G73" s="62">
        <f t="shared" si="9"/>
        <v>100</v>
      </c>
      <c r="H73" s="35"/>
    </row>
    <row r="74" spans="1:8" s="22" customFormat="1" ht="18" customHeight="1">
      <c r="A74" s="17" t="s">
        <v>81</v>
      </c>
      <c r="B74" s="61">
        <v>48094</v>
      </c>
      <c r="C74" s="1">
        <v>45989</v>
      </c>
      <c r="D74" s="1">
        <f>44040+922+155+155+156+195+36</f>
        <v>45659</v>
      </c>
      <c r="E74" s="2">
        <f t="shared" si="8"/>
        <v>99.28243710452499</v>
      </c>
      <c r="F74" s="1">
        <v>41023</v>
      </c>
      <c r="G74" s="62">
        <f t="shared" si="9"/>
        <v>89.20176563960948</v>
      </c>
      <c r="H74" s="50" t="s">
        <v>214</v>
      </c>
    </row>
    <row r="75" spans="1:8" s="22" customFormat="1" ht="18" customHeight="1">
      <c r="A75" s="17" t="s">
        <v>82</v>
      </c>
      <c r="B75" s="61">
        <v>12000</v>
      </c>
      <c r="C75" s="1">
        <v>11865</v>
      </c>
      <c r="D75" s="1">
        <f>223+2160+108+2041+36+52+50+6505+195+235</f>
        <v>11605</v>
      </c>
      <c r="E75" s="2">
        <f t="shared" si="8"/>
        <v>97.80868099452171</v>
      </c>
      <c r="F75" s="1">
        <v>11369</v>
      </c>
      <c r="G75" s="62">
        <f t="shared" si="9"/>
        <v>95.81963758954909</v>
      </c>
      <c r="H75" s="6" t="s">
        <v>213</v>
      </c>
    </row>
    <row r="76" spans="1:8" s="22" customFormat="1" ht="18" customHeight="1">
      <c r="A76" s="39" t="s">
        <v>83</v>
      </c>
      <c r="B76" s="61">
        <v>16838</v>
      </c>
      <c r="C76" s="1">
        <v>16838</v>
      </c>
      <c r="D76" s="1">
        <f>3250+13194</f>
        <v>16444</v>
      </c>
      <c r="E76" s="2">
        <f t="shared" si="8"/>
        <v>97.6600546383181</v>
      </c>
      <c r="F76" s="1">
        <v>10555</v>
      </c>
      <c r="G76" s="62">
        <f t="shared" si="9"/>
        <v>62.68559211307756</v>
      </c>
      <c r="H76" s="21"/>
    </row>
    <row r="77" spans="1:8" s="22" customFormat="1" ht="18" customHeight="1">
      <c r="A77" s="17" t="s">
        <v>84</v>
      </c>
      <c r="B77" s="61">
        <v>28505</v>
      </c>
      <c r="C77" s="1">
        <v>28505</v>
      </c>
      <c r="D77" s="1">
        <f>12811+13944+230+459</f>
        <v>27444</v>
      </c>
      <c r="E77" s="2">
        <f t="shared" si="8"/>
        <v>96.27784599193124</v>
      </c>
      <c r="F77" s="1">
        <v>27444</v>
      </c>
      <c r="G77" s="62">
        <f t="shared" si="9"/>
        <v>96.27784599193124</v>
      </c>
      <c r="H77" s="35"/>
    </row>
    <row r="78" spans="1:8" s="22" customFormat="1" ht="18" customHeight="1">
      <c r="A78" s="39" t="s">
        <v>85</v>
      </c>
      <c r="B78" s="61">
        <v>20000</v>
      </c>
      <c r="C78" s="1">
        <v>20000</v>
      </c>
      <c r="D78" s="1">
        <f>1980</f>
        <v>1980</v>
      </c>
      <c r="E78" s="2">
        <f t="shared" si="8"/>
        <v>9.9</v>
      </c>
      <c r="F78" s="1">
        <v>1980</v>
      </c>
      <c r="G78" s="62">
        <f t="shared" si="9"/>
        <v>9.9</v>
      </c>
      <c r="H78" s="35"/>
    </row>
    <row r="79" spans="1:8" s="22" customFormat="1" ht="18" customHeight="1">
      <c r="A79" s="39" t="s">
        <v>86</v>
      </c>
      <c r="B79" s="61">
        <f>3163+200</f>
        <v>3363</v>
      </c>
      <c r="C79" s="1">
        <v>3163</v>
      </c>
      <c r="D79" s="1">
        <v>3163</v>
      </c>
      <c r="E79" s="2">
        <f t="shared" si="8"/>
        <v>100</v>
      </c>
      <c r="F79" s="1">
        <v>3163</v>
      </c>
      <c r="G79" s="62">
        <f t="shared" si="9"/>
        <v>100</v>
      </c>
      <c r="H79" s="35"/>
    </row>
    <row r="80" spans="1:8" s="22" customFormat="1" ht="18" customHeight="1">
      <c r="A80" s="17" t="s">
        <v>87</v>
      </c>
      <c r="B80" s="61">
        <v>13000</v>
      </c>
      <c r="C80" s="1">
        <f>13000-1169</f>
        <v>11831</v>
      </c>
      <c r="D80" s="1">
        <v>11831</v>
      </c>
      <c r="E80" s="2">
        <f t="shared" si="8"/>
        <v>100</v>
      </c>
      <c r="F80" s="1">
        <v>11831</v>
      </c>
      <c r="G80" s="62">
        <f t="shared" si="9"/>
        <v>100</v>
      </c>
      <c r="H80" s="35"/>
    </row>
    <row r="81" spans="1:8" s="22" customFormat="1" ht="18" customHeight="1">
      <c r="A81" s="39" t="s">
        <v>88</v>
      </c>
      <c r="B81" s="61">
        <v>1286</v>
      </c>
      <c r="C81" s="1">
        <f>1286-141</f>
        <v>1145</v>
      </c>
      <c r="D81" s="1">
        <v>1145</v>
      </c>
      <c r="E81" s="2">
        <f t="shared" si="8"/>
        <v>100</v>
      </c>
      <c r="F81" s="1">
        <v>1145</v>
      </c>
      <c r="G81" s="62">
        <f t="shared" si="9"/>
        <v>100</v>
      </c>
      <c r="H81" s="35"/>
    </row>
    <row r="82" spans="1:8" s="22" customFormat="1" ht="18" customHeight="1">
      <c r="A82" s="17" t="s">
        <v>89</v>
      </c>
      <c r="B82" s="61">
        <v>1700</v>
      </c>
      <c r="C82" s="1">
        <v>1563</v>
      </c>
      <c r="D82" s="1">
        <f>563+1000</f>
        <v>1563</v>
      </c>
      <c r="E82" s="2">
        <f t="shared" si="8"/>
        <v>100</v>
      </c>
      <c r="F82" s="1">
        <v>1563</v>
      </c>
      <c r="G82" s="62">
        <f t="shared" si="9"/>
        <v>100</v>
      </c>
      <c r="H82" s="35"/>
    </row>
    <row r="83" spans="1:8" s="22" customFormat="1" ht="18" customHeight="1">
      <c r="A83" s="39" t="s">
        <v>90</v>
      </c>
      <c r="B83" s="66" t="s">
        <v>42</v>
      </c>
      <c r="C83" s="1">
        <v>3946</v>
      </c>
      <c r="D83" s="1">
        <v>3946</v>
      </c>
      <c r="E83" s="2">
        <f t="shared" si="8"/>
        <v>100</v>
      </c>
      <c r="F83" s="5" t="s">
        <v>15</v>
      </c>
      <c r="G83" s="63" t="s">
        <v>15</v>
      </c>
      <c r="H83" s="35"/>
    </row>
    <row r="84" spans="1:8" s="22" customFormat="1" ht="18" customHeight="1">
      <c r="A84" s="39" t="s">
        <v>91</v>
      </c>
      <c r="B84" s="61">
        <v>1300</v>
      </c>
      <c r="C84" s="1">
        <v>1300</v>
      </c>
      <c r="D84" s="1">
        <v>1300</v>
      </c>
      <c r="E84" s="2">
        <f t="shared" si="8"/>
        <v>100</v>
      </c>
      <c r="F84" s="1">
        <v>1300</v>
      </c>
      <c r="G84" s="62">
        <f t="shared" si="9"/>
        <v>100</v>
      </c>
      <c r="H84" s="35"/>
    </row>
    <row r="85" spans="1:8" s="22" customFormat="1" ht="18" customHeight="1">
      <c r="A85" s="17" t="s">
        <v>92</v>
      </c>
      <c r="B85" s="61">
        <v>800</v>
      </c>
      <c r="C85" s="1">
        <v>800</v>
      </c>
      <c r="D85" s="1">
        <v>799</v>
      </c>
      <c r="E85" s="2">
        <f t="shared" si="8"/>
        <v>99.875</v>
      </c>
      <c r="F85" s="1">
        <v>799</v>
      </c>
      <c r="G85" s="62">
        <f t="shared" si="9"/>
        <v>99.875</v>
      </c>
      <c r="H85" s="35"/>
    </row>
    <row r="86" spans="1:8" s="22" customFormat="1" ht="18" customHeight="1">
      <c r="A86" s="17" t="s">
        <v>93</v>
      </c>
      <c r="B86" s="61">
        <v>3375</v>
      </c>
      <c r="C86" s="1">
        <v>3375</v>
      </c>
      <c r="D86" s="1">
        <v>3375</v>
      </c>
      <c r="E86" s="2">
        <f t="shared" si="8"/>
        <v>100</v>
      </c>
      <c r="F86" s="1">
        <v>3375</v>
      </c>
      <c r="G86" s="62">
        <f t="shared" si="9"/>
        <v>100</v>
      </c>
      <c r="H86" s="21"/>
    </row>
    <row r="87" spans="1:8" s="22" customFormat="1" ht="18" customHeight="1">
      <c r="A87" s="37" t="s">
        <v>218</v>
      </c>
      <c r="B87" s="66" t="s">
        <v>42</v>
      </c>
      <c r="C87" s="1">
        <v>1200</v>
      </c>
      <c r="D87" s="1">
        <v>1200</v>
      </c>
      <c r="E87" s="2">
        <f t="shared" si="8"/>
        <v>100</v>
      </c>
      <c r="F87" s="5" t="s">
        <v>15</v>
      </c>
      <c r="G87" s="63" t="s">
        <v>15</v>
      </c>
      <c r="H87" s="21" t="s">
        <v>217</v>
      </c>
    </row>
    <row r="88" spans="1:8" s="22" customFormat="1" ht="18" customHeight="1">
      <c r="A88" s="17" t="s">
        <v>94</v>
      </c>
      <c r="B88" s="46"/>
      <c r="C88" s="4">
        <v>1560</v>
      </c>
      <c r="D88" s="1">
        <v>1560</v>
      </c>
      <c r="E88" s="2">
        <f aca="true" t="shared" si="10" ref="E88:E120">+D88/C88*100</f>
        <v>100</v>
      </c>
      <c r="F88" s="1">
        <v>1380</v>
      </c>
      <c r="G88" s="62">
        <f aca="true" t="shared" si="11" ref="G88:G120">+F88/C88*100</f>
        <v>88.46153846153845</v>
      </c>
      <c r="H88" s="21"/>
    </row>
    <row r="89" spans="1:8" s="22" customFormat="1" ht="18" customHeight="1">
      <c r="A89" s="17" t="s">
        <v>95</v>
      </c>
      <c r="B89" s="66" t="s">
        <v>42</v>
      </c>
      <c r="C89" s="4">
        <v>2994</v>
      </c>
      <c r="D89" s="1">
        <v>2994</v>
      </c>
      <c r="E89" s="2">
        <f t="shared" si="10"/>
        <v>100</v>
      </c>
      <c r="F89" s="5" t="s">
        <v>15</v>
      </c>
      <c r="G89" s="63" t="s">
        <v>15</v>
      </c>
      <c r="H89" s="21"/>
    </row>
    <row r="90" spans="1:8" s="22" customFormat="1" ht="18" customHeight="1">
      <c r="A90" s="39" t="s">
        <v>215</v>
      </c>
      <c r="B90" s="66" t="s">
        <v>42</v>
      </c>
      <c r="C90" s="1">
        <v>7560</v>
      </c>
      <c r="D90" s="1">
        <v>7560</v>
      </c>
      <c r="E90" s="2">
        <f>+D90/C90*100</f>
        <v>100</v>
      </c>
      <c r="F90" s="5" t="s">
        <v>15</v>
      </c>
      <c r="G90" s="63" t="s">
        <v>15</v>
      </c>
      <c r="H90" s="35"/>
    </row>
    <row r="91" spans="1:8" s="22" customFormat="1" ht="18" customHeight="1">
      <c r="A91" s="17" t="s">
        <v>96</v>
      </c>
      <c r="B91" s="61">
        <v>1318</v>
      </c>
      <c r="C91" s="1">
        <v>1318</v>
      </c>
      <c r="D91" s="1">
        <v>1318</v>
      </c>
      <c r="E91" s="2">
        <f t="shared" si="10"/>
        <v>100</v>
      </c>
      <c r="F91" s="1">
        <v>1318</v>
      </c>
      <c r="G91" s="62">
        <f t="shared" si="11"/>
        <v>100</v>
      </c>
      <c r="H91" s="21"/>
    </row>
    <row r="92" spans="1:8" s="22" customFormat="1" ht="18" customHeight="1">
      <c r="A92" s="17" t="s">
        <v>97</v>
      </c>
      <c r="B92" s="61">
        <v>5000</v>
      </c>
      <c r="C92" s="1">
        <f>5000-189-211</f>
        <v>4600</v>
      </c>
      <c r="D92" s="1">
        <v>4600</v>
      </c>
      <c r="E92" s="2">
        <f t="shared" si="10"/>
        <v>100</v>
      </c>
      <c r="F92" s="1">
        <v>4600</v>
      </c>
      <c r="G92" s="62">
        <f t="shared" si="11"/>
        <v>100</v>
      </c>
      <c r="H92" s="21"/>
    </row>
    <row r="93" spans="1:8" ht="18" customHeight="1">
      <c r="A93" s="39" t="s">
        <v>98</v>
      </c>
      <c r="B93" s="66" t="s">
        <v>42</v>
      </c>
      <c r="C93" s="4">
        <v>5760</v>
      </c>
      <c r="D93" s="4">
        <v>5760</v>
      </c>
      <c r="E93" s="7">
        <f t="shared" si="10"/>
        <v>100</v>
      </c>
      <c r="F93" s="4">
        <v>5760</v>
      </c>
      <c r="G93" s="65">
        <f t="shared" si="11"/>
        <v>100</v>
      </c>
      <c r="H93" s="35"/>
    </row>
    <row r="94" spans="1:8" s="22" customFormat="1" ht="18" customHeight="1">
      <c r="A94" s="17" t="s">
        <v>99</v>
      </c>
      <c r="B94" s="61">
        <v>6943</v>
      </c>
      <c r="C94" s="1">
        <v>924</v>
      </c>
      <c r="D94" s="1">
        <f>48+185+537+154</f>
        <v>924</v>
      </c>
      <c r="E94" s="2">
        <f t="shared" si="10"/>
        <v>100</v>
      </c>
      <c r="F94" s="1">
        <v>924</v>
      </c>
      <c r="G94" s="62">
        <f t="shared" si="11"/>
        <v>100</v>
      </c>
      <c r="H94" s="21"/>
    </row>
    <row r="95" spans="1:8" s="22" customFormat="1" ht="18" customHeight="1">
      <c r="A95" s="39" t="s">
        <v>216</v>
      </c>
      <c r="B95" s="61">
        <v>600</v>
      </c>
      <c r="C95" s="1">
        <v>1170</v>
      </c>
      <c r="D95" s="1">
        <f>142+134+150+159+276+307</f>
        <v>1168</v>
      </c>
      <c r="E95" s="2">
        <f t="shared" si="10"/>
        <v>99.82905982905983</v>
      </c>
      <c r="F95" s="1">
        <v>1168</v>
      </c>
      <c r="G95" s="62">
        <f t="shared" si="11"/>
        <v>99.82905982905983</v>
      </c>
      <c r="H95" s="35"/>
    </row>
    <row r="96" spans="1:8" s="22" customFormat="1" ht="18" customHeight="1">
      <c r="A96" s="17" t="s">
        <v>100</v>
      </c>
      <c r="B96" s="61">
        <v>300</v>
      </c>
      <c r="C96" s="1">
        <v>228</v>
      </c>
      <c r="D96" s="1">
        <v>228</v>
      </c>
      <c r="E96" s="2">
        <f t="shared" si="10"/>
        <v>100</v>
      </c>
      <c r="F96" s="1">
        <v>228</v>
      </c>
      <c r="G96" s="62">
        <f t="shared" si="11"/>
        <v>100</v>
      </c>
      <c r="H96" s="21"/>
    </row>
    <row r="97" spans="1:8" s="22" customFormat="1" ht="18" customHeight="1">
      <c r="A97" s="17" t="s">
        <v>101</v>
      </c>
      <c r="B97" s="66" t="s">
        <v>42</v>
      </c>
      <c r="C97" s="1">
        <v>800</v>
      </c>
      <c r="D97" s="5" t="s">
        <v>15</v>
      </c>
      <c r="E97" s="5" t="s">
        <v>15</v>
      </c>
      <c r="F97" s="5" t="s">
        <v>15</v>
      </c>
      <c r="G97" s="63" t="s">
        <v>15</v>
      </c>
      <c r="H97" s="21"/>
    </row>
    <row r="98" spans="1:8" s="22" customFormat="1" ht="18" customHeight="1">
      <c r="A98" s="17" t="s">
        <v>102</v>
      </c>
      <c r="B98" s="66" t="s">
        <v>42</v>
      </c>
      <c r="C98" s="4">
        <v>1067</v>
      </c>
      <c r="D98" s="1">
        <f>84+383+600</f>
        <v>1067</v>
      </c>
      <c r="E98" s="2">
        <f t="shared" si="10"/>
        <v>100</v>
      </c>
      <c r="F98" s="1">
        <v>1067</v>
      </c>
      <c r="G98" s="62">
        <f t="shared" si="11"/>
        <v>100</v>
      </c>
      <c r="H98" s="21"/>
    </row>
    <row r="99" spans="1:8" s="22" customFormat="1" ht="18" customHeight="1">
      <c r="A99" s="44" t="s">
        <v>103</v>
      </c>
      <c r="B99" s="69" t="s">
        <v>42</v>
      </c>
      <c r="C99" s="14">
        <v>380</v>
      </c>
      <c r="D99" s="11">
        <f>180+200</f>
        <v>380</v>
      </c>
      <c r="E99" s="12">
        <f t="shared" si="10"/>
        <v>100</v>
      </c>
      <c r="F99" s="11">
        <v>379</v>
      </c>
      <c r="G99" s="70">
        <f t="shared" si="11"/>
        <v>99.73684210526315</v>
      </c>
      <c r="H99" s="24"/>
    </row>
    <row r="100" spans="1:8" s="22" customFormat="1" ht="16.5" customHeight="1">
      <c r="A100" s="17" t="s">
        <v>104</v>
      </c>
      <c r="B100" s="61">
        <v>5000</v>
      </c>
      <c r="C100" s="1">
        <v>5000</v>
      </c>
      <c r="D100" s="1">
        <v>5000</v>
      </c>
      <c r="E100" s="2">
        <f t="shared" si="10"/>
        <v>100</v>
      </c>
      <c r="F100" s="1">
        <v>5000</v>
      </c>
      <c r="G100" s="62">
        <f t="shared" si="11"/>
        <v>100</v>
      </c>
      <c r="H100" s="21"/>
    </row>
    <row r="101" spans="1:8" s="22" customFormat="1" ht="16.5" customHeight="1">
      <c r="A101" s="17" t="s">
        <v>105</v>
      </c>
      <c r="B101" s="61">
        <v>100</v>
      </c>
      <c r="C101" s="1">
        <v>100</v>
      </c>
      <c r="D101" s="1">
        <v>100</v>
      </c>
      <c r="E101" s="2">
        <f t="shared" si="10"/>
        <v>100</v>
      </c>
      <c r="F101" s="1">
        <v>100</v>
      </c>
      <c r="G101" s="62">
        <f t="shared" si="11"/>
        <v>100</v>
      </c>
      <c r="H101" s="35"/>
    </row>
    <row r="102" spans="1:8" s="22" customFormat="1" ht="16.5" customHeight="1">
      <c r="A102" s="17" t="s">
        <v>106</v>
      </c>
      <c r="B102" s="61">
        <v>420</v>
      </c>
      <c r="C102" s="1">
        <v>420</v>
      </c>
      <c r="D102" s="5" t="s">
        <v>15</v>
      </c>
      <c r="E102" s="5" t="s">
        <v>15</v>
      </c>
      <c r="F102" s="5" t="s">
        <v>15</v>
      </c>
      <c r="G102" s="63" t="s">
        <v>15</v>
      </c>
      <c r="H102" s="35"/>
    </row>
    <row r="103" spans="1:8" s="22" customFormat="1" ht="16.5" customHeight="1">
      <c r="A103" s="17" t="s">
        <v>107</v>
      </c>
      <c r="B103" s="61">
        <v>300</v>
      </c>
      <c r="C103" s="1">
        <v>300</v>
      </c>
      <c r="D103" s="5" t="s">
        <v>15</v>
      </c>
      <c r="E103" s="5" t="s">
        <v>15</v>
      </c>
      <c r="F103" s="5" t="s">
        <v>15</v>
      </c>
      <c r="G103" s="63" t="s">
        <v>15</v>
      </c>
      <c r="H103" s="35"/>
    </row>
    <row r="104" spans="1:8" s="22" customFormat="1" ht="16.5" customHeight="1">
      <c r="A104" s="39" t="s">
        <v>108</v>
      </c>
      <c r="B104" s="61">
        <v>120000</v>
      </c>
      <c r="C104" s="1">
        <v>120000</v>
      </c>
      <c r="D104" s="1">
        <v>120000</v>
      </c>
      <c r="E104" s="2">
        <f t="shared" si="10"/>
        <v>100</v>
      </c>
      <c r="F104" s="1">
        <v>120000</v>
      </c>
      <c r="G104" s="62">
        <f t="shared" si="11"/>
        <v>100</v>
      </c>
      <c r="H104" s="35" t="s">
        <v>211</v>
      </c>
    </row>
    <row r="105" spans="1:8" s="22" customFormat="1" ht="16.5" customHeight="1">
      <c r="A105" s="46" t="s">
        <v>219</v>
      </c>
      <c r="B105" s="66" t="s">
        <v>42</v>
      </c>
      <c r="C105" s="1">
        <v>100000</v>
      </c>
      <c r="D105" s="1">
        <v>100000</v>
      </c>
      <c r="E105" s="2">
        <f t="shared" si="10"/>
        <v>100</v>
      </c>
      <c r="F105" s="1">
        <v>100000</v>
      </c>
      <c r="G105" s="62">
        <f t="shared" si="11"/>
        <v>100</v>
      </c>
      <c r="H105" s="35"/>
    </row>
    <row r="106" spans="1:8" s="22" customFormat="1" ht="16.5" customHeight="1">
      <c r="A106" s="39" t="s">
        <v>109</v>
      </c>
      <c r="B106" s="66" t="s">
        <v>42</v>
      </c>
      <c r="C106" s="1">
        <v>7000</v>
      </c>
      <c r="D106" s="1">
        <v>7000</v>
      </c>
      <c r="E106" s="2">
        <f t="shared" si="10"/>
        <v>100</v>
      </c>
      <c r="F106" s="1">
        <v>7000</v>
      </c>
      <c r="G106" s="62">
        <f t="shared" si="11"/>
        <v>100</v>
      </c>
      <c r="H106" s="35"/>
    </row>
    <row r="107" spans="1:8" s="22" customFormat="1" ht="16.5" customHeight="1">
      <c r="A107" s="39" t="s">
        <v>110</v>
      </c>
      <c r="B107" s="66" t="s">
        <v>42</v>
      </c>
      <c r="C107" s="1">
        <v>47620</v>
      </c>
      <c r="D107" s="1">
        <v>47620</v>
      </c>
      <c r="E107" s="2">
        <f t="shared" si="10"/>
        <v>100</v>
      </c>
      <c r="F107" s="5" t="s">
        <v>15</v>
      </c>
      <c r="G107" s="63" t="s">
        <v>15</v>
      </c>
      <c r="H107" s="35"/>
    </row>
    <row r="108" spans="1:8" s="22" customFormat="1" ht="16.5" customHeight="1">
      <c r="A108" s="17" t="s">
        <v>111</v>
      </c>
      <c r="B108" s="61">
        <v>2200</v>
      </c>
      <c r="C108" s="1">
        <v>2200</v>
      </c>
      <c r="D108" s="1">
        <f>982+515</f>
        <v>1497</v>
      </c>
      <c r="E108" s="2">
        <f t="shared" si="10"/>
        <v>68.04545454545455</v>
      </c>
      <c r="F108" s="1">
        <v>982</v>
      </c>
      <c r="G108" s="62">
        <f t="shared" si="11"/>
        <v>44.63636363636363</v>
      </c>
      <c r="H108" s="35"/>
    </row>
    <row r="109" spans="1:8" s="22" customFormat="1" ht="16.5" customHeight="1">
      <c r="A109" s="17" t="s">
        <v>112</v>
      </c>
      <c r="B109" s="61">
        <v>1250</v>
      </c>
      <c r="C109" s="1">
        <v>1250</v>
      </c>
      <c r="D109" s="1">
        <v>1250</v>
      </c>
      <c r="E109" s="2">
        <f t="shared" si="10"/>
        <v>100</v>
      </c>
      <c r="F109" s="1">
        <v>1250</v>
      </c>
      <c r="G109" s="62">
        <f t="shared" si="11"/>
        <v>100</v>
      </c>
      <c r="H109" s="35"/>
    </row>
    <row r="110" spans="1:8" s="22" customFormat="1" ht="16.5" customHeight="1">
      <c r="A110" s="17" t="s">
        <v>113</v>
      </c>
      <c r="B110" s="66" t="s">
        <v>15</v>
      </c>
      <c r="C110" s="1">
        <v>3240</v>
      </c>
      <c r="D110" s="1">
        <v>3240</v>
      </c>
      <c r="E110" s="2">
        <f t="shared" si="10"/>
        <v>100</v>
      </c>
      <c r="F110" s="5" t="s">
        <v>15</v>
      </c>
      <c r="G110" s="63" t="s">
        <v>15</v>
      </c>
      <c r="H110" s="35"/>
    </row>
    <row r="111" spans="1:8" s="22" customFormat="1" ht="17.25" customHeight="1">
      <c r="A111" s="17" t="s">
        <v>114</v>
      </c>
      <c r="B111" s="66" t="s">
        <v>15</v>
      </c>
      <c r="C111" s="1">
        <v>8750</v>
      </c>
      <c r="D111" s="5" t="s">
        <v>15</v>
      </c>
      <c r="E111" s="5" t="s">
        <v>15</v>
      </c>
      <c r="F111" s="5" t="s">
        <v>15</v>
      </c>
      <c r="G111" s="63" t="s">
        <v>15</v>
      </c>
      <c r="H111" s="54" t="s">
        <v>115</v>
      </c>
    </row>
    <row r="112" spans="1:8" s="22" customFormat="1" ht="16.5" customHeight="1">
      <c r="A112" s="17" t="s">
        <v>116</v>
      </c>
      <c r="B112" s="66" t="s">
        <v>15</v>
      </c>
      <c r="C112" s="1">
        <v>1485</v>
      </c>
      <c r="D112" s="1">
        <v>1485</v>
      </c>
      <c r="E112" s="2">
        <f t="shared" si="10"/>
        <v>100</v>
      </c>
      <c r="F112" s="5" t="s">
        <v>15</v>
      </c>
      <c r="G112" s="63" t="s">
        <v>15</v>
      </c>
      <c r="H112" s="35"/>
    </row>
    <row r="113" spans="1:8" s="22" customFormat="1" ht="16.5" customHeight="1">
      <c r="A113" s="17" t="s">
        <v>117</v>
      </c>
      <c r="B113" s="66" t="s">
        <v>15</v>
      </c>
      <c r="C113" s="1">
        <v>1700</v>
      </c>
      <c r="D113" s="1">
        <v>1699</v>
      </c>
      <c r="E113" s="2">
        <f t="shared" si="10"/>
        <v>99.94117647058823</v>
      </c>
      <c r="F113" s="4">
        <v>1699</v>
      </c>
      <c r="G113" s="62">
        <f t="shared" si="11"/>
        <v>99.94117647058823</v>
      </c>
      <c r="H113" s="35"/>
    </row>
    <row r="114" spans="1:8" s="22" customFormat="1" ht="16.5" customHeight="1">
      <c r="A114" s="17" t="s">
        <v>118</v>
      </c>
      <c r="B114" s="66" t="s">
        <v>15</v>
      </c>
      <c r="C114" s="1">
        <v>1496</v>
      </c>
      <c r="D114" s="1">
        <f>1395+100</f>
        <v>1495</v>
      </c>
      <c r="E114" s="2">
        <f t="shared" si="10"/>
        <v>99.93315508021391</v>
      </c>
      <c r="F114" s="4">
        <v>1495</v>
      </c>
      <c r="G114" s="62">
        <f t="shared" si="11"/>
        <v>99.93315508021391</v>
      </c>
      <c r="H114" s="35"/>
    </row>
    <row r="115" spans="1:8" s="22" customFormat="1" ht="16.5" customHeight="1">
      <c r="A115" s="17" t="s">
        <v>119</v>
      </c>
      <c r="B115" s="66" t="s">
        <v>15</v>
      </c>
      <c r="C115" s="1">
        <v>1510</v>
      </c>
      <c r="D115" s="1">
        <v>1510</v>
      </c>
      <c r="E115" s="2">
        <f t="shared" si="10"/>
        <v>100</v>
      </c>
      <c r="F115" s="13">
        <v>1510</v>
      </c>
      <c r="G115" s="62">
        <f t="shared" si="11"/>
        <v>100</v>
      </c>
      <c r="H115" s="55"/>
    </row>
    <row r="116" spans="1:8" s="22" customFormat="1" ht="16.5" customHeight="1">
      <c r="A116" s="17" t="s">
        <v>120</v>
      </c>
      <c r="B116" s="66" t="s">
        <v>15</v>
      </c>
      <c r="C116" s="1">
        <v>9645</v>
      </c>
      <c r="D116" s="1">
        <f>180+9465-1</f>
        <v>9644</v>
      </c>
      <c r="E116" s="2">
        <f t="shared" si="10"/>
        <v>99.98963193364438</v>
      </c>
      <c r="F116" s="4">
        <f>180+9464</f>
        <v>9644</v>
      </c>
      <c r="G116" s="62">
        <f t="shared" si="11"/>
        <v>99.98963193364438</v>
      </c>
      <c r="H116" s="56"/>
    </row>
    <row r="117" spans="1:8" s="22" customFormat="1" ht="16.5" customHeight="1">
      <c r="A117" s="17" t="s">
        <v>121</v>
      </c>
      <c r="B117" s="66" t="s">
        <v>15</v>
      </c>
      <c r="C117" s="1">
        <v>9578</v>
      </c>
      <c r="D117" s="1">
        <f>162+9416</f>
        <v>9578</v>
      </c>
      <c r="E117" s="2">
        <f t="shared" si="10"/>
        <v>100</v>
      </c>
      <c r="F117" s="4">
        <v>9578</v>
      </c>
      <c r="G117" s="62">
        <f t="shared" si="11"/>
        <v>100</v>
      </c>
      <c r="H117" s="56"/>
    </row>
    <row r="118" spans="1:8" s="22" customFormat="1" ht="16.5" customHeight="1">
      <c r="A118" s="17" t="s">
        <v>122</v>
      </c>
      <c r="B118" s="66" t="s">
        <v>15</v>
      </c>
      <c r="C118" s="1">
        <v>528</v>
      </c>
      <c r="D118" s="1">
        <v>528</v>
      </c>
      <c r="E118" s="2">
        <f t="shared" si="10"/>
        <v>100</v>
      </c>
      <c r="F118" s="13">
        <v>528</v>
      </c>
      <c r="G118" s="62">
        <f t="shared" si="11"/>
        <v>100</v>
      </c>
      <c r="H118" s="55"/>
    </row>
    <row r="119" spans="1:8" s="22" customFormat="1" ht="16.5" customHeight="1">
      <c r="A119" s="17" t="s">
        <v>123</v>
      </c>
      <c r="B119" s="66" t="s">
        <v>15</v>
      </c>
      <c r="C119" s="1">
        <v>1678</v>
      </c>
      <c r="D119" s="1">
        <v>1678</v>
      </c>
      <c r="E119" s="2">
        <f t="shared" si="10"/>
        <v>100</v>
      </c>
      <c r="F119" s="4">
        <v>1678</v>
      </c>
      <c r="G119" s="62">
        <f t="shared" si="11"/>
        <v>100</v>
      </c>
      <c r="H119" s="35"/>
    </row>
    <row r="120" spans="1:8" s="22" customFormat="1" ht="16.5" customHeight="1">
      <c r="A120" s="17" t="s">
        <v>124</v>
      </c>
      <c r="B120" s="66" t="s">
        <v>15</v>
      </c>
      <c r="C120" s="1">
        <v>1244</v>
      </c>
      <c r="D120" s="1">
        <v>1244</v>
      </c>
      <c r="E120" s="2">
        <f t="shared" si="10"/>
        <v>100</v>
      </c>
      <c r="F120" s="13">
        <v>1244</v>
      </c>
      <c r="G120" s="62">
        <f t="shared" si="11"/>
        <v>100</v>
      </c>
      <c r="H120" s="55"/>
    </row>
    <row r="121" spans="1:8" s="22" customFormat="1" ht="16.5" customHeight="1">
      <c r="A121" s="17" t="s">
        <v>125</v>
      </c>
      <c r="B121" s="66" t="s">
        <v>15</v>
      </c>
      <c r="C121" s="1">
        <v>1232</v>
      </c>
      <c r="D121" s="1">
        <v>1232</v>
      </c>
      <c r="E121" s="2">
        <f>+D121/C121*100</f>
        <v>100</v>
      </c>
      <c r="F121" s="4">
        <v>1232</v>
      </c>
      <c r="G121" s="62">
        <f>+F121/C121*100</f>
        <v>100</v>
      </c>
      <c r="H121" s="35"/>
    </row>
    <row r="122" spans="1:8" s="22" customFormat="1" ht="16.5" customHeight="1">
      <c r="A122" s="17" t="s">
        <v>126</v>
      </c>
      <c r="B122" s="66" t="s">
        <v>15</v>
      </c>
      <c r="C122" s="4">
        <v>271</v>
      </c>
      <c r="D122" s="1">
        <f>169+102</f>
        <v>271</v>
      </c>
      <c r="E122" s="2">
        <f>+D122/C122*100</f>
        <v>100</v>
      </c>
      <c r="F122" s="4">
        <v>271</v>
      </c>
      <c r="G122" s="62">
        <f>+F122/C122*100</f>
        <v>100</v>
      </c>
      <c r="H122" s="55"/>
    </row>
    <row r="123" spans="1:8" s="22" customFormat="1" ht="16.5" customHeight="1">
      <c r="A123" s="17" t="s">
        <v>127</v>
      </c>
      <c r="B123" s="66" t="s">
        <v>15</v>
      </c>
      <c r="C123" s="4">
        <v>378</v>
      </c>
      <c r="D123" s="1">
        <v>378</v>
      </c>
      <c r="E123" s="2">
        <f>+D123/C123*100</f>
        <v>100</v>
      </c>
      <c r="F123" s="4">
        <v>378</v>
      </c>
      <c r="G123" s="62">
        <f>+F123/C123*100</f>
        <v>100</v>
      </c>
      <c r="H123" s="55"/>
    </row>
    <row r="124" spans="1:8" s="23" customFormat="1" ht="18.75" customHeight="1">
      <c r="A124" s="40" t="s">
        <v>128</v>
      </c>
      <c r="B124" s="67">
        <f>SUM(B56:B123)</f>
        <v>902043</v>
      </c>
      <c r="C124" s="8">
        <f>SUM(C56:C123)</f>
        <v>1156461</v>
      </c>
      <c r="D124" s="8">
        <f>SUM(D56:D123)</f>
        <v>1057538</v>
      </c>
      <c r="E124" s="9">
        <f>+D124/C124*100</f>
        <v>91.44605827606811</v>
      </c>
      <c r="F124" s="8">
        <f>SUM(F56:F123)</f>
        <v>631801</v>
      </c>
      <c r="G124" s="68">
        <f>+F124/C124*100</f>
        <v>54.63227899600592</v>
      </c>
      <c r="H124" s="57"/>
    </row>
    <row r="125" spans="1:8" s="22" customFormat="1" ht="18.75" customHeight="1">
      <c r="A125" s="41" t="s">
        <v>129</v>
      </c>
      <c r="B125" s="61"/>
      <c r="C125" s="1"/>
      <c r="D125" s="1"/>
      <c r="E125" s="2"/>
      <c r="F125" s="1"/>
      <c r="G125" s="62"/>
      <c r="H125" s="35"/>
    </row>
    <row r="126" spans="1:8" s="22" customFormat="1" ht="18" customHeight="1">
      <c r="A126" s="10" t="s">
        <v>130</v>
      </c>
      <c r="B126" s="61">
        <v>18484</v>
      </c>
      <c r="C126" s="1">
        <f>18484+1644+24</f>
        <v>20152</v>
      </c>
      <c r="D126" s="1">
        <f>92+1644+18200+216</f>
        <v>20152</v>
      </c>
      <c r="E126" s="2">
        <f aca="true" t="shared" si="12" ref="E126:E139">+D126/C126*100</f>
        <v>100</v>
      </c>
      <c r="F126" s="1">
        <v>1871</v>
      </c>
      <c r="G126" s="62">
        <f aca="true" t="shared" si="13" ref="G126:G139">+F126/C126*100</f>
        <v>9.284438269154426</v>
      </c>
      <c r="H126" s="35"/>
    </row>
    <row r="127" spans="1:8" s="22" customFormat="1" ht="18" customHeight="1">
      <c r="A127" s="17" t="s">
        <v>131</v>
      </c>
      <c r="B127" s="61">
        <v>3561</v>
      </c>
      <c r="C127" s="1">
        <v>3561</v>
      </c>
      <c r="D127" s="1">
        <f>2500+837</f>
        <v>3337</v>
      </c>
      <c r="E127" s="2">
        <f t="shared" si="12"/>
        <v>93.70963212580736</v>
      </c>
      <c r="F127" s="1">
        <v>837</v>
      </c>
      <c r="G127" s="62">
        <f t="shared" si="13"/>
        <v>23.50463352990733</v>
      </c>
      <c r="H127" s="35"/>
    </row>
    <row r="128" spans="1:8" s="22" customFormat="1" ht="18" customHeight="1">
      <c r="A128" s="17" t="s">
        <v>132</v>
      </c>
      <c r="B128" s="61">
        <v>245</v>
      </c>
      <c r="C128" s="1">
        <v>245</v>
      </c>
      <c r="D128" s="1">
        <f>175+69</f>
        <v>244</v>
      </c>
      <c r="E128" s="2">
        <f t="shared" si="12"/>
        <v>99.59183673469387</v>
      </c>
      <c r="F128" s="1">
        <v>244</v>
      </c>
      <c r="G128" s="62">
        <f t="shared" si="13"/>
        <v>99.59183673469387</v>
      </c>
      <c r="H128" s="35"/>
    </row>
    <row r="129" spans="1:8" s="22" customFormat="1" ht="18" customHeight="1">
      <c r="A129" s="46" t="s">
        <v>133</v>
      </c>
      <c r="B129" s="61">
        <v>8138</v>
      </c>
      <c r="C129" s="1">
        <v>8138</v>
      </c>
      <c r="D129" s="1">
        <f>+F129</f>
        <v>7812</v>
      </c>
      <c r="E129" s="2">
        <f t="shared" si="12"/>
        <v>95.99410174490046</v>
      </c>
      <c r="F129" s="1">
        <v>7812</v>
      </c>
      <c r="G129" s="62">
        <f t="shared" si="13"/>
        <v>95.99410174490046</v>
      </c>
      <c r="H129" s="35"/>
    </row>
    <row r="130" spans="1:8" s="22" customFormat="1" ht="18" customHeight="1">
      <c r="A130" s="10" t="s">
        <v>134</v>
      </c>
      <c r="B130" s="61">
        <v>1248</v>
      </c>
      <c r="C130" s="1">
        <v>1248</v>
      </c>
      <c r="D130" s="1">
        <v>1248</v>
      </c>
      <c r="E130" s="2">
        <f t="shared" si="12"/>
        <v>100</v>
      </c>
      <c r="F130" s="1">
        <v>1248</v>
      </c>
      <c r="G130" s="62">
        <f t="shared" si="13"/>
        <v>100</v>
      </c>
      <c r="H130" s="35"/>
    </row>
    <row r="131" spans="1:8" s="22" customFormat="1" ht="18" customHeight="1">
      <c r="A131" s="17" t="s">
        <v>135</v>
      </c>
      <c r="B131" s="61">
        <v>2945</v>
      </c>
      <c r="C131" s="1">
        <v>2945</v>
      </c>
      <c r="D131" s="1">
        <v>2945</v>
      </c>
      <c r="E131" s="2">
        <f t="shared" si="12"/>
        <v>100</v>
      </c>
      <c r="F131" s="1">
        <v>2945</v>
      </c>
      <c r="G131" s="62">
        <f t="shared" si="13"/>
        <v>100</v>
      </c>
      <c r="H131" s="35"/>
    </row>
    <row r="132" spans="1:8" ht="18" customHeight="1">
      <c r="A132" s="39" t="s">
        <v>136</v>
      </c>
      <c r="B132" s="64">
        <v>2700</v>
      </c>
      <c r="C132" s="4">
        <f>2700+207</f>
        <v>2907</v>
      </c>
      <c r="D132" s="4">
        <v>2907</v>
      </c>
      <c r="E132" s="7">
        <f t="shared" si="12"/>
        <v>100</v>
      </c>
      <c r="F132" s="4">
        <v>2907</v>
      </c>
      <c r="G132" s="65">
        <f t="shared" si="13"/>
        <v>100</v>
      </c>
      <c r="H132" s="35"/>
    </row>
    <row r="133" spans="1:8" ht="21" customHeight="1">
      <c r="A133" s="39" t="s">
        <v>137</v>
      </c>
      <c r="B133" s="61">
        <v>1707635</v>
      </c>
      <c r="C133" s="1">
        <f>1707635-240</f>
        <v>1707395</v>
      </c>
      <c r="D133" s="1">
        <f>1526919+1013+170+58+192</f>
        <v>1528352</v>
      </c>
      <c r="E133" s="2">
        <f t="shared" si="12"/>
        <v>89.51367434014976</v>
      </c>
      <c r="F133" s="1">
        <v>1526074</v>
      </c>
      <c r="G133" s="62">
        <f t="shared" si="13"/>
        <v>89.38025471551691</v>
      </c>
      <c r="H133" s="35"/>
    </row>
    <row r="134" spans="1:8" ht="18.75" customHeight="1">
      <c r="A134" s="43" t="s">
        <v>138</v>
      </c>
      <c r="B134" s="72">
        <v>4500</v>
      </c>
      <c r="C134" s="11">
        <f>4500+2078</f>
        <v>6578</v>
      </c>
      <c r="D134" s="11">
        <f>72+6506</f>
        <v>6578</v>
      </c>
      <c r="E134" s="12">
        <f t="shared" si="12"/>
        <v>100</v>
      </c>
      <c r="F134" s="11">
        <v>6578</v>
      </c>
      <c r="G134" s="70">
        <f t="shared" si="13"/>
        <v>100</v>
      </c>
      <c r="H134" s="53"/>
    </row>
    <row r="135" spans="1:8" ht="18.75" customHeight="1">
      <c r="A135" s="39" t="s">
        <v>139</v>
      </c>
      <c r="B135" s="61">
        <v>2000</v>
      </c>
      <c r="C135" s="1">
        <v>2000</v>
      </c>
      <c r="D135" s="1">
        <v>1997</v>
      </c>
      <c r="E135" s="2">
        <f t="shared" si="12"/>
        <v>99.85000000000001</v>
      </c>
      <c r="F135" s="1">
        <v>1997</v>
      </c>
      <c r="G135" s="62">
        <f t="shared" si="13"/>
        <v>99.85000000000001</v>
      </c>
      <c r="H135" s="35"/>
    </row>
    <row r="136" spans="1:8" ht="18.75" customHeight="1">
      <c r="A136" s="39" t="s">
        <v>140</v>
      </c>
      <c r="B136" s="66" t="s">
        <v>42</v>
      </c>
      <c r="C136" s="1">
        <v>628</v>
      </c>
      <c r="D136" s="1">
        <v>628</v>
      </c>
      <c r="E136" s="2">
        <f t="shared" si="12"/>
        <v>100</v>
      </c>
      <c r="F136" s="1">
        <v>628</v>
      </c>
      <c r="G136" s="62">
        <f t="shared" si="13"/>
        <v>100</v>
      </c>
      <c r="H136" s="35"/>
    </row>
    <row r="137" spans="1:8" ht="18.75" customHeight="1">
      <c r="A137" s="39" t="s">
        <v>141</v>
      </c>
      <c r="B137" s="66" t="s">
        <v>42</v>
      </c>
      <c r="C137" s="1">
        <v>360</v>
      </c>
      <c r="D137" s="1">
        <v>360</v>
      </c>
      <c r="E137" s="2">
        <f t="shared" si="12"/>
        <v>100</v>
      </c>
      <c r="F137" s="1">
        <v>360</v>
      </c>
      <c r="G137" s="62">
        <f t="shared" si="13"/>
        <v>100</v>
      </c>
      <c r="H137" s="35"/>
    </row>
    <row r="138" spans="1:8" ht="18.75" customHeight="1">
      <c r="A138" s="39" t="s">
        <v>142</v>
      </c>
      <c r="B138" s="66" t="s">
        <v>42</v>
      </c>
      <c r="C138" s="1">
        <v>1248</v>
      </c>
      <c r="D138" s="1">
        <v>1248</v>
      </c>
      <c r="E138" s="2">
        <f t="shared" si="12"/>
        <v>100</v>
      </c>
      <c r="F138" s="1">
        <v>1248</v>
      </c>
      <c r="G138" s="62">
        <f t="shared" si="13"/>
        <v>100</v>
      </c>
      <c r="H138" s="35"/>
    </row>
    <row r="139" spans="1:8" s="23" customFormat="1" ht="18.75" customHeight="1">
      <c r="A139" s="40" t="s">
        <v>143</v>
      </c>
      <c r="B139" s="67">
        <f>SUM(B126:B138)</f>
        <v>1751456</v>
      </c>
      <c r="C139" s="8">
        <f>SUM(C126:C138)</f>
        <v>1757405</v>
      </c>
      <c r="D139" s="8">
        <f>SUM(D126:D138)</f>
        <v>1577808</v>
      </c>
      <c r="E139" s="9">
        <f t="shared" si="12"/>
        <v>89.78055712826583</v>
      </c>
      <c r="F139" s="8">
        <f>SUM(F126:F138)</f>
        <v>1554749</v>
      </c>
      <c r="G139" s="68">
        <f t="shared" si="13"/>
        <v>88.46845206426521</v>
      </c>
      <c r="H139" s="57"/>
    </row>
    <row r="140" spans="1:8" s="22" customFormat="1" ht="17.25" customHeight="1">
      <c r="A140" s="41" t="s">
        <v>144</v>
      </c>
      <c r="B140" s="61"/>
      <c r="C140" s="1"/>
      <c r="D140" s="1"/>
      <c r="E140" s="2"/>
      <c r="F140" s="1"/>
      <c r="G140" s="62"/>
      <c r="H140" s="35"/>
    </row>
    <row r="141" spans="1:8" ht="17.25" customHeight="1">
      <c r="A141" s="10" t="s">
        <v>145</v>
      </c>
      <c r="B141" s="64">
        <v>11500</v>
      </c>
      <c r="C141" s="4">
        <v>11500</v>
      </c>
      <c r="D141" s="4">
        <f>252+288+7934+1001+231</f>
        <v>9706</v>
      </c>
      <c r="E141" s="7">
        <f aca="true" t="shared" si="14" ref="E141:E146">+D141/C141*100</f>
        <v>84.39999999999999</v>
      </c>
      <c r="F141" s="4">
        <v>9706</v>
      </c>
      <c r="G141" s="65">
        <f aca="true" t="shared" si="15" ref="G141:G146">+F141/C141*100</f>
        <v>84.39999999999999</v>
      </c>
      <c r="H141" s="35"/>
    </row>
    <row r="142" spans="1:8" ht="17.25" customHeight="1">
      <c r="A142" s="10" t="s">
        <v>146</v>
      </c>
      <c r="B142" s="66" t="s">
        <v>42</v>
      </c>
      <c r="C142" s="4">
        <v>3271</v>
      </c>
      <c r="D142" s="4">
        <f>1042+1229+1000</f>
        <v>3271</v>
      </c>
      <c r="E142" s="7">
        <f t="shared" si="14"/>
        <v>100</v>
      </c>
      <c r="F142" s="4">
        <f>2271+1000</f>
        <v>3271</v>
      </c>
      <c r="G142" s="65">
        <f t="shared" si="15"/>
        <v>100</v>
      </c>
      <c r="H142" s="35"/>
    </row>
    <row r="143" spans="1:8" ht="17.25" customHeight="1">
      <c r="A143" s="10" t="s">
        <v>147</v>
      </c>
      <c r="B143" s="66" t="s">
        <v>42</v>
      </c>
      <c r="C143" s="4">
        <v>10802</v>
      </c>
      <c r="D143" s="4">
        <f>7670+3132</f>
        <v>10802</v>
      </c>
      <c r="E143" s="7">
        <f t="shared" si="14"/>
        <v>100</v>
      </c>
      <c r="F143" s="4">
        <v>10802</v>
      </c>
      <c r="G143" s="65">
        <f t="shared" si="15"/>
        <v>100</v>
      </c>
      <c r="H143" s="35"/>
    </row>
    <row r="144" spans="1:8" ht="17.25" customHeight="1">
      <c r="A144" s="17" t="s">
        <v>148</v>
      </c>
      <c r="B144" s="66" t="s">
        <v>42</v>
      </c>
      <c r="C144" s="4">
        <v>2000</v>
      </c>
      <c r="D144" s="5" t="s">
        <v>15</v>
      </c>
      <c r="E144" s="5" t="s">
        <v>15</v>
      </c>
      <c r="F144" s="5" t="s">
        <v>15</v>
      </c>
      <c r="G144" s="63" t="s">
        <v>15</v>
      </c>
      <c r="H144" s="35"/>
    </row>
    <row r="145" spans="1:8" ht="17.25" customHeight="1">
      <c r="A145" s="17" t="s">
        <v>149</v>
      </c>
      <c r="B145" s="66" t="s">
        <v>42</v>
      </c>
      <c r="C145" s="4">
        <v>600</v>
      </c>
      <c r="D145" s="4">
        <v>600</v>
      </c>
      <c r="E145" s="7">
        <f t="shared" si="14"/>
        <v>100</v>
      </c>
      <c r="F145" s="5" t="s">
        <v>15</v>
      </c>
      <c r="G145" s="63" t="s">
        <v>15</v>
      </c>
      <c r="H145" s="35"/>
    </row>
    <row r="146" spans="1:8" s="23" customFormat="1" ht="17.25" customHeight="1">
      <c r="A146" s="40" t="s">
        <v>150</v>
      </c>
      <c r="B146" s="67">
        <f>SUM(B141:B145)</f>
        <v>11500</v>
      </c>
      <c r="C146" s="8">
        <f>SUM(C141:C145)</f>
        <v>28173</v>
      </c>
      <c r="D146" s="8">
        <f>SUM(D141:D145)</f>
        <v>24379</v>
      </c>
      <c r="E146" s="9">
        <f t="shared" si="14"/>
        <v>86.53320555141447</v>
      </c>
      <c r="F146" s="8">
        <f>SUM(F141:F145)</f>
        <v>23779</v>
      </c>
      <c r="G146" s="68">
        <f t="shared" si="15"/>
        <v>84.40350690377312</v>
      </c>
      <c r="H146" s="57"/>
    </row>
    <row r="147" spans="1:8" s="22" customFormat="1" ht="17.25" customHeight="1">
      <c r="A147" s="41" t="s">
        <v>151</v>
      </c>
      <c r="B147" s="61"/>
      <c r="C147" s="1"/>
      <c r="D147" s="1"/>
      <c r="E147" s="2"/>
      <c r="F147" s="1"/>
      <c r="G147" s="62"/>
      <c r="H147" s="35"/>
    </row>
    <row r="148" spans="1:8" s="22" customFormat="1" ht="17.25" customHeight="1">
      <c r="A148" s="10" t="s">
        <v>152</v>
      </c>
      <c r="B148" s="61">
        <v>887</v>
      </c>
      <c r="C148" s="1">
        <v>887</v>
      </c>
      <c r="D148" s="1">
        <f>157+279+352</f>
        <v>788</v>
      </c>
      <c r="E148" s="2">
        <f aca="true" t="shared" si="16" ref="E148:E153">+D148/C148*100</f>
        <v>88.83878241262683</v>
      </c>
      <c r="F148" s="1">
        <v>788</v>
      </c>
      <c r="G148" s="62">
        <f aca="true" t="shared" si="17" ref="G148:G153">+F148/C148*100</f>
        <v>88.83878241262683</v>
      </c>
      <c r="H148" s="35"/>
    </row>
    <row r="149" spans="1:8" s="22" customFormat="1" ht="17.25" customHeight="1">
      <c r="A149" s="10" t="s">
        <v>153</v>
      </c>
      <c r="B149" s="61">
        <v>5000</v>
      </c>
      <c r="C149" s="1">
        <v>5000</v>
      </c>
      <c r="D149" s="5" t="s">
        <v>15</v>
      </c>
      <c r="E149" s="5" t="s">
        <v>15</v>
      </c>
      <c r="F149" s="5" t="s">
        <v>15</v>
      </c>
      <c r="G149" s="63" t="s">
        <v>15</v>
      </c>
      <c r="H149" s="35"/>
    </row>
    <row r="150" spans="1:8" s="22" customFormat="1" ht="17.25" customHeight="1">
      <c r="A150" s="10" t="s">
        <v>154</v>
      </c>
      <c r="B150" s="66" t="s">
        <v>42</v>
      </c>
      <c r="C150" s="1">
        <v>133334</v>
      </c>
      <c r="D150" s="5" t="s">
        <v>15</v>
      </c>
      <c r="E150" s="5" t="s">
        <v>15</v>
      </c>
      <c r="F150" s="5" t="s">
        <v>15</v>
      </c>
      <c r="G150" s="63" t="s">
        <v>15</v>
      </c>
      <c r="H150" s="35"/>
    </row>
    <row r="151" spans="1:8" s="22" customFormat="1" ht="17.25" customHeight="1">
      <c r="A151" s="10" t="s">
        <v>155</v>
      </c>
      <c r="B151" s="66" t="s">
        <v>42</v>
      </c>
      <c r="C151" s="1">
        <v>876</v>
      </c>
      <c r="D151" s="1">
        <v>876</v>
      </c>
      <c r="E151" s="2">
        <f t="shared" si="16"/>
        <v>100</v>
      </c>
      <c r="F151" s="1">
        <v>876</v>
      </c>
      <c r="G151" s="62">
        <f t="shared" si="17"/>
        <v>100</v>
      </c>
      <c r="H151" s="35"/>
    </row>
    <row r="152" spans="1:8" s="22" customFormat="1" ht="17.25" customHeight="1">
      <c r="A152" s="10" t="s">
        <v>156</v>
      </c>
      <c r="B152" s="66" t="s">
        <v>42</v>
      </c>
      <c r="C152" s="1">
        <v>4000</v>
      </c>
      <c r="D152" s="1">
        <v>4000</v>
      </c>
      <c r="E152" s="2">
        <f t="shared" si="16"/>
        <v>100</v>
      </c>
      <c r="F152" s="1">
        <v>4000</v>
      </c>
      <c r="G152" s="62">
        <f t="shared" si="17"/>
        <v>100</v>
      </c>
      <c r="H152" s="35"/>
    </row>
    <row r="153" spans="1:8" s="23" customFormat="1" ht="17.25" customHeight="1">
      <c r="A153" s="40" t="s">
        <v>157</v>
      </c>
      <c r="B153" s="67">
        <f>SUM(B148:B152)</f>
        <v>5887</v>
      </c>
      <c r="C153" s="8">
        <f>SUM(C148:C152)</f>
        <v>144097</v>
      </c>
      <c r="D153" s="8">
        <f>SUM(D148:D152)</f>
        <v>5664</v>
      </c>
      <c r="E153" s="9">
        <f t="shared" si="16"/>
        <v>3.9306855798524603</v>
      </c>
      <c r="F153" s="8">
        <f>SUM(F148:F152)</f>
        <v>5664</v>
      </c>
      <c r="G153" s="68">
        <f t="shared" si="17"/>
        <v>3.9306855798524603</v>
      </c>
      <c r="H153" s="57"/>
    </row>
    <row r="154" spans="1:8" s="22" customFormat="1" ht="17.25" customHeight="1">
      <c r="A154" s="41" t="s">
        <v>158</v>
      </c>
      <c r="B154" s="61"/>
      <c r="C154" s="1"/>
      <c r="D154" s="1"/>
      <c r="E154" s="2"/>
      <c r="F154" s="1"/>
      <c r="G154" s="62"/>
      <c r="H154" s="35"/>
    </row>
    <row r="155" spans="1:8" s="22" customFormat="1" ht="17.25" customHeight="1">
      <c r="A155" s="17" t="s">
        <v>159</v>
      </c>
      <c r="B155" s="61">
        <v>2456</v>
      </c>
      <c r="C155" s="1">
        <v>2456</v>
      </c>
      <c r="D155" s="5" t="s">
        <v>15</v>
      </c>
      <c r="E155" s="5" t="s">
        <v>15</v>
      </c>
      <c r="F155" s="5" t="s">
        <v>15</v>
      </c>
      <c r="G155" s="63" t="s">
        <v>15</v>
      </c>
      <c r="H155" s="35"/>
    </row>
    <row r="156" spans="1:8" s="22" customFormat="1" ht="17.25" customHeight="1">
      <c r="A156" s="17" t="s">
        <v>160</v>
      </c>
      <c r="B156" s="61">
        <v>291</v>
      </c>
      <c r="C156" s="1">
        <v>291</v>
      </c>
      <c r="D156" s="1">
        <v>291</v>
      </c>
      <c r="E156" s="2">
        <f aca="true" t="shared" si="18" ref="E156:E163">+D156/C156*100</f>
        <v>100</v>
      </c>
      <c r="F156" s="1">
        <v>291</v>
      </c>
      <c r="G156" s="62">
        <f aca="true" t="shared" si="19" ref="G156:G163">+F156/C156*100</f>
        <v>100</v>
      </c>
      <c r="H156" s="35"/>
    </row>
    <row r="157" spans="1:8" s="22" customFormat="1" ht="17.25" customHeight="1">
      <c r="A157" s="39" t="s">
        <v>161</v>
      </c>
      <c r="B157" s="61">
        <f>4731+7500</f>
        <v>12231</v>
      </c>
      <c r="C157" s="1">
        <f>4731+7500</f>
        <v>12231</v>
      </c>
      <c r="D157" s="1">
        <f>2938-2340+2982+1513+1+635</f>
        <v>5729</v>
      </c>
      <c r="E157" s="2">
        <f t="shared" si="18"/>
        <v>46.839996729621454</v>
      </c>
      <c r="F157" s="1">
        <v>5729</v>
      </c>
      <c r="G157" s="62">
        <f t="shared" si="19"/>
        <v>46.839996729621454</v>
      </c>
      <c r="H157" s="35"/>
    </row>
    <row r="158" spans="1:8" s="22" customFormat="1" ht="17.25" customHeight="1">
      <c r="A158" s="17" t="s">
        <v>162</v>
      </c>
      <c r="B158" s="61">
        <f>1633+4000</f>
        <v>5633</v>
      </c>
      <c r="C158" s="1">
        <f>1633+4000</f>
        <v>5633</v>
      </c>
      <c r="D158" s="1">
        <f>672+570+371</f>
        <v>1613</v>
      </c>
      <c r="E158" s="2">
        <f t="shared" si="18"/>
        <v>28.634830463341025</v>
      </c>
      <c r="F158" s="1">
        <v>1613</v>
      </c>
      <c r="G158" s="62">
        <f t="shared" si="19"/>
        <v>28.634830463341025</v>
      </c>
      <c r="H158" s="35"/>
    </row>
    <row r="159" spans="1:8" s="22" customFormat="1" ht="17.25" customHeight="1">
      <c r="A159" s="17" t="s">
        <v>163</v>
      </c>
      <c r="B159" s="61">
        <v>1144</v>
      </c>
      <c r="C159" s="1">
        <v>1228</v>
      </c>
      <c r="D159" s="1">
        <v>1144</v>
      </c>
      <c r="E159" s="2">
        <f t="shared" si="18"/>
        <v>93.15960912052117</v>
      </c>
      <c r="F159" s="1">
        <v>1099</v>
      </c>
      <c r="G159" s="62">
        <f t="shared" si="19"/>
        <v>89.49511400651465</v>
      </c>
      <c r="H159" s="35"/>
    </row>
    <row r="160" spans="1:8" s="22" customFormat="1" ht="17.25" customHeight="1">
      <c r="A160" s="17" t="s">
        <v>164</v>
      </c>
      <c r="B160" s="66" t="s">
        <v>42</v>
      </c>
      <c r="C160" s="1">
        <v>500</v>
      </c>
      <c r="D160" s="5" t="s">
        <v>15</v>
      </c>
      <c r="E160" s="5" t="s">
        <v>15</v>
      </c>
      <c r="F160" s="5" t="s">
        <v>15</v>
      </c>
      <c r="G160" s="63" t="s">
        <v>15</v>
      </c>
      <c r="H160" s="35"/>
    </row>
    <row r="161" spans="1:8" ht="17.25" customHeight="1">
      <c r="A161" s="39" t="s">
        <v>165</v>
      </c>
      <c r="B161" s="61">
        <v>20000</v>
      </c>
      <c r="C161" s="1">
        <v>20000</v>
      </c>
      <c r="D161" s="1">
        <v>20000</v>
      </c>
      <c r="E161" s="2">
        <f t="shared" si="18"/>
        <v>100</v>
      </c>
      <c r="F161" s="1">
        <v>20000</v>
      </c>
      <c r="G161" s="62">
        <f t="shared" si="19"/>
        <v>100</v>
      </c>
      <c r="H161" s="35"/>
    </row>
    <row r="162" spans="1:8" ht="17.25" customHeight="1">
      <c r="A162" s="17" t="s">
        <v>166</v>
      </c>
      <c r="B162" s="66" t="s">
        <v>42</v>
      </c>
      <c r="C162" s="1">
        <v>10000</v>
      </c>
      <c r="D162" s="1">
        <f>6540+100+337+2168</f>
        <v>9145</v>
      </c>
      <c r="E162" s="2">
        <f t="shared" si="18"/>
        <v>91.45</v>
      </c>
      <c r="F162" s="1">
        <v>6969</v>
      </c>
      <c r="G162" s="62">
        <f t="shared" si="19"/>
        <v>69.69</v>
      </c>
      <c r="H162" s="35"/>
    </row>
    <row r="163" spans="1:8" s="23" customFormat="1" ht="17.25" customHeight="1">
      <c r="A163" s="40" t="s">
        <v>167</v>
      </c>
      <c r="B163" s="67">
        <f>SUM(B155:B162)</f>
        <v>41755</v>
      </c>
      <c r="C163" s="8">
        <f>SUM(C155:C162)</f>
        <v>52339</v>
      </c>
      <c r="D163" s="8">
        <f>SUM(D155:D162)</f>
        <v>37922</v>
      </c>
      <c r="E163" s="9">
        <f t="shared" si="18"/>
        <v>72.45457498232676</v>
      </c>
      <c r="F163" s="8">
        <f>SUM(F155:F162)</f>
        <v>35701</v>
      </c>
      <c r="G163" s="68">
        <f t="shared" si="19"/>
        <v>68.2110854238713</v>
      </c>
      <c r="H163" s="57"/>
    </row>
    <row r="164" spans="1:8" s="22" customFormat="1" ht="17.25" customHeight="1">
      <c r="A164" s="41" t="s">
        <v>168</v>
      </c>
      <c r="B164" s="61"/>
      <c r="C164" s="1"/>
      <c r="D164" s="1"/>
      <c r="E164" s="2"/>
      <c r="F164" s="1"/>
      <c r="G164" s="62"/>
      <c r="H164" s="35"/>
    </row>
    <row r="165" spans="1:8" ht="17.25" customHeight="1">
      <c r="A165" s="39" t="s">
        <v>169</v>
      </c>
      <c r="B165" s="64">
        <v>16000</v>
      </c>
      <c r="C165" s="4">
        <v>16000</v>
      </c>
      <c r="D165" s="5" t="s">
        <v>15</v>
      </c>
      <c r="E165" s="5" t="s">
        <v>15</v>
      </c>
      <c r="F165" s="5" t="s">
        <v>15</v>
      </c>
      <c r="G165" s="63" t="s">
        <v>15</v>
      </c>
      <c r="H165" s="35"/>
    </row>
    <row r="166" spans="1:8" ht="17.25" customHeight="1">
      <c r="A166" s="39" t="s">
        <v>170</v>
      </c>
      <c r="B166" s="64" t="s">
        <v>42</v>
      </c>
      <c r="C166" s="4">
        <v>958</v>
      </c>
      <c r="D166" s="4">
        <v>958</v>
      </c>
      <c r="E166" s="7">
        <f>+D166/C166*100</f>
        <v>100</v>
      </c>
      <c r="F166" s="4">
        <v>958</v>
      </c>
      <c r="G166" s="65">
        <f>+F166/C166*100</f>
        <v>100</v>
      </c>
      <c r="H166" s="35"/>
    </row>
    <row r="167" spans="1:8" ht="17.25" customHeight="1">
      <c r="A167" s="39" t="s">
        <v>171</v>
      </c>
      <c r="B167" s="66" t="s">
        <v>42</v>
      </c>
      <c r="C167" s="4">
        <v>10000</v>
      </c>
      <c r="D167" s="5" t="s">
        <v>15</v>
      </c>
      <c r="E167" s="5" t="s">
        <v>15</v>
      </c>
      <c r="F167" s="5" t="s">
        <v>15</v>
      </c>
      <c r="G167" s="63" t="s">
        <v>15</v>
      </c>
      <c r="H167" s="35"/>
    </row>
    <row r="168" spans="1:8" ht="17.25" customHeight="1">
      <c r="A168" s="43" t="s">
        <v>172</v>
      </c>
      <c r="B168" s="66" t="s">
        <v>42</v>
      </c>
      <c r="C168" s="14">
        <v>3000</v>
      </c>
      <c r="D168" s="14">
        <v>3000</v>
      </c>
      <c r="E168" s="15">
        <f>+D168/C168*100</f>
        <v>100</v>
      </c>
      <c r="F168" s="14">
        <v>441</v>
      </c>
      <c r="G168" s="71">
        <f>+F168/C168*100</f>
        <v>14.7</v>
      </c>
      <c r="H168" s="53"/>
    </row>
    <row r="169" spans="1:8" s="23" customFormat="1" ht="17.25" customHeight="1">
      <c r="A169" s="40" t="s">
        <v>173</v>
      </c>
      <c r="B169" s="67">
        <f>SUM(B165:B168)</f>
        <v>16000</v>
      </c>
      <c r="C169" s="8">
        <f>SUM(C165:C168)</f>
        <v>29958</v>
      </c>
      <c r="D169" s="8">
        <f>SUM(D165:D168)</f>
        <v>3958</v>
      </c>
      <c r="E169" s="9">
        <f>+D169/C169*100</f>
        <v>13.211829895186595</v>
      </c>
      <c r="F169" s="8">
        <f>SUM(F165:F168)</f>
        <v>1399</v>
      </c>
      <c r="G169" s="68">
        <f>+F169/C169*100</f>
        <v>4.66987115294746</v>
      </c>
      <c r="H169" s="57"/>
    </row>
    <row r="170" spans="1:8" s="22" customFormat="1" ht="17.25" customHeight="1">
      <c r="A170" s="41" t="s">
        <v>174</v>
      </c>
      <c r="B170" s="61"/>
      <c r="C170" s="1"/>
      <c r="D170" s="1"/>
      <c r="E170" s="2"/>
      <c r="F170" s="1"/>
      <c r="G170" s="62"/>
      <c r="H170" s="35"/>
    </row>
    <row r="171" spans="1:8" s="22" customFormat="1" ht="15.75" customHeight="1">
      <c r="A171" s="37" t="s">
        <v>175</v>
      </c>
      <c r="B171" s="61">
        <v>1500</v>
      </c>
      <c r="C171" s="1">
        <f>1500-89</f>
        <v>1411</v>
      </c>
      <c r="D171" s="1">
        <v>1356</v>
      </c>
      <c r="E171" s="2">
        <f aca="true" t="shared" si="20" ref="E171:E176">+D171/C171*100</f>
        <v>96.1020552799433</v>
      </c>
      <c r="F171" s="1">
        <v>1356</v>
      </c>
      <c r="G171" s="62">
        <f aca="true" t="shared" si="21" ref="G171:G176">+F171/C171*100</f>
        <v>96.1020552799433</v>
      </c>
      <c r="H171" s="35"/>
    </row>
    <row r="172" spans="1:8" s="22" customFormat="1" ht="15.75" customHeight="1">
      <c r="A172" s="39" t="s">
        <v>176</v>
      </c>
      <c r="B172" s="61">
        <v>4713</v>
      </c>
      <c r="C172" s="1">
        <v>4335</v>
      </c>
      <c r="D172" s="1">
        <f>750+200+600</f>
        <v>1550</v>
      </c>
      <c r="E172" s="2">
        <f t="shared" si="20"/>
        <v>35.75547866205306</v>
      </c>
      <c r="F172" s="1">
        <v>1550</v>
      </c>
      <c r="G172" s="62">
        <f t="shared" si="21"/>
        <v>35.75547866205306</v>
      </c>
      <c r="H172" s="35"/>
    </row>
    <row r="173" spans="1:8" ht="15.75" customHeight="1">
      <c r="A173" s="39" t="s">
        <v>177</v>
      </c>
      <c r="B173" s="64">
        <v>3000</v>
      </c>
      <c r="C173" s="4">
        <f>3000-384</f>
        <v>2616</v>
      </c>
      <c r="D173" s="4">
        <v>2352</v>
      </c>
      <c r="E173" s="7">
        <f t="shared" si="20"/>
        <v>89.90825688073394</v>
      </c>
      <c r="F173" s="4">
        <v>2352</v>
      </c>
      <c r="G173" s="65">
        <f t="shared" si="21"/>
        <v>89.90825688073394</v>
      </c>
      <c r="H173" s="35"/>
    </row>
    <row r="174" spans="1:8" ht="15.75" customHeight="1">
      <c r="A174" s="39" t="s">
        <v>178</v>
      </c>
      <c r="B174" s="64">
        <v>250</v>
      </c>
      <c r="C174" s="4">
        <v>250</v>
      </c>
      <c r="D174" s="4">
        <f>171+6</f>
        <v>177</v>
      </c>
      <c r="E174" s="7">
        <f t="shared" si="20"/>
        <v>70.8</v>
      </c>
      <c r="F174" s="4">
        <v>177</v>
      </c>
      <c r="G174" s="65">
        <f t="shared" si="21"/>
        <v>70.8</v>
      </c>
      <c r="H174" s="35"/>
    </row>
    <row r="175" spans="1:8" ht="15.75" customHeight="1">
      <c r="A175" s="39" t="s">
        <v>179</v>
      </c>
      <c r="B175" s="66" t="s">
        <v>42</v>
      </c>
      <c r="C175" s="4">
        <f>20000-12260</f>
        <v>7740</v>
      </c>
      <c r="D175" s="4">
        <v>7740</v>
      </c>
      <c r="E175" s="7">
        <f t="shared" si="20"/>
        <v>100</v>
      </c>
      <c r="F175" s="4">
        <v>4644</v>
      </c>
      <c r="G175" s="65">
        <f t="shared" si="21"/>
        <v>60</v>
      </c>
      <c r="H175" s="35"/>
    </row>
    <row r="176" spans="1:9" s="23" customFormat="1" ht="17.25" customHeight="1">
      <c r="A176" s="40" t="s">
        <v>180</v>
      </c>
      <c r="B176" s="67">
        <f>SUM(B171:B175)</f>
        <v>9463</v>
      </c>
      <c r="C176" s="8">
        <f>SUM(C171:C175)</f>
        <v>16352</v>
      </c>
      <c r="D176" s="8">
        <f>SUM(D171:D175)</f>
        <v>13175</v>
      </c>
      <c r="E176" s="9">
        <f t="shared" si="20"/>
        <v>80.57118395303327</v>
      </c>
      <c r="F176" s="8">
        <f>SUM(F171:F175)</f>
        <v>10079</v>
      </c>
      <c r="G176" s="68">
        <f t="shared" si="21"/>
        <v>61.63772015655577</v>
      </c>
      <c r="H176" s="57"/>
      <c r="I176" s="25"/>
    </row>
    <row r="177" spans="1:9" s="22" customFormat="1" ht="18.75" customHeight="1">
      <c r="A177" s="41" t="s">
        <v>181</v>
      </c>
      <c r="B177" s="61"/>
      <c r="C177" s="1"/>
      <c r="D177" s="1"/>
      <c r="E177" s="2"/>
      <c r="F177" s="1"/>
      <c r="G177" s="62"/>
      <c r="H177" s="35"/>
      <c r="I177" s="26"/>
    </row>
    <row r="178" spans="1:9" ht="18" customHeight="1">
      <c r="A178" s="39" t="s">
        <v>182</v>
      </c>
      <c r="B178" s="61">
        <f>30000+4972+1028</f>
        <v>36000</v>
      </c>
      <c r="C178" s="1">
        <f>36000-4684-14179-5274-2838</f>
        <v>9025</v>
      </c>
      <c r="D178" s="5" t="s">
        <v>15</v>
      </c>
      <c r="E178" s="5" t="s">
        <v>15</v>
      </c>
      <c r="F178" s="5" t="s">
        <v>15</v>
      </c>
      <c r="G178" s="63" t="s">
        <v>15</v>
      </c>
      <c r="H178" s="35"/>
      <c r="I178" s="16"/>
    </row>
    <row r="179" spans="1:9" ht="18" customHeight="1">
      <c r="A179" s="39" t="s">
        <v>183</v>
      </c>
      <c r="B179" s="64">
        <f>20000+7300</f>
        <v>27300</v>
      </c>
      <c r="C179" s="4">
        <f>20000+7300</f>
        <v>27300</v>
      </c>
      <c r="D179" s="4">
        <f>+F179</f>
        <v>9200</v>
      </c>
      <c r="E179" s="7">
        <f aca="true" t="shared" si="22" ref="E179:E193">+D179/C179*100</f>
        <v>33.6996336996337</v>
      </c>
      <c r="F179" s="4">
        <v>9200</v>
      </c>
      <c r="G179" s="65">
        <f aca="true" t="shared" si="23" ref="G179:G193">+F179/C179*100</f>
        <v>33.6996336996337</v>
      </c>
      <c r="H179" s="35"/>
      <c r="I179" s="16"/>
    </row>
    <row r="180" spans="1:9" ht="18" customHeight="1">
      <c r="A180" s="39" t="s">
        <v>184</v>
      </c>
      <c r="B180" s="66" t="s">
        <v>42</v>
      </c>
      <c r="C180" s="4">
        <v>1500</v>
      </c>
      <c r="D180" s="4">
        <f>750+750</f>
        <v>1500</v>
      </c>
      <c r="E180" s="7">
        <f t="shared" si="22"/>
        <v>100</v>
      </c>
      <c r="F180" s="4">
        <v>1500</v>
      </c>
      <c r="G180" s="65">
        <f t="shared" si="23"/>
        <v>100</v>
      </c>
      <c r="H180" s="35"/>
      <c r="I180" s="16"/>
    </row>
    <row r="181" spans="1:9" ht="18" customHeight="1">
      <c r="A181" s="37" t="s">
        <v>185</v>
      </c>
      <c r="B181" s="61">
        <v>2000</v>
      </c>
      <c r="C181" s="1">
        <f>2000+32000-4000</f>
        <v>30000</v>
      </c>
      <c r="D181" s="4">
        <f>+F181</f>
        <v>29665</v>
      </c>
      <c r="E181" s="2">
        <f t="shared" si="22"/>
        <v>98.88333333333334</v>
      </c>
      <c r="F181" s="1">
        <f>28623+56+986</f>
        <v>29665</v>
      </c>
      <c r="G181" s="62">
        <f t="shared" si="23"/>
        <v>98.88333333333334</v>
      </c>
      <c r="H181" s="35"/>
      <c r="I181" s="16"/>
    </row>
    <row r="182" spans="1:9" ht="18" customHeight="1">
      <c r="A182" s="37" t="s">
        <v>186</v>
      </c>
      <c r="B182" s="61">
        <v>3000</v>
      </c>
      <c r="C182" s="1">
        <v>3000</v>
      </c>
      <c r="D182" s="4">
        <f>+F182</f>
        <v>250</v>
      </c>
      <c r="E182" s="2">
        <f t="shared" si="22"/>
        <v>8.333333333333332</v>
      </c>
      <c r="F182" s="1">
        <v>250</v>
      </c>
      <c r="G182" s="62">
        <f t="shared" si="23"/>
        <v>8.333333333333332</v>
      </c>
      <c r="H182" s="35"/>
      <c r="I182" s="16"/>
    </row>
    <row r="183" spans="1:8" ht="18" customHeight="1">
      <c r="A183" s="37" t="s">
        <v>187</v>
      </c>
      <c r="B183" s="61">
        <v>5150</v>
      </c>
      <c r="C183" s="1">
        <f>5150+850</f>
        <v>6000</v>
      </c>
      <c r="D183" s="1">
        <v>5200</v>
      </c>
      <c r="E183" s="2">
        <f t="shared" si="22"/>
        <v>86.66666666666667</v>
      </c>
      <c r="F183" s="1">
        <f>150+5200-800-400</f>
        <v>4150</v>
      </c>
      <c r="G183" s="62">
        <f t="shared" si="23"/>
        <v>69.16666666666667</v>
      </c>
      <c r="H183" s="35"/>
    </row>
    <row r="184" spans="1:8" ht="18" customHeight="1">
      <c r="A184" s="39" t="s">
        <v>188</v>
      </c>
      <c r="B184" s="64">
        <v>10000</v>
      </c>
      <c r="C184" s="4">
        <v>10000</v>
      </c>
      <c r="D184" s="4">
        <f>+F184</f>
        <v>6274</v>
      </c>
      <c r="E184" s="7">
        <f t="shared" si="22"/>
        <v>62.739999999999995</v>
      </c>
      <c r="F184" s="4">
        <v>6274</v>
      </c>
      <c r="G184" s="65">
        <f t="shared" si="23"/>
        <v>62.739999999999995</v>
      </c>
      <c r="H184" s="35"/>
    </row>
    <row r="185" spans="1:8" s="22" customFormat="1" ht="18" customHeight="1">
      <c r="A185" s="37" t="s">
        <v>189</v>
      </c>
      <c r="B185" s="61">
        <v>3000</v>
      </c>
      <c r="C185" s="1">
        <v>3000</v>
      </c>
      <c r="D185" s="4">
        <f>+F185</f>
        <v>2217</v>
      </c>
      <c r="E185" s="2">
        <f t="shared" si="22"/>
        <v>73.9</v>
      </c>
      <c r="F185" s="1">
        <v>2217</v>
      </c>
      <c r="G185" s="62">
        <f t="shared" si="23"/>
        <v>73.9</v>
      </c>
      <c r="H185" s="35"/>
    </row>
    <row r="186" spans="1:8" s="22" customFormat="1" ht="18" customHeight="1">
      <c r="A186" s="37" t="s">
        <v>190</v>
      </c>
      <c r="B186" s="61">
        <v>400</v>
      </c>
      <c r="C186" s="1">
        <v>400</v>
      </c>
      <c r="D186" s="5" t="s">
        <v>15</v>
      </c>
      <c r="E186" s="5" t="s">
        <v>15</v>
      </c>
      <c r="F186" s="5" t="s">
        <v>15</v>
      </c>
      <c r="G186" s="63" t="s">
        <v>15</v>
      </c>
      <c r="H186" s="35"/>
    </row>
    <row r="187" spans="1:8" s="22" customFormat="1" ht="18" customHeight="1">
      <c r="A187" s="37" t="s">
        <v>191</v>
      </c>
      <c r="B187" s="66" t="s">
        <v>42</v>
      </c>
      <c r="C187" s="1">
        <v>342</v>
      </c>
      <c r="D187" s="4">
        <v>342</v>
      </c>
      <c r="E187" s="2">
        <f t="shared" si="22"/>
        <v>100</v>
      </c>
      <c r="F187" s="1">
        <v>342</v>
      </c>
      <c r="G187" s="62">
        <f t="shared" si="23"/>
        <v>100</v>
      </c>
      <c r="H187" s="35"/>
    </row>
    <row r="188" spans="1:8" s="22" customFormat="1" ht="18" customHeight="1">
      <c r="A188" s="10" t="s">
        <v>192</v>
      </c>
      <c r="B188" s="61">
        <v>600</v>
      </c>
      <c r="C188" s="1">
        <f>600+300</f>
        <v>900</v>
      </c>
      <c r="D188" s="1">
        <f>600+300</f>
        <v>900</v>
      </c>
      <c r="E188" s="2">
        <f t="shared" si="22"/>
        <v>100</v>
      </c>
      <c r="F188" s="1">
        <v>600</v>
      </c>
      <c r="G188" s="62">
        <f t="shared" si="23"/>
        <v>66.66666666666666</v>
      </c>
      <c r="H188" s="35"/>
    </row>
    <row r="189" spans="1:8" s="22" customFormat="1" ht="18" customHeight="1">
      <c r="A189" s="45" t="s">
        <v>193</v>
      </c>
      <c r="B189" s="61">
        <v>1500</v>
      </c>
      <c r="C189" s="1">
        <v>1500</v>
      </c>
      <c r="D189" s="1">
        <v>112</v>
      </c>
      <c r="E189" s="2">
        <f t="shared" si="22"/>
        <v>7.466666666666668</v>
      </c>
      <c r="F189" s="1">
        <v>112</v>
      </c>
      <c r="G189" s="62">
        <f t="shared" si="23"/>
        <v>7.466666666666668</v>
      </c>
      <c r="H189" s="35"/>
    </row>
    <row r="190" spans="1:8" s="22" customFormat="1" ht="18" customHeight="1">
      <c r="A190" s="46" t="s">
        <v>194</v>
      </c>
      <c r="B190" s="66" t="s">
        <v>42</v>
      </c>
      <c r="C190" s="1">
        <v>100</v>
      </c>
      <c r="D190" s="5" t="s">
        <v>15</v>
      </c>
      <c r="E190" s="5" t="s">
        <v>15</v>
      </c>
      <c r="F190" s="5" t="s">
        <v>15</v>
      </c>
      <c r="G190" s="63" t="s">
        <v>15</v>
      </c>
      <c r="H190" s="35"/>
    </row>
    <row r="191" spans="1:8" s="22" customFormat="1" ht="18" customHeight="1">
      <c r="A191" s="46" t="s">
        <v>195</v>
      </c>
      <c r="B191" s="66" t="s">
        <v>42</v>
      </c>
      <c r="C191" s="1">
        <f>480+29</f>
        <v>509</v>
      </c>
      <c r="D191" s="1">
        <v>509</v>
      </c>
      <c r="E191" s="2">
        <f t="shared" si="22"/>
        <v>100</v>
      </c>
      <c r="F191" s="1">
        <v>509</v>
      </c>
      <c r="G191" s="62">
        <f t="shared" si="23"/>
        <v>100</v>
      </c>
      <c r="H191" s="35"/>
    </row>
    <row r="192" spans="1:8" s="22" customFormat="1" ht="18" customHeight="1">
      <c r="A192" s="37" t="s">
        <v>196</v>
      </c>
      <c r="B192" s="66" t="s">
        <v>42</v>
      </c>
      <c r="C192" s="1">
        <v>720</v>
      </c>
      <c r="D192" s="5" t="s">
        <v>15</v>
      </c>
      <c r="E192" s="5" t="s">
        <v>15</v>
      </c>
      <c r="F192" s="5" t="s">
        <v>15</v>
      </c>
      <c r="G192" s="63" t="s">
        <v>15</v>
      </c>
      <c r="H192" s="35"/>
    </row>
    <row r="193" spans="1:8" s="23" customFormat="1" ht="18.75" customHeight="1">
      <c r="A193" s="40" t="s">
        <v>197</v>
      </c>
      <c r="B193" s="67">
        <f>SUM(B178:B192)</f>
        <v>88950</v>
      </c>
      <c r="C193" s="8">
        <f>SUM(C178:C192)</f>
        <v>94296</v>
      </c>
      <c r="D193" s="8">
        <f>SUM(D178:D192)</f>
        <v>56169</v>
      </c>
      <c r="E193" s="9">
        <f t="shared" si="22"/>
        <v>59.56668363451259</v>
      </c>
      <c r="F193" s="8">
        <f>SUM(F178:F192)</f>
        <v>54819</v>
      </c>
      <c r="G193" s="68">
        <f t="shared" si="23"/>
        <v>58.13502163400356</v>
      </c>
      <c r="H193" s="58"/>
    </row>
    <row r="194" spans="1:8" s="22" customFormat="1" ht="18.75" customHeight="1">
      <c r="A194" s="47" t="s">
        <v>198</v>
      </c>
      <c r="B194" s="61"/>
      <c r="C194" s="1"/>
      <c r="D194" s="1"/>
      <c r="E194" s="2"/>
      <c r="F194" s="1"/>
      <c r="G194" s="62"/>
      <c r="H194" s="35"/>
    </row>
    <row r="195" spans="1:8" s="22" customFormat="1" ht="17.25" customHeight="1">
      <c r="A195" s="46" t="s">
        <v>199</v>
      </c>
      <c r="B195" s="61">
        <f>54516+41250</f>
        <v>95766</v>
      </c>
      <c r="C195" s="1">
        <f>54516+41250</f>
        <v>95766</v>
      </c>
      <c r="D195" s="1">
        <v>95766</v>
      </c>
      <c r="E195" s="2">
        <f aca="true" t="shared" si="24" ref="E195:E203">+D195/C195*100</f>
        <v>100</v>
      </c>
      <c r="F195" s="1">
        <v>95766</v>
      </c>
      <c r="G195" s="62">
        <f aca="true" t="shared" si="25" ref="G195:G203">+F195/C195*100</f>
        <v>100</v>
      </c>
      <c r="H195" s="35"/>
    </row>
    <row r="196" spans="1:8" s="22" customFormat="1" ht="17.25" customHeight="1">
      <c r="A196" s="48" t="s">
        <v>200</v>
      </c>
      <c r="B196" s="61">
        <v>2719</v>
      </c>
      <c r="C196" s="1">
        <v>2820</v>
      </c>
      <c r="D196" s="4">
        <v>2820</v>
      </c>
      <c r="E196" s="2">
        <f t="shared" si="24"/>
        <v>100</v>
      </c>
      <c r="F196" s="5" t="s">
        <v>15</v>
      </c>
      <c r="G196" s="63" t="s">
        <v>15</v>
      </c>
      <c r="H196" s="35"/>
    </row>
    <row r="197" spans="1:8" s="22" customFormat="1" ht="17.25" customHeight="1">
      <c r="A197" s="48" t="s">
        <v>201</v>
      </c>
      <c r="B197" s="66" t="s">
        <v>42</v>
      </c>
      <c r="C197" s="1">
        <v>3116</v>
      </c>
      <c r="D197" s="4">
        <v>3116</v>
      </c>
      <c r="E197" s="2">
        <f t="shared" si="24"/>
        <v>100</v>
      </c>
      <c r="F197" s="5" t="s">
        <v>15</v>
      </c>
      <c r="G197" s="63" t="s">
        <v>15</v>
      </c>
      <c r="H197" s="35" t="s">
        <v>220</v>
      </c>
    </row>
    <row r="198" spans="1:8" s="22" customFormat="1" ht="17.25" customHeight="1">
      <c r="A198" s="48" t="s">
        <v>202</v>
      </c>
      <c r="B198" s="66" t="s">
        <v>42</v>
      </c>
      <c r="C198" s="1">
        <v>394</v>
      </c>
      <c r="D198" s="1">
        <v>394</v>
      </c>
      <c r="E198" s="2">
        <f t="shared" si="24"/>
        <v>100</v>
      </c>
      <c r="F198" s="1">
        <v>394</v>
      </c>
      <c r="G198" s="62">
        <f t="shared" si="25"/>
        <v>100</v>
      </c>
      <c r="H198" s="35"/>
    </row>
    <row r="199" spans="1:8" s="22" customFormat="1" ht="17.25" customHeight="1">
      <c r="A199" s="46" t="s">
        <v>203</v>
      </c>
      <c r="B199" s="66" t="s">
        <v>42</v>
      </c>
      <c r="C199" s="1">
        <v>4000</v>
      </c>
      <c r="D199" s="5" t="s">
        <v>15</v>
      </c>
      <c r="E199" s="5" t="s">
        <v>15</v>
      </c>
      <c r="F199" s="5" t="s">
        <v>15</v>
      </c>
      <c r="G199" s="63" t="s">
        <v>15</v>
      </c>
      <c r="H199" s="55" t="s">
        <v>204</v>
      </c>
    </row>
    <row r="200" spans="1:8" s="22" customFormat="1" ht="17.25" customHeight="1">
      <c r="A200" s="46" t="s">
        <v>205</v>
      </c>
      <c r="B200" s="66" t="s">
        <v>42</v>
      </c>
      <c r="C200" s="1">
        <v>1902</v>
      </c>
      <c r="D200" s="1">
        <v>1902</v>
      </c>
      <c r="E200" s="2">
        <f t="shared" si="24"/>
        <v>100</v>
      </c>
      <c r="F200" s="1">
        <v>1902</v>
      </c>
      <c r="G200" s="62">
        <f t="shared" si="25"/>
        <v>100</v>
      </c>
      <c r="H200" s="55" t="s">
        <v>204</v>
      </c>
    </row>
    <row r="201" spans="1:8" s="22" customFormat="1" ht="17.25" customHeight="1">
      <c r="A201" s="46" t="s">
        <v>206</v>
      </c>
      <c r="B201" s="66" t="s">
        <v>42</v>
      </c>
      <c r="C201" s="1">
        <v>2429</v>
      </c>
      <c r="D201" s="1">
        <v>2429</v>
      </c>
      <c r="E201" s="2">
        <f t="shared" si="24"/>
        <v>100</v>
      </c>
      <c r="F201" s="1">
        <v>2429</v>
      </c>
      <c r="G201" s="62">
        <f t="shared" si="25"/>
        <v>100</v>
      </c>
      <c r="H201" s="55" t="s">
        <v>204</v>
      </c>
    </row>
    <row r="202" spans="1:8" s="23" customFormat="1" ht="18.75" customHeight="1">
      <c r="A202" s="40" t="s">
        <v>207</v>
      </c>
      <c r="B202" s="67">
        <f>SUM(B195:B201)</f>
        <v>98485</v>
      </c>
      <c r="C202" s="8">
        <f>SUM(C195:C201)</f>
        <v>110427</v>
      </c>
      <c r="D202" s="8">
        <f>SUM(D195:D201)</f>
        <v>106427</v>
      </c>
      <c r="E202" s="9">
        <f t="shared" si="24"/>
        <v>96.37769748340533</v>
      </c>
      <c r="F202" s="8">
        <f>SUM(F195:F201)</f>
        <v>100491</v>
      </c>
      <c r="G202" s="68">
        <f t="shared" si="25"/>
        <v>91.00220054877883</v>
      </c>
      <c r="H202" s="52"/>
    </row>
    <row r="203" spans="1:8" s="23" customFormat="1" ht="18.75" customHeight="1">
      <c r="A203" s="49" t="s">
        <v>208</v>
      </c>
      <c r="B203" s="67">
        <f>+B21+B47+B54+B124+B139+B146+B153+B163+B169+B176+B193+B202</f>
        <v>3344476</v>
      </c>
      <c r="C203" s="8">
        <f>+C21+C47+C54+C124+C139+C146+C153+C163+C169+C176+C193+C202</f>
        <v>4020867</v>
      </c>
      <c r="D203" s="8">
        <f>+D21+D47+D54+D124+D139+D146+D153+D163+D169+D176+D193+D202</f>
        <v>3283448</v>
      </c>
      <c r="E203" s="9">
        <f t="shared" si="24"/>
        <v>81.66019915605266</v>
      </c>
      <c r="F203" s="8">
        <f>+F21+F47+F54+F124+F139+F146+F153+F163+F169+F176+F193+F202</f>
        <v>2783463</v>
      </c>
      <c r="G203" s="68">
        <f t="shared" si="25"/>
        <v>69.2254431693463</v>
      </c>
      <c r="H203" s="52"/>
    </row>
    <row r="205" ht="19.5" customHeight="1"/>
    <row r="206" ht="19.5" customHeight="1">
      <c r="D206" s="27"/>
    </row>
  </sheetData>
  <mergeCells count="4">
    <mergeCell ref="B1:C1"/>
    <mergeCell ref="D1:E1"/>
    <mergeCell ref="F1:G1"/>
    <mergeCell ref="A1:A2"/>
  </mergeCells>
  <printOptions horizontalCentered="1"/>
  <pageMargins left="0.23" right="0.27" top="0.79" bottom="0.47" header="0.42" footer="0.25"/>
  <pageSetup blackAndWhite="1" horizontalDpi="300" verticalDpi="300" orientation="landscape" paperSize="9" scale="75" r:id="rId1"/>
  <headerFooter alignWithMargins="0">
    <oddHeader>&amp;L&amp;"Times New Roman,Félkövér"Kaposvár MJV Polgármesteri HIvatal&amp;C&amp;"Times New Roman,Félkövér"&amp;14FELHALMOZÁSI KIADÁSOK&amp;R&amp;"Times New Roman,Normál"&amp;9 18/2007.(V.03.). sz. önkorm. rendelet 
 9. sz. melléklet
ezer Ft</oddHeader>
    <oddFooter>&amp;L&amp;"Times New Roman,Normál"Kaposvár, 2007.03.27&amp;C&amp;"Times New Roman,Normál"&amp;Z&amp;F _ &amp;A   &amp;"Times New Roman,Félkövér"  Szabó Tiborné&amp;R&amp;"Times New Roman,Normál"&amp;P/&amp;N</oddFooter>
  </headerFooter>
  <rowBreaks count="5" manualBreakCount="5">
    <brk id="34" max="255" man="1"/>
    <brk id="66" max="255" man="1"/>
    <brk id="99" max="255" man="1"/>
    <brk id="134" max="255" man="1"/>
    <brk id="1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SzekeresneGabi</cp:lastModifiedBy>
  <cp:lastPrinted>2007-03-29T13:14:35Z</cp:lastPrinted>
  <dcterms:created xsi:type="dcterms:W3CDTF">2007-02-08T08:43:34Z</dcterms:created>
  <dcterms:modified xsi:type="dcterms:W3CDTF">2007-05-02T07:39:27Z</dcterms:modified>
  <cp:category/>
  <cp:version/>
  <cp:contentType/>
  <cp:contentStatus/>
</cp:coreProperties>
</file>